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slicerCaches/slicerCache7.xml" ContentType="application/vnd.ms-excel.slicerCache+xml"/>
  <Override PartName="/xl/slicerCaches/slicerCache8.xml" ContentType="application/vnd.ms-excel.slicerCache+xml"/>
  <Override PartName="/xl/slicerCaches/slicerCache9.xml" ContentType="application/vnd.ms-excel.slicerCache+xml"/>
  <Override PartName="/xl/slicerCaches/slicerCache10.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tables/table1.xml" ContentType="application/vnd.openxmlformats-officedocument.spreadsheetml.table+xml"/>
  <Override PartName="/xl/comments1.xml" ContentType="application/vnd.openxmlformats-officedocument.spreadsheetml.comments+xml"/>
  <Override PartName="/xl/tables/table2.xml" ContentType="application/vnd.openxmlformats-officedocument.spreadsheetml.table+xml"/>
  <Override PartName="/xl/drawings/drawing1.xml" ContentType="application/vnd.openxmlformats-officedocument.drawing+xml"/>
  <Override PartName="/xl/drawings/drawing2.xml" ContentType="application/vnd.openxmlformats-officedocument.drawing+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pivotTables/pivotTable10.xml" ContentType="application/vnd.openxmlformats-officedocument.spreadsheetml.pivotTable+xml"/>
  <Override PartName="/xl/pivotTables/pivotTable11.xml" ContentType="application/vnd.openxmlformats-officedocument.spreadsheetml.pivotTable+xml"/>
  <Override PartName="/xl/pivotTables/pivotTable12.xml" ContentType="application/vnd.openxmlformats-officedocument.spreadsheetml.pivotTable+xml"/>
  <Override PartName="/xl/pivotTables/pivotTable13.xml" ContentType="application/vnd.openxmlformats-officedocument.spreadsheetml.pivotTable+xml"/>
  <Override PartName="/xl/pivotTables/pivotTable14.xml" ContentType="application/vnd.openxmlformats-officedocument.spreadsheetml.pivotTable+xml"/>
  <Override PartName="/xl/pivotTables/pivotTable15.xml" ContentType="application/vnd.openxmlformats-officedocument.spreadsheetml.pivotTable+xml"/>
  <Override PartName="/xl/pivotTables/pivotTable16.xml" ContentType="application/vnd.openxmlformats-officedocument.spreadsheetml.pivotTable+xml"/>
  <Override PartName="/xl/pivotTables/pivotTable17.xml" ContentType="application/vnd.openxmlformats-officedocument.spreadsheetml.pivotTable+xml"/>
  <Override PartName="/xl/pivotTables/pivotTable18.xml" ContentType="application/vnd.openxmlformats-officedocument.spreadsheetml.pivotTable+xml"/>
  <Override PartName="/xl/pivotTables/pivotTable19.xml" ContentType="application/vnd.openxmlformats-officedocument.spreadsheetml.pivotTable+xml"/>
  <Override PartName="/xl/pivotTables/pivotTable20.xml" ContentType="application/vnd.openxmlformats-officedocument.spreadsheetml.pivotTable+xml"/>
  <Override PartName="/xl/pivotTables/pivotTable21.xml" ContentType="application/vnd.openxmlformats-officedocument.spreadsheetml.pivotTable+xml"/>
  <Override PartName="/xl/pivotTables/pivotTable22.xml" ContentType="application/vnd.openxmlformats-officedocument.spreadsheetml.pivotTable+xml"/>
  <Override PartName="/xl/pivotTables/pivotTable23.xml" ContentType="application/vnd.openxmlformats-officedocument.spreadsheetml.pivotTable+xml"/>
  <Override PartName="/xl/pivotTables/pivotTable24.xml" ContentType="application/vnd.openxmlformats-officedocument.spreadsheetml.pivotTable+xml"/>
  <Override PartName="/xl/pivotTables/pivotTable25.xml" ContentType="application/vnd.openxmlformats-officedocument.spreadsheetml.pivotTable+xml"/>
  <Override PartName="/xl/pivotTables/pivotTable26.xml" ContentType="application/vnd.openxmlformats-officedocument.spreadsheetml.pivotTable+xml"/>
  <Override PartName="/xl/pivotTables/pivotTable27.xml" ContentType="application/vnd.openxmlformats-officedocument.spreadsheetml.pivotTable+xml"/>
  <Override PartName="/xl/pivotTables/pivotTable28.xml" ContentType="application/vnd.openxmlformats-officedocument.spreadsheetml.pivotTable+xml"/>
  <Override PartName="/xl/pivotTables/pivotTable29.xml" ContentType="application/vnd.openxmlformats-officedocument.spreadsheetml.pivotTable+xml"/>
  <Override PartName="/xl/pivotTables/pivotTable30.xml" ContentType="application/vnd.openxmlformats-officedocument.spreadsheetml.pivotTable+xml"/>
  <Override PartName="/xl/pivotTables/pivotTable31.xml" ContentType="application/vnd.openxmlformats-officedocument.spreadsheetml.pivotTable+xml"/>
  <Override PartName="/xl/drawings/drawing3.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pivotTables/pivotTable32.xml" ContentType="application/vnd.openxmlformats-officedocument.spreadsheetml.pivotTable+xml"/>
  <Override PartName="/xl/pivotTables/pivotTable33.xml" ContentType="application/vnd.openxmlformats-officedocument.spreadsheetml.pivotTable+xml"/>
  <Override PartName="/xl/drawings/drawing4.xml" ContentType="application/vnd.openxmlformats-officedocument.drawing+xml"/>
  <Override PartName="/xl/comments2.xml" ContentType="application/vnd.openxmlformats-officedocument.spreadsheetml.comments+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charts/chart25.xml" ContentType="application/vnd.openxmlformats-officedocument.drawingml.chart+xml"/>
  <Override PartName="/xl/charts/style25.xml" ContentType="application/vnd.ms-office.chartstyle+xml"/>
  <Override PartName="/xl/charts/colors25.xml" ContentType="application/vnd.ms-office.chartcolorstyle+xml"/>
  <Override PartName="/xl/charts/chart26.xml" ContentType="application/vnd.openxmlformats-officedocument.drawingml.chart+xml"/>
  <Override PartName="/xl/charts/style26.xml" ContentType="application/vnd.ms-office.chartstyle+xml"/>
  <Override PartName="/xl/charts/colors26.xml" ContentType="application/vnd.ms-office.chartcolorstyle+xml"/>
  <Override PartName="/xl/charts/chart27.xml" ContentType="application/vnd.openxmlformats-officedocument.drawingml.chart+xml"/>
  <Override PartName="/xl/charts/style27.xml" ContentType="application/vnd.ms-office.chartstyle+xml"/>
  <Override PartName="/xl/charts/colors27.xml" ContentType="application/vnd.ms-office.chartcolorstyle+xml"/>
  <Override PartName="/xl/drawings/drawing5.xml" ContentType="application/vnd.openxmlformats-officedocument.drawingml.chartshapes+xml"/>
  <Override PartName="/xl/charts/chart28.xml" ContentType="application/vnd.openxmlformats-officedocument.drawingml.chart+xml"/>
  <Override PartName="/xl/charts/style28.xml" ContentType="application/vnd.ms-office.chartstyle+xml"/>
  <Override PartName="/xl/charts/colors28.xml" ContentType="application/vnd.ms-office.chartcolorstyle+xml"/>
  <Override PartName="/xl/pivotTables/pivotTable34.xml" ContentType="application/vnd.openxmlformats-officedocument.spreadsheetml.pivotTable+xml"/>
  <Override PartName="/xl/pivotTables/pivotTable35.xml" ContentType="application/vnd.openxmlformats-officedocument.spreadsheetml.pivotTable+xml"/>
  <Override PartName="/xl/drawings/drawing6.xml" ContentType="application/vnd.openxmlformats-officedocument.drawing+xml"/>
  <Override PartName="/xl/slicers/slicer2.xml" ContentType="application/vnd.ms-excel.slicer+xml"/>
  <Override PartName="/xl/charts/chart29.xml" ContentType="application/vnd.openxmlformats-officedocument.drawingml.chart+xml"/>
  <Override PartName="/xl/charts/style29.xml" ContentType="application/vnd.ms-office.chartstyle+xml"/>
  <Override PartName="/xl/charts/colors29.xml" ContentType="application/vnd.ms-office.chartcolorstyle+xml"/>
  <Override PartName="/xl/drawings/drawing7.xml" ContentType="application/vnd.openxmlformats-officedocument.drawingml.chartshapes+xml"/>
  <Override PartName="/xl/drawings/drawing8.xml" ContentType="application/vnd.openxmlformats-officedocument.drawing+xml"/>
  <Override PartName="/xl/tables/table3.xml" ContentType="application/vnd.openxmlformats-officedocument.spreadsheetml.table+xml"/>
  <Override PartName="/xl/tables/table4.xml" ContentType="application/vnd.openxmlformats-officedocument.spreadsheetml.table+xml"/>
  <Override PartName="/xl/charts/chart30.xml" ContentType="application/vnd.openxmlformats-officedocument.drawingml.chart+xml"/>
  <Override PartName="/xl/charts/style30.xml" ContentType="application/vnd.ms-office.chartstyle+xml"/>
  <Override PartName="/xl/charts/colors30.xml" ContentType="application/vnd.ms-office.chartcolorstyle+xml"/>
  <Override PartName="/xl/charts/chart31.xml" ContentType="application/vnd.openxmlformats-officedocument.drawingml.chart+xml"/>
  <Override PartName="/xl/charts/style31.xml" ContentType="application/vnd.ms-office.chartstyle+xml"/>
  <Override PartName="/xl/charts/colors31.xml" ContentType="application/vnd.ms-office.chartcolorstyle+xml"/>
  <Override PartName="/xl/drawings/drawing9.xml" ContentType="application/vnd.openxmlformats-officedocument.drawingml.chartshapes+xml"/>
  <Override PartName="/xl/charts/chart32.xml" ContentType="application/vnd.openxmlformats-officedocument.drawingml.chart+xml"/>
  <Override PartName="/xl/charts/style32.xml" ContentType="application/vnd.ms-office.chartstyle+xml"/>
  <Override PartName="/xl/charts/colors32.xml" ContentType="application/vnd.ms-office.chartcolorstyle+xml"/>
  <Override PartName="/xl/charts/chart33.xml" ContentType="application/vnd.openxmlformats-officedocument.drawingml.chart+xml"/>
  <Override PartName="/xl/charts/style33.xml" ContentType="application/vnd.ms-office.chartstyle+xml"/>
  <Override PartName="/xl/charts/colors33.xml" ContentType="application/vnd.ms-office.chartcolorstyle+xml"/>
  <Override PartName="/xl/charts/chart34.xml" ContentType="application/vnd.openxmlformats-officedocument.drawingml.chart+xml"/>
  <Override PartName="/xl/charts/style34.xml" ContentType="application/vnd.ms-office.chartstyle+xml"/>
  <Override PartName="/xl/charts/colors34.xml" ContentType="application/vnd.ms-office.chartcolorstyle+xml"/>
  <Override PartName="/xl/charts/chart35.xml" ContentType="application/vnd.openxmlformats-officedocument.drawingml.chart+xml"/>
  <Override PartName="/xl/charts/style35.xml" ContentType="application/vnd.ms-office.chartstyle+xml"/>
  <Override PartName="/xl/charts/colors35.xml" ContentType="application/vnd.ms-office.chartcolorstyle+xml"/>
  <Override PartName="/xl/charts/chart36.xml" ContentType="application/vnd.openxmlformats-officedocument.drawingml.chart+xml"/>
  <Override PartName="/xl/charts/style36.xml" ContentType="application/vnd.ms-office.chartstyle+xml"/>
  <Override PartName="/xl/charts/colors36.xml" ContentType="application/vnd.ms-office.chartcolorstyle+xml"/>
  <Override PartName="/xl/charts/chart37.xml" ContentType="application/vnd.openxmlformats-officedocument.drawingml.chart+xml"/>
  <Override PartName="/xl/charts/style37.xml" ContentType="application/vnd.ms-office.chartstyle+xml"/>
  <Override PartName="/xl/charts/colors37.xml" ContentType="application/vnd.ms-office.chartcolorstyle+xml"/>
  <Override PartName="/xl/charts/chart38.xml" ContentType="application/vnd.openxmlformats-officedocument.drawingml.chart+xml"/>
  <Override PartName="/xl/charts/style38.xml" ContentType="application/vnd.ms-office.chartstyle+xml"/>
  <Override PartName="/xl/charts/colors38.xml" ContentType="application/vnd.ms-office.chartcolorstyle+xml"/>
  <Override PartName="/xl/charts/chart39.xml" ContentType="application/vnd.openxmlformats-officedocument.drawingml.chart+xml"/>
  <Override PartName="/xl/charts/style39.xml" ContentType="application/vnd.ms-office.chartstyle+xml"/>
  <Override PartName="/xl/charts/colors39.xml" ContentType="application/vnd.ms-office.chartcolorstyle+xml"/>
  <Override PartName="/xl/charts/chart40.xml" ContentType="application/vnd.openxmlformats-officedocument.drawingml.chart+xml"/>
  <Override PartName="/xl/charts/style40.xml" ContentType="application/vnd.ms-office.chartstyle+xml"/>
  <Override PartName="/xl/charts/colors40.xml" ContentType="application/vnd.ms-office.chartcolorstyle+xml"/>
  <Override PartName="/xl/charts/chart41.xml" ContentType="application/vnd.openxmlformats-officedocument.drawingml.chart+xml"/>
  <Override PartName="/xl/charts/style41.xml" ContentType="application/vnd.ms-office.chartstyle+xml"/>
  <Override PartName="/xl/charts/colors41.xml" ContentType="application/vnd.ms-office.chartcolorstyle+xml"/>
  <Override PartName="/xl/charts/chart42.xml" ContentType="application/vnd.openxmlformats-officedocument.drawingml.chart+xml"/>
  <Override PartName="/xl/charts/style42.xml" ContentType="application/vnd.ms-office.chartstyle+xml"/>
  <Override PartName="/xl/charts/colors42.xml" ContentType="application/vnd.ms-office.chartcolorstyle+xml"/>
  <Override PartName="/xl/charts/chart43.xml" ContentType="application/vnd.openxmlformats-officedocument.drawingml.chart+xml"/>
  <Override PartName="/xl/charts/style43.xml" ContentType="application/vnd.ms-office.chartstyle+xml"/>
  <Override PartName="/xl/charts/colors43.xml" ContentType="application/vnd.ms-office.chartcolorstyle+xml"/>
  <Override PartName="/xl/charts/chart44.xml" ContentType="application/vnd.openxmlformats-officedocument.drawingml.chart+xml"/>
  <Override PartName="/xl/charts/style44.xml" ContentType="application/vnd.ms-office.chartstyle+xml"/>
  <Override PartName="/xl/charts/colors44.xml" ContentType="application/vnd.ms-office.chartcolorstyle+xml"/>
  <Override PartName="/xl/charts/chart45.xml" ContentType="application/vnd.openxmlformats-officedocument.drawingml.chart+xml"/>
  <Override PartName="/xl/charts/style45.xml" ContentType="application/vnd.ms-office.chartstyle+xml"/>
  <Override PartName="/xl/charts/colors45.xml" ContentType="application/vnd.ms-office.chartcolorstyle+xml"/>
  <Override PartName="/xl/charts/chart46.xml" ContentType="application/vnd.openxmlformats-officedocument.drawingml.chart+xml"/>
  <Override PartName="/xl/charts/style46.xml" ContentType="application/vnd.ms-office.chartstyle+xml"/>
  <Override PartName="/xl/charts/colors46.xml" ContentType="application/vnd.ms-office.chartcolorstyle+xml"/>
  <Override PartName="/xl/charts/chart47.xml" ContentType="application/vnd.openxmlformats-officedocument.drawingml.chart+xml"/>
  <Override PartName="/xl/charts/style47.xml" ContentType="application/vnd.ms-office.chartstyle+xml"/>
  <Override PartName="/xl/charts/colors47.xml" ContentType="application/vnd.ms-office.chartcolorstyle+xml"/>
  <Override PartName="/xl/charts/chart48.xml" ContentType="application/vnd.openxmlformats-officedocument.drawingml.chart+xml"/>
  <Override PartName="/xl/charts/style48.xml" ContentType="application/vnd.ms-office.chartstyle+xml"/>
  <Override PartName="/xl/charts/colors48.xml" ContentType="application/vnd.ms-office.chartcolorstyle+xml"/>
  <Override PartName="/xl/charts/chart49.xml" ContentType="application/vnd.openxmlformats-officedocument.drawingml.chart+xml"/>
  <Override PartName="/xl/charts/style49.xml" ContentType="application/vnd.ms-office.chartstyle+xml"/>
  <Override PartName="/xl/charts/colors49.xml" ContentType="application/vnd.ms-office.chartcolorstyle+xml"/>
  <Override PartName="/xl/charts/chart50.xml" ContentType="application/vnd.openxmlformats-officedocument.drawingml.chart+xml"/>
  <Override PartName="/xl/charts/style50.xml" ContentType="application/vnd.ms-office.chartstyle+xml"/>
  <Override PartName="/xl/charts/colors50.xml" ContentType="application/vnd.ms-office.chartcolorstyle+xml"/>
  <Override PartName="/xl/charts/chart51.xml" ContentType="application/vnd.openxmlformats-officedocument.drawingml.chart+xml"/>
  <Override PartName="/xl/charts/style51.xml" ContentType="application/vnd.ms-office.chartstyle+xml"/>
  <Override PartName="/xl/charts/colors51.xml" ContentType="application/vnd.ms-office.chartcolorstyle+xml"/>
  <Override PartName="/xl/pivotTables/pivotTable36.xml" ContentType="application/vnd.openxmlformats-officedocument.spreadsheetml.pivotTable+xml"/>
  <Override PartName="/xl/drawings/drawing10.xml" ContentType="application/vnd.openxmlformats-officedocument.drawing+xml"/>
  <Override PartName="/xl/slicers/slicer3.xml" ContentType="application/vnd.ms-excel.slicer+xml"/>
  <Override PartName="/xl/charts/chart52.xml" ContentType="application/vnd.openxmlformats-officedocument.drawingml.chart+xml"/>
  <Override PartName="/xl/charts/style52.xml" ContentType="application/vnd.ms-office.chartstyle+xml"/>
  <Override PartName="/xl/charts/colors52.xml" ContentType="application/vnd.ms-office.chartcolorstyle+xml"/>
  <Override PartName="/xl/pivotTables/pivotTable37.xml" ContentType="application/vnd.openxmlformats-officedocument.spreadsheetml.pivotTable+xml"/>
  <Override PartName="/xl/drawings/drawing11.xml" ContentType="application/vnd.openxmlformats-officedocument.drawing+xml"/>
  <Override PartName="/xl/slicers/slicer4.xml" ContentType="application/vnd.ms-excel.slicer+xml"/>
  <Override PartName="/xl/charts/chart53.xml" ContentType="application/vnd.openxmlformats-officedocument.drawingml.chart+xml"/>
  <Override PartName="/xl/charts/style53.xml" ContentType="application/vnd.ms-office.chartstyle+xml"/>
  <Override PartName="/xl/charts/colors53.xml" ContentType="application/vnd.ms-office.chartcolorstyle+xml"/>
  <Override PartName="/xl/drawings/drawing12.xml" ContentType="application/vnd.openxmlformats-officedocument.drawing+xml"/>
  <Override PartName="/xl/tables/table5.xml" ContentType="application/vnd.openxmlformats-officedocument.spreadsheetml.table+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workbookPr updateLinks="never" codeName="ThisWorkbook" hidePivotFieldList="1"/>
  <mc:AlternateContent xmlns:mc="http://schemas.openxmlformats.org/markup-compatibility/2006">
    <mc:Choice Requires="x15">
      <x15ac:absPath xmlns:x15ac="http://schemas.microsoft.com/office/spreadsheetml/2010/11/ac" url="C:\Users\mthaw\Mee Mee\2. Information Management\B_ 4 W\002. 4Ws matrix\004.Yangon\Working\2019\Q4_2019\"/>
    </mc:Choice>
  </mc:AlternateContent>
  <xr:revisionPtr revIDLastSave="0" documentId="13_ncr:1_{FDEC197B-2FA2-4732-B66F-68915B0220EF}" xr6:coauthVersionLast="36" xr6:coauthVersionMax="36" xr10:uidLastSave="{00000000-0000-0000-0000-000000000000}"/>
  <bookViews>
    <workbookView xWindow="0" yWindow="0" windowWidth="28800" windowHeight="12225" tabRatio="840" activeTab="11" xr2:uid="{00000000-000D-0000-FFFF-FFFF00000000}"/>
  </bookViews>
  <sheets>
    <sheet name="Guide" sheetId="81" r:id="rId1"/>
    <sheet name="Sheet2" sheetId="121" state="hidden" r:id="rId2"/>
    <sheet name="DATABASE" sheetId="25" r:id="rId3"/>
    <sheet name="Site_DB" sheetId="91" r:id="rId4"/>
    <sheet name="HRP Calculations" sheetId="122" r:id="rId5"/>
    <sheet name="Indicator Summary  Eng" sheetId="119" r:id="rId6"/>
    <sheet name="Indicator Summary  MM" sheetId="120" state="hidden" r:id="rId7"/>
    <sheet name="Analysis" sheetId="92" r:id="rId8"/>
    <sheet name="HRP" sheetId="89" r:id="rId9"/>
    <sheet name="Sheet1" sheetId="113" state="hidden" r:id="rId10"/>
    <sheet name="Quarterly Dashboard" sheetId="100" r:id="rId11"/>
    <sheet name="Rakhine" sheetId="112" r:id="rId12"/>
    <sheet name="AAP-community Feedback" sheetId="123" r:id="rId13"/>
    <sheet name="By Camps" sheetId="102" r:id="rId14"/>
    <sheet name="Tracking Dashboard" sheetId="114" r:id="rId15"/>
    <sheet name="Lookup" sheetId="32" state="hidden" r:id="rId16"/>
  </sheets>
  <externalReferences>
    <externalReference r:id="rId17"/>
    <externalReference r:id="rId18"/>
    <externalReference r:id="rId19"/>
    <externalReference r:id="rId20"/>
    <externalReference r:id="rId21"/>
  </externalReferences>
  <definedNames>
    <definedName name="_Fill" localSheetId="13" hidden="1">#REF!</definedName>
    <definedName name="_Fill" localSheetId="4" hidden="1">#REF!</definedName>
    <definedName name="_Fill" localSheetId="5" hidden="1">#REF!</definedName>
    <definedName name="_Fill" localSheetId="11" hidden="1">#REF!</definedName>
    <definedName name="_Fill" hidden="1">#REF!</definedName>
    <definedName name="_xlnm._FilterDatabase" localSheetId="2" hidden="1">DATABASE!#REF!</definedName>
    <definedName name="_xlnm._FilterDatabase" localSheetId="5" hidden="1">'Indicator Summary  Eng'!$A$2:$F$58</definedName>
    <definedName name="_xlnm._FilterDatabase" localSheetId="15" hidden="1">Lookup!$A$3:$AA$457</definedName>
    <definedName name="_Key1" localSheetId="13" hidden="1">[1]Data!#REF!</definedName>
    <definedName name="_Key1" localSheetId="4" hidden="1">[1]Data!#REF!</definedName>
    <definedName name="_Key1" localSheetId="5" hidden="1">[1]Data!#REF!</definedName>
    <definedName name="_Key1" localSheetId="11" hidden="1">[1]Data!#REF!</definedName>
    <definedName name="_Key1" hidden="1">[1]Data!#REF!</definedName>
    <definedName name="_Order1" hidden="1">255</definedName>
    <definedName name="a" localSheetId="4" hidden="1">#REF!</definedName>
    <definedName name="a" hidden="1">#REF!</definedName>
    <definedName name="b">[2]!SiteDB6[[#Headers],[Township]]</definedName>
    <definedName name="_xlnm.Print_Area" localSheetId="4">'HRP Calculations'!$A$1:$F$11</definedName>
    <definedName name="_xlnm.Print_Area" localSheetId="5">'Indicator Summary  Eng'!$A$1:$E$58</definedName>
    <definedName name="_xlnm.Print_Area" localSheetId="6">'Indicator Summary  MM'!$A$2:$F$70</definedName>
    <definedName name="_xlnm.Print_Area" localSheetId="11">Rakhine!$A$1:$T$114</definedName>
    <definedName name="_xlnm.Print_Titles" localSheetId="5">'Indicator Summary  Eng'!$1:$2</definedName>
    <definedName name="_xlnm.Print_Titles" localSheetId="6">'Indicator Summary  MM'!$1:$2</definedName>
    <definedName name="Sasha" localSheetId="4" hidden="1">{#N/A,#N/A,FALSE,"Truck Rent"}</definedName>
    <definedName name="Sasha" localSheetId="5" hidden="1">{#N/A,#N/A,FALSE,"Truck Rent"}</definedName>
    <definedName name="Sasha" hidden="1">{#N/A,#N/A,FALSE,"Truck Rent"}</definedName>
    <definedName name="Slicer_Covered">#N/A</definedName>
    <definedName name="Slicer_Reporting_Period">#N/A</definedName>
    <definedName name="Slicer_Township">#N/A</definedName>
    <definedName name="Slicer_Township1">#N/A</definedName>
    <definedName name="Slicer_Township2">#N/A</definedName>
    <definedName name="Slicer_Township3">#N/A</definedName>
    <definedName name="Slicer_Type_of_accommodation">#N/A</definedName>
    <definedName name="Slicer_WASH_implementing_agency">#N/A</definedName>
    <definedName name="Slicer_WASH_implementing_agency1">#N/A</definedName>
    <definedName name="Slicer_WASH_project_agency">#N/A</definedName>
    <definedName name="State_list">Lookup!$AB$4:$AB$83</definedName>
    <definedName name="Statestart_1">Lookup!$AB$3</definedName>
    <definedName name="Township_list">SiteDB6[Township]</definedName>
    <definedName name="Township_start">SiteDB6[[#Headers],[Township]]</definedName>
    <definedName name="TSps">Lookup!$AC$3:$AC$83</definedName>
    <definedName name="wrn.MUSA._.TRUCKS." localSheetId="4" hidden="1">{#N/A,#N/A,FALSE,"Truck Rent"}</definedName>
    <definedName name="wrn.MUSA._.TRUCKS." localSheetId="5" hidden="1">{#N/A,#N/A,FALSE,"Truck Rent"}</definedName>
    <definedName name="wrn.MUSA._.TRUCKS." hidden="1">{#N/A,#N/A,FALSE,"Truck Rent"}</definedName>
  </definedNames>
  <calcPr calcId="191029"/>
  <pivotCaches>
    <pivotCache cacheId="0" r:id="rId22"/>
  </pivotCaches>
  <extLst>
    <ext xmlns:x14="http://schemas.microsoft.com/office/spreadsheetml/2009/9/main" uri="{BBE1A952-AA13-448e-AADC-164F8A28A991}">
      <x14:slicerCaches>
        <x14:slicerCache r:id="rId23"/>
        <x14:slicerCache r:id="rId24"/>
        <x14:slicerCache r:id="rId25"/>
        <x14:slicerCache r:id="rId26"/>
        <x14:slicerCache r:id="rId27"/>
        <x14:slicerCache r:id="rId28"/>
        <x14:slicerCache r:id="rId29"/>
        <x14:slicerCache r:id="rId30"/>
        <x14:slicerCache r:id="rId31"/>
        <x14:slicerCache r:id="rId32"/>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D67" i="112" l="1"/>
  <c r="E372" i="92" l="1"/>
  <c r="CR24" i="25"/>
  <c r="CR25" i="25"/>
  <c r="CR28" i="25"/>
  <c r="CR29" i="25"/>
  <c r="CR49" i="25"/>
  <c r="CR50" i="25"/>
  <c r="BG80" i="25"/>
  <c r="CR80" i="25" s="1"/>
  <c r="BG79" i="25"/>
  <c r="CR79" i="25" s="1"/>
  <c r="BG76" i="25"/>
  <c r="CR76" i="25" s="1"/>
  <c r="BG73" i="25"/>
  <c r="CR73" i="25" s="1"/>
  <c r="BG72" i="25"/>
  <c r="CR72" i="25" s="1"/>
  <c r="BG65" i="25"/>
  <c r="CR65" i="25" s="1"/>
  <c r="BG64" i="25"/>
  <c r="CR64" i="25" s="1"/>
  <c r="BG62" i="25"/>
  <c r="CR62" i="25" s="1"/>
  <c r="BG59" i="25"/>
  <c r="CR59" i="25" s="1"/>
  <c r="BG12" i="25"/>
  <c r="CR12" i="25" s="1"/>
  <c r="BG9" i="25"/>
  <c r="CR9" i="25" s="1"/>
  <c r="BG8" i="25"/>
  <c r="CR8" i="25" s="1"/>
  <c r="BG15" i="25"/>
  <c r="CR15" i="25" s="1"/>
  <c r="BG58" i="25"/>
  <c r="CR58" i="25" s="1"/>
  <c r="I27" i="89" l="1"/>
  <c r="O27" i="89" s="1"/>
  <c r="L23" i="89"/>
  <c r="I23" i="89"/>
  <c r="Q23" i="89" s="1"/>
  <c r="I19" i="89"/>
  <c r="P19" i="89" s="1"/>
  <c r="J23" i="89" l="1"/>
  <c r="K23" i="89" s="1"/>
  <c r="P27" i="89"/>
  <c r="Q27" i="89"/>
  <c r="J27" i="89"/>
  <c r="K27" i="89" s="1"/>
  <c r="L27" i="89"/>
  <c r="N27" i="89"/>
  <c r="M27" i="89"/>
  <c r="N23" i="89"/>
  <c r="O23" i="89"/>
  <c r="M23" i="89"/>
  <c r="P23" i="89"/>
  <c r="N19" i="89"/>
  <c r="Q19" i="89"/>
  <c r="L19" i="89"/>
  <c r="O19" i="89"/>
  <c r="J19" i="89"/>
  <c r="K19" i="89" s="1"/>
  <c r="M19" i="89"/>
  <c r="BC74" i="25" l="1"/>
  <c r="BC77" i="25"/>
  <c r="BI58" i="25" l="1"/>
  <c r="BI60" i="25"/>
  <c r="BI61" i="25"/>
  <c r="BI63" i="25"/>
  <c r="BI66" i="25"/>
  <c r="BM57" i="25"/>
  <c r="BM58" i="25"/>
  <c r="BM59" i="25"/>
  <c r="BM60" i="25"/>
  <c r="BM61" i="25"/>
  <c r="BM62" i="25"/>
  <c r="BM63" i="25"/>
  <c r="BM64" i="25"/>
  <c r="BM65" i="25"/>
  <c r="BM66" i="25"/>
  <c r="BM67" i="25"/>
  <c r="BM68" i="25"/>
  <c r="BM69" i="25"/>
  <c r="BM70" i="25"/>
  <c r="BM71" i="25"/>
  <c r="BM72" i="25"/>
  <c r="BM73" i="25"/>
  <c r="BM74" i="25"/>
  <c r="BM75" i="25"/>
  <c r="BM76" i="25"/>
  <c r="BM77" i="25"/>
  <c r="BM78" i="25"/>
  <c r="BM79" i="25"/>
  <c r="BM80" i="25"/>
  <c r="BM81" i="25"/>
  <c r="BN57" i="25"/>
  <c r="BN58" i="25"/>
  <c r="BN59" i="25"/>
  <c r="BN60" i="25"/>
  <c r="BN61" i="25"/>
  <c r="BN62" i="25"/>
  <c r="BN63" i="25"/>
  <c r="BN64" i="25"/>
  <c r="BN65" i="25"/>
  <c r="BN66" i="25"/>
  <c r="BN67" i="25"/>
  <c r="BN68" i="25"/>
  <c r="BN69" i="25"/>
  <c r="BN70" i="25"/>
  <c r="BN71" i="25"/>
  <c r="BN72" i="25"/>
  <c r="BN73" i="25"/>
  <c r="BN74" i="25"/>
  <c r="BN75" i="25"/>
  <c r="BN76" i="25"/>
  <c r="BN77" i="25"/>
  <c r="BN78" i="25"/>
  <c r="BN79" i="25"/>
  <c r="BN80" i="25"/>
  <c r="BN81" i="25"/>
  <c r="BP57" i="25"/>
  <c r="BQ57" i="25" s="1"/>
  <c r="BP58" i="25"/>
  <c r="BQ58" i="25" s="1"/>
  <c r="BP59" i="25"/>
  <c r="BQ59" i="25" s="1"/>
  <c r="BP60" i="25"/>
  <c r="BQ60" i="25" s="1"/>
  <c r="BP61" i="25"/>
  <c r="BP62" i="25"/>
  <c r="BQ62" i="25" s="1"/>
  <c r="BP63" i="25"/>
  <c r="BP64" i="25"/>
  <c r="BQ64" i="25" s="1"/>
  <c r="BP65" i="25"/>
  <c r="BP66" i="25"/>
  <c r="BQ66" i="25" s="1"/>
  <c r="BP67" i="25"/>
  <c r="BQ67" i="25" s="1"/>
  <c r="BP68" i="25"/>
  <c r="BQ68" i="25" s="1"/>
  <c r="BP69" i="25"/>
  <c r="BP70" i="25"/>
  <c r="BQ70" i="25" s="1"/>
  <c r="BP71" i="25"/>
  <c r="BP72" i="25"/>
  <c r="BQ72" i="25" s="1"/>
  <c r="BP73" i="25"/>
  <c r="BQ73" i="25" s="1"/>
  <c r="BP74" i="25"/>
  <c r="BQ74" i="25" s="1"/>
  <c r="BP75" i="25"/>
  <c r="BQ75" i="25" s="1"/>
  <c r="BP76" i="25"/>
  <c r="BQ76" i="25" s="1"/>
  <c r="BP77" i="25"/>
  <c r="BP78" i="25"/>
  <c r="BP79" i="25"/>
  <c r="BP80" i="25"/>
  <c r="BQ80" i="25" s="1"/>
  <c r="BP81" i="25"/>
  <c r="BQ81" i="25" s="1"/>
  <c r="BR57" i="25"/>
  <c r="BS57" i="25" s="1"/>
  <c r="BR58" i="25"/>
  <c r="BS58" i="25" s="1"/>
  <c r="BR59" i="25"/>
  <c r="BS59" i="25" s="1"/>
  <c r="BR60" i="25"/>
  <c r="BS60" i="25" s="1"/>
  <c r="BR61" i="25"/>
  <c r="BS61" i="25" s="1"/>
  <c r="BR62" i="25"/>
  <c r="BS62" i="25" s="1"/>
  <c r="BR63" i="25"/>
  <c r="BS63" i="25" s="1"/>
  <c r="BR64" i="25"/>
  <c r="BS64" i="25" s="1"/>
  <c r="BR65" i="25"/>
  <c r="BS65" i="25" s="1"/>
  <c r="BR66" i="25"/>
  <c r="BS66" i="25" s="1"/>
  <c r="BR67" i="25"/>
  <c r="BS67" i="25" s="1"/>
  <c r="BR68" i="25"/>
  <c r="BS68" i="25" s="1"/>
  <c r="BR69" i="25"/>
  <c r="BS69" i="25" s="1"/>
  <c r="BR70" i="25"/>
  <c r="BS70" i="25" s="1"/>
  <c r="BR71" i="25"/>
  <c r="BS71" i="25" s="1"/>
  <c r="BR72" i="25"/>
  <c r="BS72" i="25" s="1"/>
  <c r="BR73" i="25"/>
  <c r="BS73" i="25" s="1"/>
  <c r="BR74" i="25"/>
  <c r="BS74" i="25" s="1"/>
  <c r="BR75" i="25"/>
  <c r="BS75" i="25" s="1"/>
  <c r="BR76" i="25"/>
  <c r="BS76" i="25" s="1"/>
  <c r="BR77" i="25"/>
  <c r="BS77" i="25" s="1"/>
  <c r="BR78" i="25"/>
  <c r="BS78" i="25" s="1"/>
  <c r="BR79" i="25"/>
  <c r="BS79" i="25" s="1"/>
  <c r="BR80" i="25"/>
  <c r="BS80" i="25" s="1"/>
  <c r="BR81" i="25"/>
  <c r="BS81" i="25" s="1"/>
  <c r="BY57" i="25"/>
  <c r="BY58" i="25"/>
  <c r="BY59" i="25"/>
  <c r="BY60" i="25"/>
  <c r="BY61" i="25"/>
  <c r="BY62" i="25"/>
  <c r="BY63" i="25"/>
  <c r="BY64" i="25"/>
  <c r="BY65" i="25"/>
  <c r="BY66" i="25"/>
  <c r="BY67" i="25"/>
  <c r="BY68" i="25"/>
  <c r="BY69" i="25"/>
  <c r="BY70" i="25"/>
  <c r="BY71" i="25"/>
  <c r="BY72" i="25"/>
  <c r="BY73" i="25"/>
  <c r="BY74" i="25"/>
  <c r="BY75" i="25"/>
  <c r="BY76" i="25"/>
  <c r="BY77" i="25"/>
  <c r="BY78" i="25"/>
  <c r="BY79" i="25"/>
  <c r="BY80" i="25"/>
  <c r="BY81" i="25"/>
  <c r="CB57" i="25"/>
  <c r="CA57" i="25" s="1"/>
  <c r="CF57" i="25" s="1"/>
  <c r="CB58" i="25"/>
  <c r="CA58" i="25" s="1"/>
  <c r="CF58" i="25" s="1"/>
  <c r="CB59" i="25"/>
  <c r="CA59" i="25" s="1"/>
  <c r="CF59" i="25" s="1"/>
  <c r="CB60" i="25"/>
  <c r="CA60" i="25" s="1"/>
  <c r="CF60" i="25" s="1"/>
  <c r="CB61" i="25"/>
  <c r="CA61" i="25" s="1"/>
  <c r="CF61" i="25" s="1"/>
  <c r="CB62" i="25"/>
  <c r="CA62" i="25" s="1"/>
  <c r="CF62" i="25" s="1"/>
  <c r="CB63" i="25"/>
  <c r="CA63" i="25" s="1"/>
  <c r="CF63" i="25" s="1"/>
  <c r="CB64" i="25"/>
  <c r="CA64" i="25" s="1"/>
  <c r="CF64" i="25" s="1"/>
  <c r="CB65" i="25"/>
  <c r="CA65" i="25" s="1"/>
  <c r="CF65" i="25" s="1"/>
  <c r="CB66" i="25"/>
  <c r="CA66" i="25" s="1"/>
  <c r="CF66" i="25" s="1"/>
  <c r="CB67" i="25"/>
  <c r="CA67" i="25" s="1"/>
  <c r="CF67" i="25" s="1"/>
  <c r="CB68" i="25"/>
  <c r="CA68" i="25" s="1"/>
  <c r="CF68" i="25" s="1"/>
  <c r="CB69" i="25"/>
  <c r="CA69" i="25" s="1"/>
  <c r="CF69" i="25" s="1"/>
  <c r="CB70" i="25"/>
  <c r="CA70" i="25" s="1"/>
  <c r="CF70" i="25" s="1"/>
  <c r="CB71" i="25"/>
  <c r="CA71" i="25" s="1"/>
  <c r="CF71" i="25" s="1"/>
  <c r="CB72" i="25"/>
  <c r="CA72" i="25" s="1"/>
  <c r="CF72" i="25" s="1"/>
  <c r="CB73" i="25"/>
  <c r="CA73" i="25" s="1"/>
  <c r="CF73" i="25" s="1"/>
  <c r="CB74" i="25"/>
  <c r="CA74" i="25" s="1"/>
  <c r="CF74" i="25" s="1"/>
  <c r="CB75" i="25"/>
  <c r="CA75" i="25" s="1"/>
  <c r="CF75" i="25" s="1"/>
  <c r="CB76" i="25"/>
  <c r="CA76" i="25" s="1"/>
  <c r="CF76" i="25" s="1"/>
  <c r="CB77" i="25"/>
  <c r="CA77" i="25" s="1"/>
  <c r="CF77" i="25" s="1"/>
  <c r="CB78" i="25"/>
  <c r="CA78" i="25" s="1"/>
  <c r="CF78" i="25" s="1"/>
  <c r="CB79" i="25"/>
  <c r="CA79" i="25" s="1"/>
  <c r="CF79" i="25" s="1"/>
  <c r="CB80" i="25"/>
  <c r="CA80" i="25" s="1"/>
  <c r="CF80" i="25" s="1"/>
  <c r="CB81" i="25"/>
  <c r="CA81" i="25" s="1"/>
  <c r="CF81" i="25" s="1"/>
  <c r="CC57" i="25"/>
  <c r="CC58" i="25"/>
  <c r="CC59" i="25"/>
  <c r="CC60" i="25"/>
  <c r="CC61" i="25"/>
  <c r="CC62" i="25"/>
  <c r="CC63" i="25"/>
  <c r="CC64" i="25"/>
  <c r="CC65" i="25"/>
  <c r="CC66" i="25"/>
  <c r="CC67" i="25"/>
  <c r="CC68" i="25"/>
  <c r="CC69" i="25"/>
  <c r="CC70" i="25"/>
  <c r="CC71" i="25"/>
  <c r="CC72" i="25"/>
  <c r="CC73" i="25"/>
  <c r="CC74" i="25"/>
  <c r="CC75" i="25"/>
  <c r="CC76" i="25"/>
  <c r="CC77" i="25"/>
  <c r="CC78" i="25"/>
  <c r="CC79" i="25"/>
  <c r="CC80" i="25"/>
  <c r="CC81" i="25"/>
  <c r="CG57" i="25"/>
  <c r="CG58" i="25"/>
  <c r="CG59" i="25"/>
  <c r="CG60" i="25"/>
  <c r="CG61" i="25"/>
  <c r="CG62" i="25"/>
  <c r="CG63" i="25"/>
  <c r="CG64" i="25"/>
  <c r="CG65" i="25"/>
  <c r="CG66" i="25"/>
  <c r="CG67" i="25"/>
  <c r="CG68" i="25"/>
  <c r="CG69" i="25"/>
  <c r="CG70" i="25"/>
  <c r="CG71" i="25"/>
  <c r="CG72" i="25"/>
  <c r="CG73" i="25"/>
  <c r="CG74" i="25"/>
  <c r="CG75" i="25"/>
  <c r="CG76" i="25"/>
  <c r="CG77" i="25"/>
  <c r="CG78" i="25"/>
  <c r="CG79" i="25"/>
  <c r="CG80" i="25"/>
  <c r="CG81" i="25"/>
  <c r="CH57" i="25"/>
  <c r="CO57" i="25" s="1"/>
  <c r="CH58" i="25"/>
  <c r="CO58" i="25" s="1"/>
  <c r="CH59" i="25"/>
  <c r="CH60" i="25"/>
  <c r="CO60" i="25" s="1"/>
  <c r="CH61" i="25"/>
  <c r="CH62" i="25"/>
  <c r="CO62" i="25" s="1"/>
  <c r="CH63" i="25"/>
  <c r="CO63" i="25" s="1"/>
  <c r="CH64" i="25"/>
  <c r="CO64" i="25" s="1"/>
  <c r="CH65" i="25"/>
  <c r="CO65" i="25" s="1"/>
  <c r="CH66" i="25"/>
  <c r="CO66" i="25" s="1"/>
  <c r="CH67" i="25"/>
  <c r="CH68" i="25"/>
  <c r="CO68" i="25" s="1"/>
  <c r="CH69" i="25"/>
  <c r="CH70" i="25"/>
  <c r="CO70" i="25" s="1"/>
  <c r="CH71" i="25"/>
  <c r="CO71" i="25" s="1"/>
  <c r="CH72" i="25"/>
  <c r="CO72" i="25" s="1"/>
  <c r="CH73" i="25"/>
  <c r="CO73" i="25" s="1"/>
  <c r="CH74" i="25"/>
  <c r="CO74" i="25" s="1"/>
  <c r="CH75" i="25"/>
  <c r="CH76" i="25"/>
  <c r="CO76" i="25" s="1"/>
  <c r="CH77" i="25"/>
  <c r="CH78" i="25"/>
  <c r="CO78" i="25" s="1"/>
  <c r="CH79" i="25"/>
  <c r="CO79" i="25" s="1"/>
  <c r="CH80" i="25"/>
  <c r="CO80" i="25" s="1"/>
  <c r="CH81" i="25"/>
  <c r="CO81" i="25" s="1"/>
  <c r="CI57" i="25"/>
  <c r="CI58" i="25"/>
  <c r="CI59" i="25"/>
  <c r="CI60" i="25"/>
  <c r="CI61" i="25"/>
  <c r="CI62" i="25"/>
  <c r="CI63" i="25"/>
  <c r="CI64" i="25"/>
  <c r="CI65" i="25"/>
  <c r="CI66" i="25"/>
  <c r="CI67" i="25"/>
  <c r="CI68" i="25"/>
  <c r="CI69" i="25"/>
  <c r="CI70" i="25"/>
  <c r="CI71" i="25"/>
  <c r="CI72" i="25"/>
  <c r="CI73" i="25"/>
  <c r="CI74" i="25"/>
  <c r="CI75" i="25"/>
  <c r="CI76" i="25"/>
  <c r="CI77" i="25"/>
  <c r="CI78" i="25"/>
  <c r="CI79" i="25"/>
  <c r="CI80" i="25"/>
  <c r="CI81" i="25"/>
  <c r="CJ57" i="25"/>
  <c r="CJ58" i="25"/>
  <c r="CJ59" i="25"/>
  <c r="CJ60" i="25"/>
  <c r="CJ61" i="25"/>
  <c r="CJ62" i="25"/>
  <c r="CJ63" i="25"/>
  <c r="CJ64" i="25"/>
  <c r="CJ65" i="25"/>
  <c r="CJ66" i="25"/>
  <c r="CJ67" i="25"/>
  <c r="CJ68" i="25"/>
  <c r="CJ69" i="25"/>
  <c r="CJ70" i="25"/>
  <c r="CJ71" i="25"/>
  <c r="CJ72" i="25"/>
  <c r="CJ73" i="25"/>
  <c r="CJ74" i="25"/>
  <c r="CJ75" i="25"/>
  <c r="CJ76" i="25"/>
  <c r="CJ77" i="25"/>
  <c r="CJ78" i="25"/>
  <c r="CJ79" i="25"/>
  <c r="CJ80" i="25"/>
  <c r="CJ81" i="25"/>
  <c r="CP57" i="25"/>
  <c r="CP58" i="25"/>
  <c r="CP59" i="25"/>
  <c r="CP60" i="25"/>
  <c r="CP61" i="25"/>
  <c r="CP62" i="25"/>
  <c r="CP63" i="25"/>
  <c r="CP64" i="25"/>
  <c r="CP65" i="25"/>
  <c r="CP66" i="25"/>
  <c r="CP67" i="25"/>
  <c r="CP68" i="25"/>
  <c r="CP69" i="25"/>
  <c r="CP70" i="25"/>
  <c r="CP71" i="25"/>
  <c r="CP72" i="25"/>
  <c r="CP73" i="25"/>
  <c r="CP74" i="25"/>
  <c r="CP75" i="25"/>
  <c r="CP76" i="25"/>
  <c r="CP77" i="25"/>
  <c r="CP78" i="25"/>
  <c r="CP79" i="25"/>
  <c r="CP80" i="25"/>
  <c r="CP81" i="25"/>
  <c r="CQ57" i="25"/>
  <c r="CQ58" i="25"/>
  <c r="CQ59" i="25"/>
  <c r="CQ60" i="25"/>
  <c r="CQ61" i="25"/>
  <c r="CQ62" i="25"/>
  <c r="CQ63" i="25"/>
  <c r="CQ64" i="25"/>
  <c r="CQ65" i="25"/>
  <c r="CQ66" i="25"/>
  <c r="CQ67" i="25"/>
  <c r="CQ68" i="25"/>
  <c r="CQ69" i="25"/>
  <c r="CQ70" i="25"/>
  <c r="CQ71" i="25"/>
  <c r="CQ72" i="25"/>
  <c r="CQ73" i="25"/>
  <c r="CQ74" i="25"/>
  <c r="CQ75" i="25"/>
  <c r="CQ76" i="25"/>
  <c r="CQ77" i="25"/>
  <c r="CQ78" i="25"/>
  <c r="CQ79" i="25"/>
  <c r="CQ80" i="25"/>
  <c r="CQ81" i="25"/>
  <c r="CS57" i="25"/>
  <c r="CS58" i="25"/>
  <c r="CS59" i="25"/>
  <c r="CS60" i="25"/>
  <c r="CS61" i="25"/>
  <c r="CS62" i="25"/>
  <c r="CS63" i="25"/>
  <c r="CS64" i="25"/>
  <c r="CS65" i="25"/>
  <c r="CS66" i="25"/>
  <c r="CS67" i="25"/>
  <c r="CS68" i="25"/>
  <c r="CS69" i="25"/>
  <c r="CS70" i="25"/>
  <c r="CS71" i="25"/>
  <c r="CS72" i="25"/>
  <c r="CS73" i="25"/>
  <c r="CS74" i="25"/>
  <c r="CS75" i="25"/>
  <c r="CS76" i="25"/>
  <c r="CS77" i="25"/>
  <c r="CS78" i="25"/>
  <c r="CS79" i="25"/>
  <c r="CS80" i="25"/>
  <c r="CS81" i="25"/>
  <c r="CT57" i="25"/>
  <c r="CT58" i="25"/>
  <c r="CT59" i="25"/>
  <c r="CT60" i="25"/>
  <c r="CT61" i="25"/>
  <c r="CT62" i="25"/>
  <c r="CT63" i="25"/>
  <c r="CT64" i="25"/>
  <c r="CT65" i="25"/>
  <c r="CT66" i="25"/>
  <c r="CT67" i="25"/>
  <c r="CT68" i="25"/>
  <c r="CT69" i="25"/>
  <c r="CT70" i="25"/>
  <c r="CT71" i="25"/>
  <c r="CT72" i="25"/>
  <c r="CT73" i="25"/>
  <c r="CT74" i="25"/>
  <c r="CT75" i="25"/>
  <c r="CT76" i="25"/>
  <c r="CT77" i="25"/>
  <c r="CT78" i="25"/>
  <c r="CT79" i="25"/>
  <c r="CT80" i="25"/>
  <c r="CT81" i="25"/>
  <c r="CU57" i="25"/>
  <c r="CD57" i="25" s="1"/>
  <c r="CE57" i="25" s="1"/>
  <c r="CU58" i="25"/>
  <c r="CD58" i="25" s="1"/>
  <c r="CE58" i="25" s="1"/>
  <c r="CU59" i="25"/>
  <c r="CD59" i="25" s="1"/>
  <c r="CE59" i="25" s="1"/>
  <c r="CU60" i="25"/>
  <c r="CD60" i="25" s="1"/>
  <c r="CE60" i="25" s="1"/>
  <c r="CU61" i="25"/>
  <c r="CD61" i="25" s="1"/>
  <c r="CE61" i="25" s="1"/>
  <c r="CU62" i="25"/>
  <c r="CD62" i="25" s="1"/>
  <c r="CE62" i="25" s="1"/>
  <c r="CU63" i="25"/>
  <c r="CD63" i="25" s="1"/>
  <c r="CE63" i="25" s="1"/>
  <c r="CU64" i="25"/>
  <c r="CD64" i="25" s="1"/>
  <c r="CE64" i="25" s="1"/>
  <c r="CU65" i="25"/>
  <c r="CD65" i="25" s="1"/>
  <c r="CE65" i="25" s="1"/>
  <c r="CU66" i="25"/>
  <c r="CD66" i="25" s="1"/>
  <c r="CE66" i="25" s="1"/>
  <c r="CU67" i="25"/>
  <c r="CD67" i="25" s="1"/>
  <c r="CE67" i="25" s="1"/>
  <c r="CU68" i="25"/>
  <c r="CD68" i="25" s="1"/>
  <c r="CE68" i="25" s="1"/>
  <c r="CU69" i="25"/>
  <c r="CD69" i="25" s="1"/>
  <c r="CE69" i="25" s="1"/>
  <c r="CU70" i="25"/>
  <c r="CD70" i="25" s="1"/>
  <c r="CE70" i="25" s="1"/>
  <c r="CU71" i="25"/>
  <c r="CD71" i="25" s="1"/>
  <c r="CE71" i="25" s="1"/>
  <c r="CU72" i="25"/>
  <c r="CD72" i="25" s="1"/>
  <c r="CE72" i="25" s="1"/>
  <c r="CU73" i="25"/>
  <c r="CD73" i="25" s="1"/>
  <c r="CE73" i="25" s="1"/>
  <c r="CU74" i="25"/>
  <c r="CD74" i="25" s="1"/>
  <c r="CE74" i="25" s="1"/>
  <c r="CU75" i="25"/>
  <c r="CD75" i="25" s="1"/>
  <c r="CE75" i="25" s="1"/>
  <c r="CU76" i="25"/>
  <c r="CD76" i="25" s="1"/>
  <c r="CE76" i="25" s="1"/>
  <c r="CU77" i="25"/>
  <c r="CD77" i="25" s="1"/>
  <c r="CE77" i="25" s="1"/>
  <c r="CU78" i="25"/>
  <c r="CD78" i="25" s="1"/>
  <c r="CE78" i="25" s="1"/>
  <c r="CU79" i="25"/>
  <c r="CD79" i="25" s="1"/>
  <c r="CE79" i="25" s="1"/>
  <c r="CU80" i="25"/>
  <c r="CD80" i="25" s="1"/>
  <c r="CE80" i="25" s="1"/>
  <c r="CU81" i="25"/>
  <c r="CD81" i="25" s="1"/>
  <c r="CE81" i="25" s="1"/>
  <c r="CV57" i="25"/>
  <c r="CV58" i="25"/>
  <c r="CV59" i="25"/>
  <c r="CV60" i="25"/>
  <c r="CV61" i="25"/>
  <c r="CV62" i="25"/>
  <c r="CV63" i="25"/>
  <c r="CV64" i="25"/>
  <c r="CV65" i="25"/>
  <c r="CV66" i="25"/>
  <c r="CV67" i="25"/>
  <c r="CV68" i="25"/>
  <c r="CV69" i="25"/>
  <c r="CV70" i="25"/>
  <c r="CV71" i="25"/>
  <c r="CV72" i="25"/>
  <c r="CV73" i="25"/>
  <c r="CV74" i="25"/>
  <c r="CV75" i="25"/>
  <c r="CV76" i="25"/>
  <c r="CV77" i="25"/>
  <c r="CV78" i="25"/>
  <c r="CV79" i="25"/>
  <c r="CV80" i="25"/>
  <c r="CV81" i="25"/>
  <c r="CW57" i="25"/>
  <c r="CW58" i="25"/>
  <c r="CW59" i="25"/>
  <c r="CW60" i="25"/>
  <c r="CW61" i="25"/>
  <c r="CW62" i="25"/>
  <c r="CW63" i="25"/>
  <c r="CW64" i="25"/>
  <c r="CW65" i="25"/>
  <c r="CW66" i="25"/>
  <c r="CW67" i="25"/>
  <c r="CW68" i="25"/>
  <c r="CW69" i="25"/>
  <c r="CW70" i="25"/>
  <c r="CW71" i="25"/>
  <c r="CW72" i="25"/>
  <c r="CW73" i="25"/>
  <c r="CW74" i="25"/>
  <c r="CW75" i="25"/>
  <c r="CW76" i="25"/>
  <c r="CW77" i="25"/>
  <c r="CW78" i="25"/>
  <c r="CW79" i="25"/>
  <c r="CW80" i="25"/>
  <c r="CW81" i="25"/>
  <c r="CX57" i="25"/>
  <c r="CX58" i="25"/>
  <c r="CX59" i="25"/>
  <c r="CX60" i="25"/>
  <c r="CX61" i="25"/>
  <c r="CX62" i="25"/>
  <c r="CX63" i="25"/>
  <c r="CX64" i="25"/>
  <c r="CX65" i="25"/>
  <c r="CX66" i="25"/>
  <c r="CX67" i="25"/>
  <c r="CX68" i="25"/>
  <c r="CX69" i="25"/>
  <c r="CX70" i="25"/>
  <c r="CX71" i="25"/>
  <c r="CX72" i="25"/>
  <c r="CX73" i="25"/>
  <c r="CX74" i="25"/>
  <c r="CX75" i="25"/>
  <c r="CX76" i="25"/>
  <c r="CX77" i="25"/>
  <c r="CX78" i="25"/>
  <c r="CX79" i="25"/>
  <c r="CX80" i="25"/>
  <c r="CX81" i="25"/>
  <c r="CY57" i="25"/>
  <c r="CY58" i="25"/>
  <c r="CY59" i="25"/>
  <c r="CY60" i="25"/>
  <c r="CY61" i="25"/>
  <c r="CY62" i="25"/>
  <c r="CY63" i="25"/>
  <c r="CY64" i="25"/>
  <c r="CY65" i="25"/>
  <c r="CY66" i="25"/>
  <c r="CY67" i="25"/>
  <c r="CY68" i="25"/>
  <c r="CY69" i="25"/>
  <c r="CY70" i="25"/>
  <c r="CY71" i="25"/>
  <c r="CY72" i="25"/>
  <c r="CY73" i="25"/>
  <c r="CY74" i="25"/>
  <c r="CY75" i="25"/>
  <c r="CY76" i="25"/>
  <c r="CY77" i="25"/>
  <c r="CY78" i="25"/>
  <c r="CY79" i="25"/>
  <c r="CY80" i="25"/>
  <c r="CY81" i="25"/>
  <c r="CZ57" i="25"/>
  <c r="CZ58" i="25"/>
  <c r="CZ59" i="25"/>
  <c r="CZ60" i="25"/>
  <c r="CZ61" i="25"/>
  <c r="CZ62" i="25"/>
  <c r="CZ63" i="25"/>
  <c r="CZ64" i="25"/>
  <c r="CZ65" i="25"/>
  <c r="CZ66" i="25"/>
  <c r="CZ67" i="25"/>
  <c r="CZ68" i="25"/>
  <c r="CZ69" i="25"/>
  <c r="CZ70" i="25"/>
  <c r="CZ71" i="25"/>
  <c r="CZ72" i="25"/>
  <c r="CZ73" i="25"/>
  <c r="CZ74" i="25"/>
  <c r="CZ75" i="25"/>
  <c r="CZ76" i="25"/>
  <c r="CZ77" i="25"/>
  <c r="CZ78" i="25"/>
  <c r="CZ79" i="25"/>
  <c r="CZ80" i="25"/>
  <c r="CZ81" i="25"/>
  <c r="DA57" i="25"/>
  <c r="DA58" i="25"/>
  <c r="DA59" i="25"/>
  <c r="DA60" i="25"/>
  <c r="DA61" i="25"/>
  <c r="DA62" i="25"/>
  <c r="DA63" i="25"/>
  <c r="DA64" i="25"/>
  <c r="DA65" i="25"/>
  <c r="DA66" i="25"/>
  <c r="DA67" i="25"/>
  <c r="DA68" i="25"/>
  <c r="DA69" i="25"/>
  <c r="DA70" i="25"/>
  <c r="DA71" i="25"/>
  <c r="DA72" i="25"/>
  <c r="DA73" i="25"/>
  <c r="DA74" i="25"/>
  <c r="DA75" i="25"/>
  <c r="DA76" i="25"/>
  <c r="DA77" i="25"/>
  <c r="DA78" i="25"/>
  <c r="DA79" i="25"/>
  <c r="DA80" i="25"/>
  <c r="DA81" i="25"/>
  <c r="DB57" i="25"/>
  <c r="DB58" i="25"/>
  <c r="DB59" i="25"/>
  <c r="DB60" i="25"/>
  <c r="DB61" i="25"/>
  <c r="DB62" i="25"/>
  <c r="DB63" i="25"/>
  <c r="DB64" i="25"/>
  <c r="DB65" i="25"/>
  <c r="DB66" i="25"/>
  <c r="DB67" i="25"/>
  <c r="DB68" i="25"/>
  <c r="DB69" i="25"/>
  <c r="DB70" i="25"/>
  <c r="DB71" i="25"/>
  <c r="DB72" i="25"/>
  <c r="DB73" i="25"/>
  <c r="DB74" i="25"/>
  <c r="DB75" i="25"/>
  <c r="DB76" i="25"/>
  <c r="DB77" i="25"/>
  <c r="DB78" i="25"/>
  <c r="DB79" i="25"/>
  <c r="DB80" i="25"/>
  <c r="DB81" i="25"/>
  <c r="DC57" i="25"/>
  <c r="DC58" i="25"/>
  <c r="DC59" i="25"/>
  <c r="DC60" i="25"/>
  <c r="DC61" i="25"/>
  <c r="DC62" i="25"/>
  <c r="DC63" i="25"/>
  <c r="DC64" i="25"/>
  <c r="DC65" i="25"/>
  <c r="DC66" i="25"/>
  <c r="DC67" i="25"/>
  <c r="DC68" i="25"/>
  <c r="DC69" i="25"/>
  <c r="DC70" i="25"/>
  <c r="DC71" i="25"/>
  <c r="DC72" i="25"/>
  <c r="DC73" i="25"/>
  <c r="DC74" i="25"/>
  <c r="DC75" i="25"/>
  <c r="DC76" i="25"/>
  <c r="DC77" i="25"/>
  <c r="DC78" i="25"/>
  <c r="DC79" i="25"/>
  <c r="DC80" i="25"/>
  <c r="DC81" i="25"/>
  <c r="DD57" i="25"/>
  <c r="DD58" i="25"/>
  <c r="DD59" i="25"/>
  <c r="DD60" i="25"/>
  <c r="DD61" i="25"/>
  <c r="DD62" i="25"/>
  <c r="DD63" i="25"/>
  <c r="DD64" i="25"/>
  <c r="DD65" i="25"/>
  <c r="DD66" i="25"/>
  <c r="DD67" i="25"/>
  <c r="DD68" i="25"/>
  <c r="DD69" i="25"/>
  <c r="DD70" i="25"/>
  <c r="DD71" i="25"/>
  <c r="DD72" i="25"/>
  <c r="DD73" i="25"/>
  <c r="DD74" i="25"/>
  <c r="DD75" i="25"/>
  <c r="DD76" i="25"/>
  <c r="DD77" i="25"/>
  <c r="DD78" i="25"/>
  <c r="DD79" i="25"/>
  <c r="DD80" i="25"/>
  <c r="DD81" i="25"/>
  <c r="BI81" i="25"/>
  <c r="G81" i="25"/>
  <c r="BI80" i="25"/>
  <c r="G80" i="25"/>
  <c r="BI79" i="25"/>
  <c r="G79" i="25"/>
  <c r="BI78" i="25"/>
  <c r="G78" i="25"/>
  <c r="BI77" i="25"/>
  <c r="G77" i="25"/>
  <c r="BI76" i="25"/>
  <c r="G76" i="25"/>
  <c r="BI75" i="25"/>
  <c r="G75" i="25"/>
  <c r="BI74" i="25"/>
  <c r="G74" i="25"/>
  <c r="BI73" i="25"/>
  <c r="G73" i="25"/>
  <c r="BI72" i="25"/>
  <c r="G72" i="25"/>
  <c r="BI71" i="25"/>
  <c r="G71" i="25"/>
  <c r="BI70" i="25"/>
  <c r="G70" i="25"/>
  <c r="BI69" i="25"/>
  <c r="G69" i="25"/>
  <c r="BI68" i="25"/>
  <c r="G68" i="25"/>
  <c r="BI67" i="25"/>
  <c r="G67" i="25"/>
  <c r="G66" i="25"/>
  <c r="BI65" i="25"/>
  <c r="G65" i="25"/>
  <c r="BI64" i="25"/>
  <c r="G64" i="25"/>
  <c r="G63" i="25"/>
  <c r="BI62" i="25"/>
  <c r="G62" i="25"/>
  <c r="G61" i="25"/>
  <c r="G60" i="25"/>
  <c r="BI59" i="25"/>
  <c r="G59" i="25"/>
  <c r="G58" i="25"/>
  <c r="BI57" i="25"/>
  <c r="G57" i="25"/>
  <c r="BO62" i="25" l="1"/>
  <c r="BO67" i="25"/>
  <c r="CK72" i="25"/>
  <c r="CL72" i="25" s="1"/>
  <c r="CM72" i="25" s="1"/>
  <c r="CN72" i="25" s="1"/>
  <c r="BO80" i="25"/>
  <c r="BO72" i="25"/>
  <c r="BO64" i="25"/>
  <c r="CK77" i="25"/>
  <c r="CL77" i="25" s="1"/>
  <c r="CM77" i="25" s="1"/>
  <c r="CN77" i="25" s="1"/>
  <c r="CK61" i="25"/>
  <c r="CL61" i="25" s="1"/>
  <c r="CM61" i="25" s="1"/>
  <c r="CN61" i="25" s="1"/>
  <c r="BO78" i="25"/>
  <c r="BT73" i="25"/>
  <c r="BW73" i="25" s="1"/>
  <c r="BX73" i="25" s="1"/>
  <c r="BT78" i="25"/>
  <c r="BW78" i="25" s="1"/>
  <c r="BX78" i="25" s="1"/>
  <c r="BU70" i="25"/>
  <c r="BV70" i="25" s="1"/>
  <c r="BZ70" i="25" s="1"/>
  <c r="BU62" i="25"/>
  <c r="BV62" i="25" s="1"/>
  <c r="BZ62" i="25" s="1"/>
  <c r="BU81" i="25"/>
  <c r="BV81" i="25" s="1"/>
  <c r="BZ81" i="25" s="1"/>
  <c r="BT65" i="25"/>
  <c r="BW65" i="25" s="1"/>
  <c r="BX65" i="25" s="1"/>
  <c r="CK80" i="25"/>
  <c r="CL80" i="25" s="1"/>
  <c r="CM80" i="25" s="1"/>
  <c r="CN80" i="25" s="1"/>
  <c r="BT57" i="25"/>
  <c r="BW57" i="25" s="1"/>
  <c r="BX57" i="25" s="1"/>
  <c r="BQ65" i="25"/>
  <c r="BU65" i="25" s="1"/>
  <c r="BV65" i="25" s="1"/>
  <c r="BZ65" i="25" s="1"/>
  <c r="CK76" i="25"/>
  <c r="CL76" i="25" s="1"/>
  <c r="CM76" i="25" s="1"/>
  <c r="CN76" i="25" s="1"/>
  <c r="CK68" i="25"/>
  <c r="CL68" i="25" s="1"/>
  <c r="CM68" i="25" s="1"/>
  <c r="CN68" i="25" s="1"/>
  <c r="CK60" i="25"/>
  <c r="CL60" i="25" s="1"/>
  <c r="CM60" i="25" s="1"/>
  <c r="CN60" i="25" s="1"/>
  <c r="BO74" i="25"/>
  <c r="BO66" i="25"/>
  <c r="BO58" i="25"/>
  <c r="BT75" i="25"/>
  <c r="BW75" i="25" s="1"/>
  <c r="BX75" i="25" s="1"/>
  <c r="CK81" i="25"/>
  <c r="CL81" i="25" s="1"/>
  <c r="CM81" i="25" s="1"/>
  <c r="CN81" i="25" s="1"/>
  <c r="CK73" i="25"/>
  <c r="CL73" i="25" s="1"/>
  <c r="CM73" i="25" s="1"/>
  <c r="CN73" i="25" s="1"/>
  <c r="CK65" i="25"/>
  <c r="CL65" i="25" s="1"/>
  <c r="CM65" i="25" s="1"/>
  <c r="CN65" i="25" s="1"/>
  <c r="CK57" i="25"/>
  <c r="CL57" i="25" s="1"/>
  <c r="CM57" i="25" s="1"/>
  <c r="CN57" i="25" s="1"/>
  <c r="CK74" i="25"/>
  <c r="CL74" i="25" s="1"/>
  <c r="CM74" i="25" s="1"/>
  <c r="CN74" i="25" s="1"/>
  <c r="CK58" i="25"/>
  <c r="CL58" i="25" s="1"/>
  <c r="CM58" i="25" s="1"/>
  <c r="CN58" i="25" s="1"/>
  <c r="BU80" i="25"/>
  <c r="BV80" i="25" s="1"/>
  <c r="BZ80" i="25" s="1"/>
  <c r="BU72" i="25"/>
  <c r="BV72" i="25" s="1"/>
  <c r="BZ72" i="25" s="1"/>
  <c r="BT59" i="25"/>
  <c r="BW59" i="25" s="1"/>
  <c r="BX59" i="25" s="1"/>
  <c r="BO79" i="25"/>
  <c r="BO71" i="25"/>
  <c r="BO63" i="25"/>
  <c r="BT67" i="25"/>
  <c r="BW67" i="25" s="1"/>
  <c r="BX67" i="25" s="1"/>
  <c r="BU59" i="25"/>
  <c r="BV59" i="25" s="1"/>
  <c r="BZ59" i="25" s="1"/>
  <c r="BQ78" i="25"/>
  <c r="BU78" i="25" s="1"/>
  <c r="BV78" i="25" s="1"/>
  <c r="BZ78" i="25" s="1"/>
  <c r="BT81" i="25"/>
  <c r="BW81" i="25" s="1"/>
  <c r="BX81" i="25" s="1"/>
  <c r="BU73" i="25"/>
  <c r="BV73" i="25" s="1"/>
  <c r="BZ73" i="25" s="1"/>
  <c r="BU57" i="25"/>
  <c r="BV57" i="25" s="1"/>
  <c r="BZ57" i="25" s="1"/>
  <c r="BO70" i="25"/>
  <c r="CK78" i="25"/>
  <c r="CL78" i="25" s="1"/>
  <c r="CM78" i="25" s="1"/>
  <c r="CN78" i="25" s="1"/>
  <c r="CK70" i="25"/>
  <c r="CL70" i="25" s="1"/>
  <c r="CM70" i="25" s="1"/>
  <c r="CN70" i="25" s="1"/>
  <c r="CK62" i="25"/>
  <c r="CL62" i="25" s="1"/>
  <c r="CM62" i="25" s="1"/>
  <c r="CN62" i="25" s="1"/>
  <c r="CK79" i="25"/>
  <c r="CL79" i="25" s="1"/>
  <c r="CM79" i="25" s="1"/>
  <c r="CN79" i="25" s="1"/>
  <c r="CK71" i="25"/>
  <c r="CL71" i="25" s="1"/>
  <c r="CM71" i="25" s="1"/>
  <c r="CN71" i="25" s="1"/>
  <c r="CK63" i="25"/>
  <c r="CL63" i="25" s="1"/>
  <c r="CM63" i="25" s="1"/>
  <c r="CN63" i="25" s="1"/>
  <c r="CK69" i="25"/>
  <c r="CL69" i="25" s="1"/>
  <c r="CM69" i="25" s="1"/>
  <c r="CN69" i="25" s="1"/>
  <c r="BT79" i="25"/>
  <c r="BW79" i="25" s="1"/>
  <c r="BX79" i="25" s="1"/>
  <c r="BT71" i="25"/>
  <c r="BW71" i="25" s="1"/>
  <c r="BX71" i="25" s="1"/>
  <c r="BT63" i="25"/>
  <c r="BW63" i="25" s="1"/>
  <c r="BX63" i="25" s="1"/>
  <c r="BO75" i="25"/>
  <c r="BO59" i="25"/>
  <c r="CK66" i="25"/>
  <c r="CL66" i="25" s="1"/>
  <c r="CM66" i="25" s="1"/>
  <c r="CN66" i="25" s="1"/>
  <c r="CK64" i="25"/>
  <c r="CL64" i="25" s="1"/>
  <c r="CM64" i="25" s="1"/>
  <c r="CN64" i="25" s="1"/>
  <c r="CK75" i="25"/>
  <c r="CL75" i="25" s="1"/>
  <c r="CM75" i="25" s="1"/>
  <c r="CN75" i="25" s="1"/>
  <c r="BT70" i="25"/>
  <c r="BW70" i="25" s="1"/>
  <c r="BX70" i="25" s="1"/>
  <c r="CK67" i="25"/>
  <c r="CL67" i="25" s="1"/>
  <c r="CM67" i="25" s="1"/>
  <c r="CN67" i="25" s="1"/>
  <c r="CK59" i="25"/>
  <c r="CL59" i="25" s="1"/>
  <c r="CM59" i="25" s="1"/>
  <c r="CN59" i="25" s="1"/>
  <c r="BU76" i="25"/>
  <c r="BV76" i="25" s="1"/>
  <c r="BZ76" i="25" s="1"/>
  <c r="BO81" i="25"/>
  <c r="BO73" i="25"/>
  <c r="BO65" i="25"/>
  <c r="BO57" i="25"/>
  <c r="BT62" i="25"/>
  <c r="BW62" i="25" s="1"/>
  <c r="BX62" i="25" s="1"/>
  <c r="BT77" i="25"/>
  <c r="BW77" i="25" s="1"/>
  <c r="BX77" i="25" s="1"/>
  <c r="BT69" i="25"/>
  <c r="BW69" i="25" s="1"/>
  <c r="BX69" i="25" s="1"/>
  <c r="BT61" i="25"/>
  <c r="BW61" i="25" s="1"/>
  <c r="BX61" i="25" s="1"/>
  <c r="BU60" i="25"/>
  <c r="BV60" i="25" s="1"/>
  <c r="BZ60" i="25" s="1"/>
  <c r="BT76" i="25"/>
  <c r="BW76" i="25" s="1"/>
  <c r="BX76" i="25" s="1"/>
  <c r="BT68" i="25"/>
  <c r="BW68" i="25" s="1"/>
  <c r="BX68" i="25" s="1"/>
  <c r="BT60" i="25"/>
  <c r="BW60" i="25" s="1"/>
  <c r="BX60" i="25" s="1"/>
  <c r="BU74" i="25"/>
  <c r="BV74" i="25" s="1"/>
  <c r="BZ74" i="25" s="1"/>
  <c r="BU66" i="25"/>
  <c r="BV66" i="25" s="1"/>
  <c r="BZ66" i="25" s="1"/>
  <c r="BU58" i="25"/>
  <c r="BV58" i="25" s="1"/>
  <c r="BZ58" i="25" s="1"/>
  <c r="BO76" i="25"/>
  <c r="BO68" i="25"/>
  <c r="BO60" i="25"/>
  <c r="BO77" i="25"/>
  <c r="BO69" i="25"/>
  <c r="BO61" i="25"/>
  <c r="BU64" i="25"/>
  <c r="BV64" i="25" s="1"/>
  <c r="BZ64" i="25" s="1"/>
  <c r="BU68" i="25"/>
  <c r="BV68" i="25" s="1"/>
  <c r="BZ68" i="25" s="1"/>
  <c r="BU67" i="25"/>
  <c r="BV67" i="25" s="1"/>
  <c r="BZ67" i="25" s="1"/>
  <c r="BU75" i="25"/>
  <c r="BV75" i="25" s="1"/>
  <c r="BZ75" i="25" s="1"/>
  <c r="BQ79" i="25"/>
  <c r="BU79" i="25" s="1"/>
  <c r="BV79" i="25" s="1"/>
  <c r="BZ79" i="25" s="1"/>
  <c r="BQ71" i="25"/>
  <c r="BU71" i="25" s="1"/>
  <c r="BV71" i="25" s="1"/>
  <c r="BZ71" i="25" s="1"/>
  <c r="BQ63" i="25"/>
  <c r="BU63" i="25" s="1"/>
  <c r="BV63" i="25" s="1"/>
  <c r="BZ63" i="25" s="1"/>
  <c r="CO77" i="25"/>
  <c r="CO69" i="25"/>
  <c r="CO61" i="25"/>
  <c r="BT74" i="25"/>
  <c r="BW74" i="25" s="1"/>
  <c r="BX74" i="25" s="1"/>
  <c r="BT66" i="25"/>
  <c r="BW66" i="25" s="1"/>
  <c r="BX66" i="25" s="1"/>
  <c r="BT58" i="25"/>
  <c r="BW58" i="25" s="1"/>
  <c r="BX58" i="25" s="1"/>
  <c r="BQ77" i="25"/>
  <c r="BU77" i="25" s="1"/>
  <c r="BV77" i="25" s="1"/>
  <c r="BZ77" i="25" s="1"/>
  <c r="BQ69" i="25"/>
  <c r="BU69" i="25" s="1"/>
  <c r="BV69" i="25" s="1"/>
  <c r="BZ69" i="25" s="1"/>
  <c r="BQ61" i="25"/>
  <c r="BU61" i="25" s="1"/>
  <c r="BV61" i="25" s="1"/>
  <c r="BZ61" i="25" s="1"/>
  <c r="CO75" i="25"/>
  <c r="CO67" i="25"/>
  <c r="CO59" i="25"/>
  <c r="BT80" i="25"/>
  <c r="BW80" i="25" s="1"/>
  <c r="BX80" i="25" s="1"/>
  <c r="BT72" i="25"/>
  <c r="BW72" i="25" s="1"/>
  <c r="BX72" i="25" s="1"/>
  <c r="BT64" i="25"/>
  <c r="BW64" i="25" s="1"/>
  <c r="BX64" i="25" s="1"/>
  <c r="BI34" i="25" l="1"/>
  <c r="BI37" i="25"/>
  <c r="BI39" i="25"/>
  <c r="BI40" i="25"/>
  <c r="BI42" i="25"/>
  <c r="BI43" i="25"/>
  <c r="BI44" i="25"/>
  <c r="BI45" i="25"/>
  <c r="BI46" i="25"/>
  <c r="BI47" i="25"/>
  <c r="BI48" i="25"/>
  <c r="BI49" i="25"/>
  <c r="BI50" i="25"/>
  <c r="BI51" i="25"/>
  <c r="BI52" i="25"/>
  <c r="BI53" i="25"/>
  <c r="BI54" i="25"/>
  <c r="BI55" i="25"/>
  <c r="BI56" i="25"/>
  <c r="BI32" i="25"/>
  <c r="DG49" i="25"/>
  <c r="DG48" i="25"/>
  <c r="DF49" i="25"/>
  <c r="DF48" i="25"/>
  <c r="CJ7" i="25" l="1"/>
  <c r="CJ8" i="25"/>
  <c r="CJ9" i="25"/>
  <c r="CJ10" i="25"/>
  <c r="CJ11" i="25"/>
  <c r="CJ12" i="25"/>
  <c r="CJ13" i="25"/>
  <c r="CJ14" i="25"/>
  <c r="CJ15" i="25"/>
  <c r="CJ16" i="25"/>
  <c r="CJ17" i="25"/>
  <c r="CJ18" i="25"/>
  <c r="CJ19" i="25"/>
  <c r="CJ20" i="25"/>
  <c r="CJ21" i="25"/>
  <c r="CJ22" i="25"/>
  <c r="CJ23" i="25"/>
  <c r="CJ24" i="25"/>
  <c r="CJ25" i="25"/>
  <c r="CJ26" i="25"/>
  <c r="CJ27" i="25"/>
  <c r="CJ28" i="25"/>
  <c r="CJ29" i="25"/>
  <c r="CJ30" i="25"/>
  <c r="CJ31" i="25"/>
  <c r="CJ32" i="25"/>
  <c r="CJ33" i="25"/>
  <c r="CJ34" i="25"/>
  <c r="CJ35" i="25"/>
  <c r="CJ36" i="25"/>
  <c r="CJ37" i="25"/>
  <c r="CJ38" i="25"/>
  <c r="CJ39" i="25"/>
  <c r="CJ40" i="25"/>
  <c r="CJ41" i="25"/>
  <c r="CJ42" i="25"/>
  <c r="CJ43" i="25"/>
  <c r="CJ44" i="25"/>
  <c r="CJ45" i="25"/>
  <c r="CJ46" i="25"/>
  <c r="CJ47" i="25"/>
  <c r="CJ48" i="25"/>
  <c r="CJ49" i="25"/>
  <c r="CJ50" i="25"/>
  <c r="CJ51" i="25"/>
  <c r="CJ52" i="25"/>
  <c r="CJ53" i="25"/>
  <c r="CJ54" i="25"/>
  <c r="CJ55" i="25"/>
  <c r="CJ56" i="25"/>
  <c r="G95" i="92"/>
  <c r="C221" i="92"/>
  <c r="D370" i="92"/>
  <c r="G25" i="89"/>
  <c r="Q349" i="92"/>
  <c r="D371" i="92"/>
  <c r="G98" i="92"/>
  <c r="C223" i="92"/>
  <c r="D369" i="92"/>
  <c r="C222" i="92"/>
  <c r="H82" i="89" l="1"/>
  <c r="R349" i="92"/>
  <c r="CI7" i="25"/>
  <c r="CI8" i="25"/>
  <c r="CI9" i="25"/>
  <c r="CI10" i="25"/>
  <c r="CI11" i="25"/>
  <c r="CI12" i="25"/>
  <c r="CI13" i="25"/>
  <c r="CI14" i="25"/>
  <c r="CI15" i="25"/>
  <c r="CI16" i="25"/>
  <c r="CI17" i="25"/>
  <c r="CI18" i="25"/>
  <c r="CI19" i="25"/>
  <c r="CI20" i="25"/>
  <c r="CI21" i="25"/>
  <c r="CI22" i="25"/>
  <c r="CI23" i="25"/>
  <c r="CI24" i="25"/>
  <c r="CI25" i="25"/>
  <c r="CI26" i="25"/>
  <c r="CI27" i="25"/>
  <c r="CI28" i="25"/>
  <c r="CI29" i="25"/>
  <c r="CI30" i="25"/>
  <c r="CI31" i="25"/>
  <c r="CI32" i="25"/>
  <c r="CI33" i="25"/>
  <c r="CI34" i="25"/>
  <c r="CI35" i="25"/>
  <c r="CI36" i="25"/>
  <c r="CI37" i="25"/>
  <c r="CI38" i="25"/>
  <c r="CI39" i="25"/>
  <c r="CI40" i="25"/>
  <c r="CI41" i="25"/>
  <c r="CI42" i="25"/>
  <c r="CI43" i="25"/>
  <c r="CI44" i="25"/>
  <c r="CI45" i="25"/>
  <c r="CI46" i="25"/>
  <c r="CI47" i="25"/>
  <c r="CI48" i="25"/>
  <c r="CI49" i="25"/>
  <c r="CI50" i="25"/>
  <c r="CI51" i="25"/>
  <c r="CI52" i="25"/>
  <c r="CI53" i="25"/>
  <c r="CI54" i="25"/>
  <c r="CI55" i="25"/>
  <c r="CI56" i="25"/>
  <c r="G32" i="89"/>
  <c r="G26" i="25" l="1"/>
  <c r="G27" i="25"/>
  <c r="G28" i="25"/>
  <c r="G29" i="25"/>
  <c r="G30" i="25"/>
  <c r="G31" i="25"/>
  <c r="G32" i="25"/>
  <c r="G33" i="25"/>
  <c r="G34" i="25"/>
  <c r="G35" i="25"/>
  <c r="G36" i="25"/>
  <c r="G37" i="25"/>
  <c r="G38" i="25"/>
  <c r="G39" i="25"/>
  <c r="G40" i="25"/>
  <c r="G41" i="25"/>
  <c r="G42" i="25"/>
  <c r="G43" i="25"/>
  <c r="G44" i="25"/>
  <c r="G45" i="25"/>
  <c r="G46" i="25"/>
  <c r="G47" i="25"/>
  <c r="G48" i="25"/>
  <c r="G49" i="25"/>
  <c r="G50" i="25"/>
  <c r="G51" i="25"/>
  <c r="G52" i="25"/>
  <c r="G53" i="25"/>
  <c r="G54" i="25"/>
  <c r="G55" i="25"/>
  <c r="G56" i="25"/>
  <c r="G29" i="89"/>
  <c r="BM32" i="25" l="1"/>
  <c r="BM33" i="25"/>
  <c r="BM34" i="25"/>
  <c r="BM35" i="25"/>
  <c r="BM36" i="25"/>
  <c r="BM37" i="25"/>
  <c r="BM38" i="25"/>
  <c r="BM39" i="25"/>
  <c r="BM40" i="25"/>
  <c r="BM41" i="25"/>
  <c r="BM42" i="25"/>
  <c r="BM43" i="25"/>
  <c r="BM44" i="25"/>
  <c r="BM45" i="25"/>
  <c r="BM46" i="25"/>
  <c r="BM47" i="25"/>
  <c r="BM48" i="25"/>
  <c r="BM49" i="25"/>
  <c r="BM50" i="25"/>
  <c r="BM51" i="25"/>
  <c r="BM52" i="25"/>
  <c r="BM53" i="25"/>
  <c r="BM54" i="25"/>
  <c r="BM55" i="25"/>
  <c r="BM56" i="25"/>
  <c r="BN32" i="25"/>
  <c r="BN33" i="25"/>
  <c r="BN34" i="25"/>
  <c r="BN35" i="25"/>
  <c r="BN36" i="25"/>
  <c r="BN37" i="25"/>
  <c r="BN38" i="25"/>
  <c r="BN39" i="25"/>
  <c r="BN40" i="25"/>
  <c r="BN41" i="25"/>
  <c r="BN42" i="25"/>
  <c r="BN43" i="25"/>
  <c r="BN44" i="25"/>
  <c r="BN45" i="25"/>
  <c r="BN46" i="25"/>
  <c r="BN47" i="25"/>
  <c r="BN48" i="25"/>
  <c r="BN49" i="25"/>
  <c r="BN50" i="25"/>
  <c r="BN51" i="25"/>
  <c r="BN52" i="25"/>
  <c r="BN53" i="25"/>
  <c r="BN54" i="25"/>
  <c r="BN55" i="25"/>
  <c r="BN56" i="25"/>
  <c r="BP32" i="25"/>
  <c r="BQ32" i="25" s="1"/>
  <c r="BP33" i="25"/>
  <c r="BQ33" i="25" s="1"/>
  <c r="BP34" i="25"/>
  <c r="BQ34" i="25" s="1"/>
  <c r="BP35" i="25"/>
  <c r="BQ35" i="25" s="1"/>
  <c r="BP36" i="25"/>
  <c r="BQ36" i="25" s="1"/>
  <c r="BP37" i="25"/>
  <c r="BQ37" i="25" s="1"/>
  <c r="BP38" i="25"/>
  <c r="BQ38" i="25" s="1"/>
  <c r="BP39" i="25"/>
  <c r="BQ39" i="25" s="1"/>
  <c r="BP40" i="25"/>
  <c r="BQ40" i="25" s="1"/>
  <c r="BP41" i="25"/>
  <c r="BQ41" i="25" s="1"/>
  <c r="BP42" i="25"/>
  <c r="BQ42" i="25" s="1"/>
  <c r="BP43" i="25"/>
  <c r="BP44" i="25"/>
  <c r="BQ44" i="25" s="1"/>
  <c r="BP45" i="25"/>
  <c r="BQ45" i="25" s="1"/>
  <c r="BP46" i="25"/>
  <c r="BQ46" i="25" s="1"/>
  <c r="BP47" i="25"/>
  <c r="BQ47" i="25" s="1"/>
  <c r="BP48" i="25"/>
  <c r="BQ48" i="25" s="1"/>
  <c r="BP49" i="25"/>
  <c r="BQ49" i="25" s="1"/>
  <c r="BP50" i="25"/>
  <c r="BQ50" i="25" s="1"/>
  <c r="BP51" i="25"/>
  <c r="BQ51" i="25" s="1"/>
  <c r="BP52" i="25"/>
  <c r="BQ52" i="25" s="1"/>
  <c r="BP53" i="25"/>
  <c r="BQ53" i="25" s="1"/>
  <c r="BP54" i="25"/>
  <c r="BQ54" i="25" s="1"/>
  <c r="BP55" i="25"/>
  <c r="BQ55" i="25" s="1"/>
  <c r="BP56" i="25"/>
  <c r="BQ56" i="25" s="1"/>
  <c r="BR32" i="25"/>
  <c r="BS32" i="25" s="1"/>
  <c r="BR33" i="25"/>
  <c r="BR34" i="25"/>
  <c r="BS34" i="25" s="1"/>
  <c r="BR35" i="25"/>
  <c r="BS35" i="25" s="1"/>
  <c r="BR36" i="25"/>
  <c r="BS36" i="25" s="1"/>
  <c r="BR37" i="25"/>
  <c r="BS37" i="25" s="1"/>
  <c r="BR38" i="25"/>
  <c r="BS38" i="25" s="1"/>
  <c r="BR39" i="25"/>
  <c r="BS39" i="25" s="1"/>
  <c r="BR40" i="25"/>
  <c r="BS40" i="25" s="1"/>
  <c r="BR41" i="25"/>
  <c r="BS41" i="25" s="1"/>
  <c r="BR42" i="25"/>
  <c r="BS42" i="25" s="1"/>
  <c r="BR43" i="25"/>
  <c r="BS43" i="25" s="1"/>
  <c r="BR44" i="25"/>
  <c r="BS44" i="25" s="1"/>
  <c r="BR45" i="25"/>
  <c r="BS45" i="25" s="1"/>
  <c r="BR46" i="25"/>
  <c r="BR47" i="25"/>
  <c r="BS47" i="25" s="1"/>
  <c r="BR48" i="25"/>
  <c r="BS48" i="25" s="1"/>
  <c r="BR49" i="25"/>
  <c r="BS49" i="25" s="1"/>
  <c r="BR50" i="25"/>
  <c r="BS50" i="25" s="1"/>
  <c r="BR51" i="25"/>
  <c r="BS51" i="25" s="1"/>
  <c r="BR52" i="25"/>
  <c r="BS52" i="25" s="1"/>
  <c r="BR53" i="25"/>
  <c r="BS53" i="25" s="1"/>
  <c r="BR54" i="25"/>
  <c r="BS54" i="25" s="1"/>
  <c r="BR55" i="25"/>
  <c r="BS55" i="25" s="1"/>
  <c r="BR56" i="25"/>
  <c r="BS56" i="25" s="1"/>
  <c r="BS33" i="25"/>
  <c r="BY32" i="25"/>
  <c r="BY33" i="25"/>
  <c r="BY34" i="25"/>
  <c r="BY35" i="25"/>
  <c r="BY36" i="25"/>
  <c r="BY37" i="25"/>
  <c r="BY38" i="25"/>
  <c r="BY39" i="25"/>
  <c r="BY40" i="25"/>
  <c r="BY41" i="25"/>
  <c r="BY42" i="25"/>
  <c r="BY43" i="25"/>
  <c r="BY44" i="25"/>
  <c r="BY45" i="25"/>
  <c r="BY46" i="25"/>
  <c r="BY47" i="25"/>
  <c r="BY48" i="25"/>
  <c r="BY49" i="25"/>
  <c r="BY50" i="25"/>
  <c r="BY51" i="25"/>
  <c r="BY52" i="25"/>
  <c r="BY53" i="25"/>
  <c r="BY54" i="25"/>
  <c r="BY55" i="25"/>
  <c r="BY56" i="25"/>
  <c r="CB32" i="25"/>
  <c r="CA32" i="25" s="1"/>
  <c r="CF32" i="25" s="1"/>
  <c r="CB33" i="25"/>
  <c r="CA33" i="25" s="1"/>
  <c r="CF33" i="25" s="1"/>
  <c r="CB34" i="25"/>
  <c r="CA34" i="25" s="1"/>
  <c r="CF34" i="25" s="1"/>
  <c r="CB35" i="25"/>
  <c r="CA35" i="25" s="1"/>
  <c r="CF35" i="25" s="1"/>
  <c r="CB36" i="25"/>
  <c r="CA36" i="25" s="1"/>
  <c r="CF36" i="25" s="1"/>
  <c r="CB37" i="25"/>
  <c r="CA37" i="25" s="1"/>
  <c r="CF37" i="25" s="1"/>
  <c r="CB38" i="25"/>
  <c r="CA38" i="25" s="1"/>
  <c r="CF38" i="25" s="1"/>
  <c r="CB39" i="25"/>
  <c r="CA39" i="25" s="1"/>
  <c r="CF39" i="25" s="1"/>
  <c r="CB40" i="25"/>
  <c r="CA40" i="25" s="1"/>
  <c r="CF40" i="25" s="1"/>
  <c r="CB41" i="25"/>
  <c r="CA41" i="25" s="1"/>
  <c r="CF41" i="25" s="1"/>
  <c r="CB42" i="25"/>
  <c r="CA42" i="25" s="1"/>
  <c r="CF42" i="25" s="1"/>
  <c r="CB43" i="25"/>
  <c r="CA43" i="25" s="1"/>
  <c r="CF43" i="25" s="1"/>
  <c r="CB44" i="25"/>
  <c r="CA44" i="25" s="1"/>
  <c r="CF44" i="25" s="1"/>
  <c r="CB45" i="25"/>
  <c r="CA45" i="25" s="1"/>
  <c r="CF45" i="25" s="1"/>
  <c r="CB46" i="25"/>
  <c r="CA46" i="25" s="1"/>
  <c r="CF46" i="25" s="1"/>
  <c r="CB47" i="25"/>
  <c r="CA47" i="25" s="1"/>
  <c r="CF47" i="25" s="1"/>
  <c r="CB48" i="25"/>
  <c r="CA48" i="25" s="1"/>
  <c r="CF48" i="25" s="1"/>
  <c r="CB49" i="25"/>
  <c r="CA49" i="25" s="1"/>
  <c r="CF49" i="25" s="1"/>
  <c r="CB50" i="25"/>
  <c r="CA50" i="25" s="1"/>
  <c r="CF50" i="25" s="1"/>
  <c r="CB51" i="25"/>
  <c r="CA51" i="25" s="1"/>
  <c r="CF51" i="25" s="1"/>
  <c r="CB52" i="25"/>
  <c r="CA52" i="25" s="1"/>
  <c r="CF52" i="25" s="1"/>
  <c r="CB53" i="25"/>
  <c r="CA53" i="25" s="1"/>
  <c r="CF53" i="25" s="1"/>
  <c r="CB54" i="25"/>
  <c r="CA54" i="25" s="1"/>
  <c r="CF54" i="25" s="1"/>
  <c r="CB55" i="25"/>
  <c r="CA55" i="25" s="1"/>
  <c r="CF55" i="25" s="1"/>
  <c r="CB56" i="25"/>
  <c r="CA56" i="25" s="1"/>
  <c r="CF56" i="25" s="1"/>
  <c r="CC32" i="25"/>
  <c r="CC33" i="25"/>
  <c r="CC34" i="25"/>
  <c r="CC35" i="25"/>
  <c r="CC36" i="25"/>
  <c r="CC37" i="25"/>
  <c r="CC38" i="25"/>
  <c r="CC39" i="25"/>
  <c r="CC40" i="25"/>
  <c r="CC41" i="25"/>
  <c r="CC42" i="25"/>
  <c r="CC43" i="25"/>
  <c r="CC44" i="25"/>
  <c r="CC45" i="25"/>
  <c r="CC46" i="25"/>
  <c r="CC47" i="25"/>
  <c r="CC48" i="25"/>
  <c r="CC49" i="25"/>
  <c r="CC50" i="25"/>
  <c r="CC51" i="25"/>
  <c r="CC52" i="25"/>
  <c r="CC53" i="25"/>
  <c r="CC54" i="25"/>
  <c r="CC55" i="25"/>
  <c r="CC56" i="25"/>
  <c r="CG32" i="25"/>
  <c r="CG33" i="25"/>
  <c r="CG34" i="25"/>
  <c r="CG35" i="25"/>
  <c r="CG36" i="25"/>
  <c r="CG37" i="25"/>
  <c r="CG38" i="25"/>
  <c r="CG39" i="25"/>
  <c r="CG40" i="25"/>
  <c r="CG41" i="25"/>
  <c r="CG42" i="25"/>
  <c r="CG43" i="25"/>
  <c r="CG44" i="25"/>
  <c r="CG45" i="25"/>
  <c r="CG46" i="25"/>
  <c r="CG47" i="25"/>
  <c r="CG48" i="25"/>
  <c r="CG49" i="25"/>
  <c r="CG50" i="25"/>
  <c r="CG51" i="25"/>
  <c r="CG52" i="25"/>
  <c r="CG53" i="25"/>
  <c r="CG54" i="25"/>
  <c r="CG55" i="25"/>
  <c r="CG56" i="25"/>
  <c r="CH32" i="25"/>
  <c r="CO32" i="25" s="1"/>
  <c r="CH33" i="25"/>
  <c r="CO33" i="25" s="1"/>
  <c r="CH34" i="25"/>
  <c r="CO34" i="25" s="1"/>
  <c r="CH35" i="25"/>
  <c r="CO35" i="25" s="1"/>
  <c r="CH36" i="25"/>
  <c r="CO36" i="25" s="1"/>
  <c r="CH37" i="25"/>
  <c r="CO37" i="25" s="1"/>
  <c r="CH38" i="25"/>
  <c r="CO38" i="25" s="1"/>
  <c r="CH39" i="25"/>
  <c r="CH40" i="25"/>
  <c r="CO40" i="25" s="1"/>
  <c r="CH41" i="25"/>
  <c r="CO41" i="25" s="1"/>
  <c r="CH42" i="25"/>
  <c r="CO42" i="25" s="1"/>
  <c r="CH43" i="25"/>
  <c r="CO43" i="25" s="1"/>
  <c r="CH44" i="25"/>
  <c r="CO44" i="25" s="1"/>
  <c r="CH45" i="25"/>
  <c r="CO45" i="25" s="1"/>
  <c r="CH46" i="25"/>
  <c r="CO46" i="25" s="1"/>
  <c r="CH47" i="25"/>
  <c r="CH48" i="25"/>
  <c r="CO48" i="25" s="1"/>
  <c r="CH49" i="25"/>
  <c r="CO49" i="25" s="1"/>
  <c r="CH50" i="25"/>
  <c r="CO50" i="25" s="1"/>
  <c r="CH51" i="25"/>
  <c r="CO51" i="25" s="1"/>
  <c r="CH52" i="25"/>
  <c r="CO52" i="25" s="1"/>
  <c r="CH53" i="25"/>
  <c r="CO53" i="25" s="1"/>
  <c r="CH54" i="25"/>
  <c r="CO54" i="25" s="1"/>
  <c r="CH55" i="25"/>
  <c r="CH56" i="25"/>
  <c r="CO56" i="25" s="1"/>
  <c r="CP32" i="25"/>
  <c r="CP33" i="25"/>
  <c r="CP34" i="25"/>
  <c r="CP35" i="25"/>
  <c r="CP36" i="25"/>
  <c r="CP37" i="25"/>
  <c r="CP38" i="25"/>
  <c r="CP39" i="25"/>
  <c r="CP40" i="25"/>
  <c r="CP41" i="25"/>
  <c r="CP42" i="25"/>
  <c r="CP43" i="25"/>
  <c r="CP44" i="25"/>
  <c r="CP45" i="25"/>
  <c r="CP46" i="25"/>
  <c r="CP47" i="25"/>
  <c r="CP48" i="25"/>
  <c r="CP49" i="25"/>
  <c r="CP50" i="25"/>
  <c r="CP51" i="25"/>
  <c r="CP52" i="25"/>
  <c r="CP53" i="25"/>
  <c r="CP54" i="25"/>
  <c r="CP55" i="25"/>
  <c r="CP56" i="25"/>
  <c r="CQ32" i="25"/>
  <c r="CQ33" i="25"/>
  <c r="CQ34" i="25"/>
  <c r="CQ35" i="25"/>
  <c r="CQ36" i="25"/>
  <c r="CQ37" i="25"/>
  <c r="CQ38" i="25"/>
  <c r="CQ39" i="25"/>
  <c r="CQ40" i="25"/>
  <c r="CQ41" i="25"/>
  <c r="CQ42" i="25"/>
  <c r="CQ43" i="25"/>
  <c r="CQ44" i="25"/>
  <c r="CQ45" i="25"/>
  <c r="CQ46" i="25"/>
  <c r="CQ47" i="25"/>
  <c r="CQ48" i="25"/>
  <c r="CQ49" i="25"/>
  <c r="CQ50" i="25"/>
  <c r="CQ51" i="25"/>
  <c r="CQ52" i="25"/>
  <c r="CQ53" i="25"/>
  <c r="CQ54" i="25"/>
  <c r="CQ55" i="25"/>
  <c r="CQ56" i="25"/>
  <c r="CS32" i="25"/>
  <c r="CS33" i="25"/>
  <c r="CS34" i="25"/>
  <c r="CS35" i="25"/>
  <c r="CS36" i="25"/>
  <c r="CS37" i="25"/>
  <c r="CS38" i="25"/>
  <c r="CS39" i="25"/>
  <c r="CS40" i="25"/>
  <c r="CS41" i="25"/>
  <c r="CS42" i="25"/>
  <c r="CS43" i="25"/>
  <c r="CS44" i="25"/>
  <c r="CS45" i="25"/>
  <c r="CS46" i="25"/>
  <c r="CS47" i="25"/>
  <c r="CS48" i="25"/>
  <c r="CS49" i="25"/>
  <c r="CS50" i="25"/>
  <c r="CS51" i="25"/>
  <c r="CS52" i="25"/>
  <c r="CS53" i="25"/>
  <c r="CS54" i="25"/>
  <c r="CS55" i="25"/>
  <c r="CS56" i="25"/>
  <c r="CT32" i="25"/>
  <c r="CT33" i="25"/>
  <c r="CT34" i="25"/>
  <c r="CT35" i="25"/>
  <c r="CT36" i="25"/>
  <c r="CT37" i="25"/>
  <c r="CT38" i="25"/>
  <c r="CT39" i="25"/>
  <c r="CT40" i="25"/>
  <c r="CT41" i="25"/>
  <c r="CT42" i="25"/>
  <c r="CT43" i="25"/>
  <c r="CT44" i="25"/>
  <c r="CT45" i="25"/>
  <c r="CT46" i="25"/>
  <c r="CT47" i="25"/>
  <c r="CT48" i="25"/>
  <c r="CT49" i="25"/>
  <c r="CT50" i="25"/>
  <c r="CT51" i="25"/>
  <c r="CT52" i="25"/>
  <c r="CT53" i="25"/>
  <c r="CT54" i="25"/>
  <c r="CT55" i="25"/>
  <c r="CT56" i="25"/>
  <c r="CU32" i="25"/>
  <c r="CD32" i="25" s="1"/>
  <c r="CE32" i="25" s="1"/>
  <c r="CU33" i="25"/>
  <c r="CD33" i="25" s="1"/>
  <c r="CE33" i="25" s="1"/>
  <c r="CU34" i="25"/>
  <c r="CD34" i="25" s="1"/>
  <c r="CE34" i="25" s="1"/>
  <c r="CU35" i="25"/>
  <c r="CD35" i="25" s="1"/>
  <c r="CE35" i="25" s="1"/>
  <c r="CU36" i="25"/>
  <c r="CD36" i="25" s="1"/>
  <c r="CE36" i="25" s="1"/>
  <c r="CU37" i="25"/>
  <c r="CD37" i="25" s="1"/>
  <c r="CE37" i="25" s="1"/>
  <c r="CU38" i="25"/>
  <c r="CD38" i="25" s="1"/>
  <c r="CE38" i="25" s="1"/>
  <c r="CU39" i="25"/>
  <c r="CD39" i="25" s="1"/>
  <c r="CE39" i="25" s="1"/>
  <c r="CU40" i="25"/>
  <c r="CD40" i="25" s="1"/>
  <c r="CE40" i="25" s="1"/>
  <c r="CU41" i="25"/>
  <c r="CD41" i="25" s="1"/>
  <c r="CE41" i="25" s="1"/>
  <c r="CU42" i="25"/>
  <c r="CD42" i="25" s="1"/>
  <c r="CE42" i="25" s="1"/>
  <c r="CU43" i="25"/>
  <c r="CD43" i="25" s="1"/>
  <c r="CE43" i="25" s="1"/>
  <c r="CU44" i="25"/>
  <c r="CD44" i="25" s="1"/>
  <c r="CE44" i="25" s="1"/>
  <c r="CU45" i="25"/>
  <c r="CD45" i="25" s="1"/>
  <c r="CE45" i="25" s="1"/>
  <c r="CU46" i="25"/>
  <c r="CD46" i="25" s="1"/>
  <c r="CE46" i="25" s="1"/>
  <c r="CU47" i="25"/>
  <c r="CD47" i="25" s="1"/>
  <c r="CE47" i="25" s="1"/>
  <c r="CU48" i="25"/>
  <c r="CD48" i="25" s="1"/>
  <c r="CE48" i="25" s="1"/>
  <c r="CU49" i="25"/>
  <c r="CD49" i="25" s="1"/>
  <c r="CE49" i="25" s="1"/>
  <c r="CU50" i="25"/>
  <c r="CD50" i="25" s="1"/>
  <c r="CE50" i="25" s="1"/>
  <c r="CU51" i="25"/>
  <c r="CD51" i="25" s="1"/>
  <c r="CE51" i="25" s="1"/>
  <c r="CU52" i="25"/>
  <c r="CD52" i="25" s="1"/>
  <c r="CE52" i="25" s="1"/>
  <c r="CU53" i="25"/>
  <c r="CD53" i="25" s="1"/>
  <c r="CE53" i="25" s="1"/>
  <c r="CU54" i="25"/>
  <c r="CD54" i="25" s="1"/>
  <c r="CE54" i="25" s="1"/>
  <c r="CU55" i="25"/>
  <c r="CD55" i="25" s="1"/>
  <c r="CE55" i="25" s="1"/>
  <c r="CU56" i="25"/>
  <c r="CD56" i="25" s="1"/>
  <c r="CE56" i="25" s="1"/>
  <c r="CV32" i="25"/>
  <c r="CV33" i="25"/>
  <c r="CV34" i="25"/>
  <c r="CV35" i="25"/>
  <c r="CV36" i="25"/>
  <c r="CV37" i="25"/>
  <c r="CV38" i="25"/>
  <c r="CV39" i="25"/>
  <c r="CV40" i="25"/>
  <c r="CV41" i="25"/>
  <c r="CV42" i="25"/>
  <c r="CV43" i="25"/>
  <c r="CV44" i="25"/>
  <c r="CV45" i="25"/>
  <c r="CV46" i="25"/>
  <c r="CV47" i="25"/>
  <c r="CV48" i="25"/>
  <c r="CV49" i="25"/>
  <c r="CV50" i="25"/>
  <c r="CV51" i="25"/>
  <c r="CV52" i="25"/>
  <c r="CV53" i="25"/>
  <c r="CV54" i="25"/>
  <c r="CV55" i="25"/>
  <c r="CV56" i="25"/>
  <c r="CW32" i="25"/>
  <c r="CW33" i="25"/>
  <c r="CW34" i="25"/>
  <c r="CW35" i="25"/>
  <c r="CW36" i="25"/>
  <c r="CW37" i="25"/>
  <c r="CW38" i="25"/>
  <c r="CW39" i="25"/>
  <c r="CW40" i="25"/>
  <c r="CW41" i="25"/>
  <c r="CW42" i="25"/>
  <c r="CW43" i="25"/>
  <c r="CW44" i="25"/>
  <c r="CW45" i="25"/>
  <c r="CW46" i="25"/>
  <c r="CW47" i="25"/>
  <c r="CW48" i="25"/>
  <c r="CW49" i="25"/>
  <c r="CW50" i="25"/>
  <c r="CW51" i="25"/>
  <c r="CW52" i="25"/>
  <c r="CW53" i="25"/>
  <c r="CW54" i="25"/>
  <c r="CW55" i="25"/>
  <c r="CW56" i="25"/>
  <c r="CX32" i="25"/>
  <c r="CX33" i="25"/>
  <c r="CX34" i="25"/>
  <c r="CX35" i="25"/>
  <c r="CX36" i="25"/>
  <c r="CX37" i="25"/>
  <c r="CX38" i="25"/>
  <c r="CX39" i="25"/>
  <c r="CX40" i="25"/>
  <c r="CX41" i="25"/>
  <c r="CX42" i="25"/>
  <c r="CX43" i="25"/>
  <c r="CX44" i="25"/>
  <c r="CX45" i="25"/>
  <c r="CX46" i="25"/>
  <c r="CX47" i="25"/>
  <c r="CX48" i="25"/>
  <c r="CX49" i="25"/>
  <c r="CX50" i="25"/>
  <c r="CX51" i="25"/>
  <c r="CX52" i="25"/>
  <c r="CX53" i="25"/>
  <c r="CX54" i="25"/>
  <c r="CX55" i="25"/>
  <c r="CX56" i="25"/>
  <c r="CY32" i="25"/>
  <c r="CY33" i="25"/>
  <c r="CY34" i="25"/>
  <c r="CY35" i="25"/>
  <c r="CY36" i="25"/>
  <c r="CY37" i="25"/>
  <c r="CY38" i="25"/>
  <c r="CY39" i="25"/>
  <c r="CY40" i="25"/>
  <c r="CY41" i="25"/>
  <c r="CY42" i="25"/>
  <c r="CY43" i="25"/>
  <c r="CY44" i="25"/>
  <c r="CY45" i="25"/>
  <c r="CY46" i="25"/>
  <c r="CY47" i="25"/>
  <c r="CY48" i="25"/>
  <c r="CY49" i="25"/>
  <c r="CY50" i="25"/>
  <c r="CY51" i="25"/>
  <c r="CY52" i="25"/>
  <c r="CY53" i="25"/>
  <c r="CY54" i="25"/>
  <c r="CY55" i="25"/>
  <c r="CY56" i="25"/>
  <c r="CZ32" i="25"/>
  <c r="CZ33" i="25"/>
  <c r="CZ34" i="25"/>
  <c r="CZ35" i="25"/>
  <c r="CZ36" i="25"/>
  <c r="CZ37" i="25"/>
  <c r="CZ38" i="25"/>
  <c r="CZ39" i="25"/>
  <c r="CZ40" i="25"/>
  <c r="CZ41" i="25"/>
  <c r="CZ42" i="25"/>
  <c r="CZ43" i="25"/>
  <c r="CZ44" i="25"/>
  <c r="CZ45" i="25"/>
  <c r="CZ46" i="25"/>
  <c r="CZ47" i="25"/>
  <c r="CZ48" i="25"/>
  <c r="CZ49" i="25"/>
  <c r="CZ50" i="25"/>
  <c r="CZ51" i="25"/>
  <c r="CZ52" i="25"/>
  <c r="CZ53" i="25"/>
  <c r="CZ54" i="25"/>
  <c r="CZ55" i="25"/>
  <c r="CZ56" i="25"/>
  <c r="DA32" i="25"/>
  <c r="DA33" i="25"/>
  <c r="DA34" i="25"/>
  <c r="DA35" i="25"/>
  <c r="DA36" i="25"/>
  <c r="DA37" i="25"/>
  <c r="DA38" i="25"/>
  <c r="DA39" i="25"/>
  <c r="DA40" i="25"/>
  <c r="DA41" i="25"/>
  <c r="DA42" i="25"/>
  <c r="DA43" i="25"/>
  <c r="DA44" i="25"/>
  <c r="DA45" i="25"/>
  <c r="DA46" i="25"/>
  <c r="DA47" i="25"/>
  <c r="DA48" i="25"/>
  <c r="DA49" i="25"/>
  <c r="DA50" i="25"/>
  <c r="DA51" i="25"/>
  <c r="DA52" i="25"/>
  <c r="DA53" i="25"/>
  <c r="DA54" i="25"/>
  <c r="DA55" i="25"/>
  <c r="DA56" i="25"/>
  <c r="DB32" i="25"/>
  <c r="DB33" i="25"/>
  <c r="DB34" i="25"/>
  <c r="DB35" i="25"/>
  <c r="DB36" i="25"/>
  <c r="DB37" i="25"/>
  <c r="DB38" i="25"/>
  <c r="DB39" i="25"/>
  <c r="DB40" i="25"/>
  <c r="DB41" i="25"/>
  <c r="DB42" i="25"/>
  <c r="DB43" i="25"/>
  <c r="DB44" i="25"/>
  <c r="DB45" i="25"/>
  <c r="DB46" i="25"/>
  <c r="DB47" i="25"/>
  <c r="DB48" i="25"/>
  <c r="DB49" i="25"/>
  <c r="DB50" i="25"/>
  <c r="DB51" i="25"/>
  <c r="DB52" i="25"/>
  <c r="DB53" i="25"/>
  <c r="DB54" i="25"/>
  <c r="DB55" i="25"/>
  <c r="DB56" i="25"/>
  <c r="DC32" i="25"/>
  <c r="DC33" i="25"/>
  <c r="DC34" i="25"/>
  <c r="DC35" i="25"/>
  <c r="DC36" i="25"/>
  <c r="DC37" i="25"/>
  <c r="DC38" i="25"/>
  <c r="DC39" i="25"/>
  <c r="DC40" i="25"/>
  <c r="DC41" i="25"/>
  <c r="DC42" i="25"/>
  <c r="DC43" i="25"/>
  <c r="DC44" i="25"/>
  <c r="DC45" i="25"/>
  <c r="DC46" i="25"/>
  <c r="DC47" i="25"/>
  <c r="DC48" i="25"/>
  <c r="DC49" i="25"/>
  <c r="DC50" i="25"/>
  <c r="DC51" i="25"/>
  <c r="DC52" i="25"/>
  <c r="DC53" i="25"/>
  <c r="DC54" i="25"/>
  <c r="DC55" i="25"/>
  <c r="DC56" i="25"/>
  <c r="DD32" i="25"/>
  <c r="DD33" i="25"/>
  <c r="DD34" i="25"/>
  <c r="DD35" i="25"/>
  <c r="DD36" i="25"/>
  <c r="DD37" i="25"/>
  <c r="DD38" i="25"/>
  <c r="DD39" i="25"/>
  <c r="DD40" i="25"/>
  <c r="DD41" i="25"/>
  <c r="DD42" i="25"/>
  <c r="DD43" i="25"/>
  <c r="DD44" i="25"/>
  <c r="DD45" i="25"/>
  <c r="DD46" i="25"/>
  <c r="DD47" i="25"/>
  <c r="DD48" i="25"/>
  <c r="DD49" i="25"/>
  <c r="DD50" i="25"/>
  <c r="DD51" i="25"/>
  <c r="DD52" i="25"/>
  <c r="DD53" i="25"/>
  <c r="DD54" i="25"/>
  <c r="DD55" i="25"/>
  <c r="DD56" i="25"/>
  <c r="BO42" i="25" l="1"/>
  <c r="BO54" i="25"/>
  <c r="BO46" i="25"/>
  <c r="BO38" i="25"/>
  <c r="CK42" i="25"/>
  <c r="CL42" i="25" s="1"/>
  <c r="CM42" i="25" s="1"/>
  <c r="CN42" i="25" s="1"/>
  <c r="CK34" i="25"/>
  <c r="CL34" i="25" s="1"/>
  <c r="CM34" i="25" s="1"/>
  <c r="CN34" i="25" s="1"/>
  <c r="BO53" i="25"/>
  <c r="BO45" i="25"/>
  <c r="BT43" i="25"/>
  <c r="BW43" i="25" s="1"/>
  <c r="BX43" i="25" s="1"/>
  <c r="BO37" i="25"/>
  <c r="BO50" i="25"/>
  <c r="BO34" i="25"/>
  <c r="BT37" i="25"/>
  <c r="BW37" i="25" s="1"/>
  <c r="BX37" i="25" s="1"/>
  <c r="BO49" i="25"/>
  <c r="BO41" i="25"/>
  <c r="BO33" i="25"/>
  <c r="CK53" i="25"/>
  <c r="CL53" i="25" s="1"/>
  <c r="CM53" i="25" s="1"/>
  <c r="CN53" i="25" s="1"/>
  <c r="CK45" i="25"/>
  <c r="CL45" i="25" s="1"/>
  <c r="CM45" i="25" s="1"/>
  <c r="CN45" i="25" s="1"/>
  <c r="CK37" i="25"/>
  <c r="CL37" i="25" s="1"/>
  <c r="CM37" i="25" s="1"/>
  <c r="CN37" i="25" s="1"/>
  <c r="BQ43" i="25"/>
  <c r="BU43" i="25" s="1"/>
  <c r="BV43" i="25" s="1"/>
  <c r="BZ43" i="25" s="1"/>
  <c r="CK43" i="25"/>
  <c r="CL43" i="25" s="1"/>
  <c r="CM43" i="25" s="1"/>
  <c r="CN43" i="25" s="1"/>
  <c r="CK35" i="25"/>
  <c r="CL35" i="25" s="1"/>
  <c r="CM35" i="25" s="1"/>
  <c r="CN35" i="25" s="1"/>
  <c r="CK52" i="25"/>
  <c r="CL52" i="25" s="1"/>
  <c r="CM52" i="25" s="1"/>
  <c r="CN52" i="25" s="1"/>
  <c r="CK44" i="25"/>
  <c r="CL44" i="25" s="1"/>
  <c r="CM44" i="25" s="1"/>
  <c r="CN44" i="25" s="1"/>
  <c r="CK36" i="25"/>
  <c r="CL36" i="25" s="1"/>
  <c r="CM36" i="25" s="1"/>
  <c r="CN36" i="25" s="1"/>
  <c r="BO51" i="25"/>
  <c r="BO56" i="25"/>
  <c r="BO48" i="25"/>
  <c r="CK47" i="25"/>
  <c r="CL47" i="25" s="1"/>
  <c r="CM47" i="25" s="1"/>
  <c r="CN47" i="25" s="1"/>
  <c r="CK50" i="25"/>
  <c r="CL50" i="25" s="1"/>
  <c r="CM50" i="25" s="1"/>
  <c r="CN50" i="25" s="1"/>
  <c r="BO43" i="25"/>
  <c r="BO35" i="25"/>
  <c r="BO40" i="25"/>
  <c r="BO32" i="25"/>
  <c r="BT53" i="25"/>
  <c r="BW53" i="25" s="1"/>
  <c r="BX53" i="25" s="1"/>
  <c r="BO55" i="25"/>
  <c r="BO47" i="25"/>
  <c r="BT45" i="25"/>
  <c r="BW45" i="25" s="1"/>
  <c r="BX45" i="25" s="1"/>
  <c r="BU48" i="25"/>
  <c r="BV48" i="25" s="1"/>
  <c r="BZ48" i="25" s="1"/>
  <c r="BU32" i="25"/>
  <c r="BV32" i="25" s="1"/>
  <c r="BZ32" i="25" s="1"/>
  <c r="BT40" i="25"/>
  <c r="BW40" i="25" s="1"/>
  <c r="BX40" i="25" s="1"/>
  <c r="BU55" i="25"/>
  <c r="BV55" i="25" s="1"/>
  <c r="BZ55" i="25" s="1"/>
  <c r="BU54" i="25"/>
  <c r="BV54" i="25" s="1"/>
  <c r="BZ54" i="25" s="1"/>
  <c r="BT46" i="25"/>
  <c r="BW46" i="25" s="1"/>
  <c r="BX46" i="25" s="1"/>
  <c r="BU38" i="25"/>
  <c r="BV38" i="25" s="1"/>
  <c r="BZ38" i="25" s="1"/>
  <c r="BO39" i="25"/>
  <c r="CK55" i="25"/>
  <c r="CL55" i="25" s="1"/>
  <c r="CM55" i="25" s="1"/>
  <c r="CN55" i="25" s="1"/>
  <c r="CK39" i="25"/>
  <c r="CL39" i="25" s="1"/>
  <c r="CM39" i="25" s="1"/>
  <c r="CN39" i="25" s="1"/>
  <c r="BT51" i="25"/>
  <c r="BW51" i="25" s="1"/>
  <c r="BX51" i="25" s="1"/>
  <c r="BU37" i="25"/>
  <c r="BV37" i="25" s="1"/>
  <c r="BZ37" i="25" s="1"/>
  <c r="BO52" i="25"/>
  <c r="BO44" i="25"/>
  <c r="BO36" i="25"/>
  <c r="BT35" i="25"/>
  <c r="BW35" i="25" s="1"/>
  <c r="BX35" i="25" s="1"/>
  <c r="CK56" i="25"/>
  <c r="CL56" i="25" s="1"/>
  <c r="CM56" i="25" s="1"/>
  <c r="CN56" i="25" s="1"/>
  <c r="CK48" i="25"/>
  <c r="CL48" i="25" s="1"/>
  <c r="CM48" i="25" s="1"/>
  <c r="CN48" i="25" s="1"/>
  <c r="CK40" i="25"/>
  <c r="CL40" i="25" s="1"/>
  <c r="CM40" i="25" s="1"/>
  <c r="CN40" i="25" s="1"/>
  <c r="CK32" i="25"/>
  <c r="CL32" i="25" s="1"/>
  <c r="CM32" i="25" s="1"/>
  <c r="CN32" i="25" s="1"/>
  <c r="CK49" i="25"/>
  <c r="CL49" i="25" s="1"/>
  <c r="CM49" i="25" s="1"/>
  <c r="CN49" i="25" s="1"/>
  <c r="CK41" i="25"/>
  <c r="CL41" i="25" s="1"/>
  <c r="CM41" i="25" s="1"/>
  <c r="CN41" i="25" s="1"/>
  <c r="BT56" i="25"/>
  <c r="BW56" i="25" s="1"/>
  <c r="BX56" i="25" s="1"/>
  <c r="BU47" i="25"/>
  <c r="BV47" i="25" s="1"/>
  <c r="BZ47" i="25" s="1"/>
  <c r="CK54" i="25"/>
  <c r="CL54" i="25" s="1"/>
  <c r="CM54" i="25" s="1"/>
  <c r="CN54" i="25" s="1"/>
  <c r="CK46" i="25"/>
  <c r="CL46" i="25" s="1"/>
  <c r="CM46" i="25" s="1"/>
  <c r="CN46" i="25" s="1"/>
  <c r="CK38" i="25"/>
  <c r="CL38" i="25" s="1"/>
  <c r="CM38" i="25" s="1"/>
  <c r="CN38" i="25" s="1"/>
  <c r="BT54" i="25"/>
  <c r="BW54" i="25" s="1"/>
  <c r="BX54" i="25" s="1"/>
  <c r="BT38" i="25"/>
  <c r="BW38" i="25" s="1"/>
  <c r="BX38" i="25" s="1"/>
  <c r="BS46" i="25"/>
  <c r="BU46" i="25" s="1"/>
  <c r="BV46" i="25" s="1"/>
  <c r="BZ46" i="25" s="1"/>
  <c r="BU39" i="25"/>
  <c r="BV39" i="25" s="1"/>
  <c r="BZ39" i="25" s="1"/>
  <c r="BU53" i="25"/>
  <c r="BV53" i="25" s="1"/>
  <c r="BZ53" i="25" s="1"/>
  <c r="BU45" i="25"/>
  <c r="BV45" i="25" s="1"/>
  <c r="BZ45" i="25" s="1"/>
  <c r="CK51" i="25"/>
  <c r="CL51" i="25" s="1"/>
  <c r="CM51" i="25" s="1"/>
  <c r="CN51" i="25" s="1"/>
  <c r="BT48" i="25"/>
  <c r="BW48" i="25" s="1"/>
  <c r="BX48" i="25" s="1"/>
  <c r="BT32" i="25"/>
  <c r="BW32" i="25" s="1"/>
  <c r="BX32" i="25" s="1"/>
  <c r="BU52" i="25"/>
  <c r="BV52" i="25" s="1"/>
  <c r="BZ52" i="25" s="1"/>
  <c r="BU44" i="25"/>
  <c r="BV44" i="25" s="1"/>
  <c r="BZ44" i="25" s="1"/>
  <c r="BU36" i="25"/>
  <c r="BV36" i="25" s="1"/>
  <c r="BZ36" i="25" s="1"/>
  <c r="BU51" i="25"/>
  <c r="BV51" i="25" s="1"/>
  <c r="BZ51" i="25" s="1"/>
  <c r="CK33" i="25"/>
  <c r="CL33" i="25" s="1"/>
  <c r="CM33" i="25" s="1"/>
  <c r="CN33" i="25" s="1"/>
  <c r="BU49" i="25"/>
  <c r="BV49" i="25" s="1"/>
  <c r="BZ49" i="25" s="1"/>
  <c r="BU41" i="25"/>
  <c r="BV41" i="25" s="1"/>
  <c r="BZ41" i="25" s="1"/>
  <c r="BU33" i="25"/>
  <c r="BV33" i="25" s="1"/>
  <c r="BZ33" i="25" s="1"/>
  <c r="BU56" i="25"/>
  <c r="BV56" i="25" s="1"/>
  <c r="BZ56" i="25" s="1"/>
  <c r="BU40" i="25"/>
  <c r="BV40" i="25" s="1"/>
  <c r="BZ40" i="25" s="1"/>
  <c r="BU35" i="25"/>
  <c r="BV35" i="25" s="1"/>
  <c r="BZ35" i="25" s="1"/>
  <c r="BU50" i="25"/>
  <c r="BV50" i="25" s="1"/>
  <c r="BZ50" i="25" s="1"/>
  <c r="BU42" i="25"/>
  <c r="BV42" i="25" s="1"/>
  <c r="BZ42" i="25" s="1"/>
  <c r="BU34" i="25"/>
  <c r="BV34" i="25" s="1"/>
  <c r="BZ34" i="25" s="1"/>
  <c r="CO55" i="25"/>
  <c r="CO47" i="25"/>
  <c r="CO39" i="25"/>
  <c r="BT52" i="25"/>
  <c r="BW52" i="25" s="1"/>
  <c r="BX52" i="25" s="1"/>
  <c r="BT44" i="25"/>
  <c r="BW44" i="25" s="1"/>
  <c r="BX44" i="25" s="1"/>
  <c r="BT36" i="25"/>
  <c r="BW36" i="25" s="1"/>
  <c r="BX36" i="25" s="1"/>
  <c r="BT50" i="25"/>
  <c r="BW50" i="25" s="1"/>
  <c r="BX50" i="25" s="1"/>
  <c r="BT42" i="25"/>
  <c r="BW42" i="25" s="1"/>
  <c r="BX42" i="25" s="1"/>
  <c r="BT34" i="25"/>
  <c r="BW34" i="25" s="1"/>
  <c r="BX34" i="25" s="1"/>
  <c r="BT49" i="25"/>
  <c r="BW49" i="25" s="1"/>
  <c r="BX49" i="25" s="1"/>
  <c r="BT41" i="25"/>
  <c r="BW41" i="25" s="1"/>
  <c r="BX41" i="25" s="1"/>
  <c r="BT33" i="25"/>
  <c r="BW33" i="25" s="1"/>
  <c r="BX33" i="25" s="1"/>
  <c r="BT55" i="25"/>
  <c r="BW55" i="25" s="1"/>
  <c r="BX55" i="25" s="1"/>
  <c r="BT47" i="25"/>
  <c r="BW47" i="25" s="1"/>
  <c r="BX47" i="25" s="1"/>
  <c r="BT39" i="25"/>
  <c r="BW39" i="25" s="1"/>
  <c r="BX39" i="25" s="1"/>
  <c r="E411" i="92" l="1"/>
  <c r="D411" i="92"/>
  <c r="BI26" i="25" l="1"/>
  <c r="BI15" i="25"/>
  <c r="I383" i="92"/>
  <c r="I384" i="92"/>
  <c r="I382" i="92"/>
  <c r="CQ7" i="25" l="1"/>
  <c r="CQ8" i="25"/>
  <c r="CQ9" i="25"/>
  <c r="CQ10" i="25"/>
  <c r="CQ11" i="25"/>
  <c r="CQ12" i="25"/>
  <c r="CQ13" i="25"/>
  <c r="CQ14" i="25"/>
  <c r="CQ15" i="25"/>
  <c r="CQ16" i="25"/>
  <c r="CQ17" i="25"/>
  <c r="CQ18" i="25"/>
  <c r="CQ19" i="25"/>
  <c r="CQ20" i="25"/>
  <c r="CQ21" i="25"/>
  <c r="CQ22" i="25"/>
  <c r="CQ23" i="25"/>
  <c r="CQ24" i="25"/>
  <c r="CQ25" i="25"/>
  <c r="CQ26" i="25"/>
  <c r="CQ27" i="25"/>
  <c r="CQ28" i="25"/>
  <c r="CQ29" i="25"/>
  <c r="CQ30" i="25"/>
  <c r="CQ31" i="25"/>
  <c r="E371" i="92" l="1"/>
  <c r="E370" i="92"/>
  <c r="E369" i="92"/>
  <c r="E232" i="92"/>
  <c r="F232" i="92"/>
  <c r="H235" i="92"/>
  <c r="F235" i="92"/>
  <c r="G235" i="92"/>
  <c r="I235" i="92"/>
  <c r="E235" i="92" l="1"/>
  <c r="G232" i="92"/>
  <c r="D223" i="92"/>
  <c r="D222" i="92"/>
  <c r="D221" i="92"/>
  <c r="E336" i="92"/>
  <c r="D336" i="92"/>
  <c r="D350" i="92"/>
  <c r="E350" i="92" l="1"/>
  <c r="DD7" i="25"/>
  <c r="DD8" i="25"/>
  <c r="DD9" i="25"/>
  <c r="DD10" i="25"/>
  <c r="DD11" i="25"/>
  <c r="DD12" i="25"/>
  <c r="DD13" i="25"/>
  <c r="DD14" i="25"/>
  <c r="DD15" i="25"/>
  <c r="DD16" i="25"/>
  <c r="DD17" i="25"/>
  <c r="DD18" i="25"/>
  <c r="DD19" i="25"/>
  <c r="DD20" i="25"/>
  <c r="DD21" i="25"/>
  <c r="DD22" i="25"/>
  <c r="DD23" i="25"/>
  <c r="DD24" i="25"/>
  <c r="DD25" i="25"/>
  <c r="DD26" i="25"/>
  <c r="DD27" i="25"/>
  <c r="DD28" i="25"/>
  <c r="DD29" i="25"/>
  <c r="DD30" i="25"/>
  <c r="DD31" i="25"/>
  <c r="DC7" i="25"/>
  <c r="DC8" i="25"/>
  <c r="DC9" i="25"/>
  <c r="DC10" i="25"/>
  <c r="DC11" i="25"/>
  <c r="DC12" i="25"/>
  <c r="DC13" i="25"/>
  <c r="DC14" i="25"/>
  <c r="DC15" i="25"/>
  <c r="DC16" i="25"/>
  <c r="DC17" i="25"/>
  <c r="DC18" i="25"/>
  <c r="DC19" i="25"/>
  <c r="DC20" i="25"/>
  <c r="DC21" i="25"/>
  <c r="DC22" i="25"/>
  <c r="DC23" i="25"/>
  <c r="DC24" i="25"/>
  <c r="DC25" i="25"/>
  <c r="DC26" i="25"/>
  <c r="DC27" i="25"/>
  <c r="DC28" i="25"/>
  <c r="DC29" i="25"/>
  <c r="DC30" i="25"/>
  <c r="DC31" i="25"/>
  <c r="DB7" i="25"/>
  <c r="DB8" i="25"/>
  <c r="DB9" i="25"/>
  <c r="DB10" i="25"/>
  <c r="DB11" i="25"/>
  <c r="DB12" i="25"/>
  <c r="DB13" i="25"/>
  <c r="DB14" i="25"/>
  <c r="DB15" i="25"/>
  <c r="DB16" i="25"/>
  <c r="DB17" i="25"/>
  <c r="DB18" i="25"/>
  <c r="DB19" i="25"/>
  <c r="DB20" i="25"/>
  <c r="DB21" i="25"/>
  <c r="DB22" i="25"/>
  <c r="DB23" i="25"/>
  <c r="DB24" i="25"/>
  <c r="DB25" i="25"/>
  <c r="DB26" i="25"/>
  <c r="DB27" i="25"/>
  <c r="DB28" i="25"/>
  <c r="DB29" i="25"/>
  <c r="DB30" i="25"/>
  <c r="DB31" i="25"/>
  <c r="D149" i="92"/>
  <c r="L131" i="92"/>
  <c r="K131" i="92"/>
  <c r="C149" i="92"/>
  <c r="G112" i="92"/>
  <c r="G115" i="92"/>
  <c r="G114" i="92"/>
  <c r="B133" i="92"/>
  <c r="G113" i="92"/>
  <c r="I190" i="92"/>
  <c r="I189" i="92"/>
  <c r="D133" i="92"/>
  <c r="H114" i="92" l="1"/>
  <c r="H112" i="92"/>
  <c r="H113" i="92"/>
  <c r="H115" i="92"/>
  <c r="C133" i="92"/>
  <c r="E133" i="92" s="1"/>
  <c r="M131" i="92"/>
  <c r="I33" i="89" l="1"/>
  <c r="I30" i="89"/>
  <c r="I26" i="89"/>
  <c r="I22" i="89"/>
  <c r="H28" i="89"/>
  <c r="F28" i="89"/>
  <c r="H24" i="89"/>
  <c r="F24" i="89"/>
  <c r="E24" i="89"/>
  <c r="H20" i="89"/>
  <c r="P22" i="89" l="1"/>
  <c r="J22" i="89"/>
  <c r="K22" i="89" s="1"/>
  <c r="N22" i="89"/>
  <c r="O22" i="89"/>
  <c r="M22" i="89"/>
  <c r="Q22" i="89"/>
  <c r="L22" i="89"/>
  <c r="O30" i="89"/>
  <c r="P30" i="89"/>
  <c r="N30" i="89"/>
  <c r="M30" i="89"/>
  <c r="Q30" i="89"/>
  <c r="L30" i="89"/>
  <c r="J30" i="89"/>
  <c r="K30" i="89" s="1"/>
  <c r="N33" i="89"/>
  <c r="M33" i="89"/>
  <c r="Q33" i="89"/>
  <c r="P33" i="89"/>
  <c r="J33" i="89"/>
  <c r="K33" i="89" s="1"/>
  <c r="O33" i="89"/>
  <c r="L33" i="89"/>
  <c r="J26" i="89"/>
  <c r="K26" i="89" s="1"/>
  <c r="Q26" i="89"/>
  <c r="P26" i="89"/>
  <c r="O26" i="89"/>
  <c r="L26" i="89"/>
  <c r="M26" i="89"/>
  <c r="N26" i="89"/>
  <c r="I18" i="89"/>
  <c r="H31" i="89"/>
  <c r="F31" i="89"/>
  <c r="E31" i="89"/>
  <c r="H34" i="89"/>
  <c r="F34" i="89"/>
  <c r="E34" i="89"/>
  <c r="F20" i="89"/>
  <c r="E20" i="89"/>
  <c r="Q18" i="89" l="1"/>
  <c r="P18" i="89"/>
  <c r="J18" i="89"/>
  <c r="K18" i="89" s="1"/>
  <c r="M18" i="89"/>
  <c r="N18" i="89"/>
  <c r="L18" i="89"/>
  <c r="O18" i="89"/>
  <c r="R29" i="25"/>
  <c r="R12" i="25"/>
  <c r="R9" i="25"/>
  <c r="O29" i="25"/>
  <c r="O15" i="25"/>
  <c r="O12" i="25"/>
  <c r="O9" i="25"/>
  <c r="BR7" i="25" l="1"/>
  <c r="BR8" i="25"/>
  <c r="BR9" i="25"/>
  <c r="BR10" i="25"/>
  <c r="BR11" i="25"/>
  <c r="BR12" i="25"/>
  <c r="BR13" i="25"/>
  <c r="BR14" i="25"/>
  <c r="BR15" i="25"/>
  <c r="BR16" i="25"/>
  <c r="BR17" i="25"/>
  <c r="BR18" i="25"/>
  <c r="BR19" i="25"/>
  <c r="BR20" i="25"/>
  <c r="BR21" i="25"/>
  <c r="BR22" i="25"/>
  <c r="BR23" i="25"/>
  <c r="BR24" i="25"/>
  <c r="BR25" i="25"/>
  <c r="BR26" i="25"/>
  <c r="BR27" i="25"/>
  <c r="BR28" i="25"/>
  <c r="BR29" i="25"/>
  <c r="BR30" i="25"/>
  <c r="BR31" i="25"/>
  <c r="BP7" i="25"/>
  <c r="BP8" i="25"/>
  <c r="BP9" i="25"/>
  <c r="BP10" i="25"/>
  <c r="BP11" i="25"/>
  <c r="BP12" i="25"/>
  <c r="BP13" i="25"/>
  <c r="BP14" i="25"/>
  <c r="BP15" i="25"/>
  <c r="BP16" i="25"/>
  <c r="BP17" i="25"/>
  <c r="BP18" i="25"/>
  <c r="BP19" i="25"/>
  <c r="BP20" i="25"/>
  <c r="BP22" i="25"/>
  <c r="BP23" i="25"/>
  <c r="BP24" i="25"/>
  <c r="BP25" i="25"/>
  <c r="BP26" i="25"/>
  <c r="BP27" i="25"/>
  <c r="BP28" i="25"/>
  <c r="BP29" i="25"/>
  <c r="BP30" i="25"/>
  <c r="BP31" i="25"/>
  <c r="CP7" i="25" l="1"/>
  <c r="CP8" i="25"/>
  <c r="CP9" i="25"/>
  <c r="CP10" i="25"/>
  <c r="CP11" i="25"/>
  <c r="CP12" i="25"/>
  <c r="CP13" i="25"/>
  <c r="CP14" i="25"/>
  <c r="CP15" i="25"/>
  <c r="CP16" i="25"/>
  <c r="CP17" i="25"/>
  <c r="CP18" i="25"/>
  <c r="CP19" i="25"/>
  <c r="CP20" i="25"/>
  <c r="CP21" i="25"/>
  <c r="CP22" i="25"/>
  <c r="CP23" i="25"/>
  <c r="CP24" i="25"/>
  <c r="CP25" i="25"/>
  <c r="CP26" i="25"/>
  <c r="CP27" i="25"/>
  <c r="CP28" i="25"/>
  <c r="CP29" i="25"/>
  <c r="CP30" i="25"/>
  <c r="CP31" i="25"/>
  <c r="CH7" i="25"/>
  <c r="CH8" i="25"/>
  <c r="CH9" i="25"/>
  <c r="CH10" i="25"/>
  <c r="CH11" i="25"/>
  <c r="CH12" i="25"/>
  <c r="CH13" i="25"/>
  <c r="CH14" i="25"/>
  <c r="CH15" i="25"/>
  <c r="CH16" i="25"/>
  <c r="CH17" i="25"/>
  <c r="CH18" i="25"/>
  <c r="CH19" i="25"/>
  <c r="CH20" i="25"/>
  <c r="CH21" i="25"/>
  <c r="CH22" i="25"/>
  <c r="CH23" i="25"/>
  <c r="CH24" i="25"/>
  <c r="CH25" i="25"/>
  <c r="CH26" i="25"/>
  <c r="CH27" i="25"/>
  <c r="CH28" i="25"/>
  <c r="CH29" i="25"/>
  <c r="CH30" i="25"/>
  <c r="CH31" i="25"/>
  <c r="CG7" i="25"/>
  <c r="CG8" i="25"/>
  <c r="CG9" i="25"/>
  <c r="CG10" i="25"/>
  <c r="CG11" i="25"/>
  <c r="CG12" i="25"/>
  <c r="CG13" i="25"/>
  <c r="CG14" i="25"/>
  <c r="CG15" i="25"/>
  <c r="CG16" i="25"/>
  <c r="CG17" i="25"/>
  <c r="CG18" i="25"/>
  <c r="CG19" i="25"/>
  <c r="CG20" i="25"/>
  <c r="CG21" i="25"/>
  <c r="CG22" i="25"/>
  <c r="CG23" i="25"/>
  <c r="CG24" i="25"/>
  <c r="CG25" i="25"/>
  <c r="CG26" i="25"/>
  <c r="CG27" i="25"/>
  <c r="CG28" i="25"/>
  <c r="CG29" i="25"/>
  <c r="CG30" i="25"/>
  <c r="CG31" i="25"/>
  <c r="CC7" i="25"/>
  <c r="CC8" i="25"/>
  <c r="CC9" i="25"/>
  <c r="CC10" i="25"/>
  <c r="CC11" i="25"/>
  <c r="CC12" i="25"/>
  <c r="CC13" i="25"/>
  <c r="CC14" i="25"/>
  <c r="CC15" i="25"/>
  <c r="CC16" i="25"/>
  <c r="CC17" i="25"/>
  <c r="CC18" i="25"/>
  <c r="CC19" i="25"/>
  <c r="CC20" i="25"/>
  <c r="CC21" i="25"/>
  <c r="CC22" i="25"/>
  <c r="CC23" i="25"/>
  <c r="CC24" i="25"/>
  <c r="CC25" i="25"/>
  <c r="CC26" i="25"/>
  <c r="CC27" i="25"/>
  <c r="CC28" i="25"/>
  <c r="CC29" i="25"/>
  <c r="CC30" i="25"/>
  <c r="CC31" i="25"/>
  <c r="CB7" i="25"/>
  <c r="CA7" i="25" s="1"/>
  <c r="CB8" i="25"/>
  <c r="CA8" i="25" s="1"/>
  <c r="CB9" i="25"/>
  <c r="CA9" i="25" s="1"/>
  <c r="CB10" i="25"/>
  <c r="CA10" i="25" s="1"/>
  <c r="CB11" i="25"/>
  <c r="CA11" i="25" s="1"/>
  <c r="CB12" i="25"/>
  <c r="CA12" i="25" s="1"/>
  <c r="CB13" i="25"/>
  <c r="CA13" i="25" s="1"/>
  <c r="CB14" i="25"/>
  <c r="CA14" i="25" s="1"/>
  <c r="CB15" i="25"/>
  <c r="CA15" i="25" s="1"/>
  <c r="CB16" i="25"/>
  <c r="CA16" i="25" s="1"/>
  <c r="CB17" i="25"/>
  <c r="CA17" i="25" s="1"/>
  <c r="CB18" i="25"/>
  <c r="CA18" i="25" s="1"/>
  <c r="CB19" i="25"/>
  <c r="CA19" i="25" s="1"/>
  <c r="CB20" i="25"/>
  <c r="CA20" i="25" s="1"/>
  <c r="CB21" i="25"/>
  <c r="CA21" i="25" s="1"/>
  <c r="CB22" i="25"/>
  <c r="CA22" i="25" s="1"/>
  <c r="CB23" i="25"/>
  <c r="CA23" i="25" s="1"/>
  <c r="CB24" i="25"/>
  <c r="CA24" i="25" s="1"/>
  <c r="CB25" i="25"/>
  <c r="CA25" i="25" s="1"/>
  <c r="CB26" i="25"/>
  <c r="CA26" i="25" s="1"/>
  <c r="CB27" i="25"/>
  <c r="CA27" i="25" s="1"/>
  <c r="CB28" i="25"/>
  <c r="CA28" i="25" s="1"/>
  <c r="CB29" i="25"/>
  <c r="CA29" i="25" s="1"/>
  <c r="CB30" i="25"/>
  <c r="CA30" i="25" s="1"/>
  <c r="CB31" i="25"/>
  <c r="CA31" i="25" s="1"/>
  <c r="I45" i="92"/>
  <c r="AA45" i="92"/>
  <c r="J45" i="92"/>
  <c r="L45" i="92"/>
  <c r="G97" i="92"/>
  <c r="X45" i="92"/>
  <c r="G17" i="89"/>
  <c r="Z45" i="92"/>
  <c r="W45" i="92"/>
  <c r="G21" i="89"/>
  <c r="M45" i="92"/>
  <c r="H83" i="89" l="1"/>
  <c r="H84" i="89"/>
  <c r="G28" i="89"/>
  <c r="I25" i="89"/>
  <c r="G20" i="89"/>
  <c r="I17" i="89"/>
  <c r="G34" i="89"/>
  <c r="I32" i="89"/>
  <c r="G31" i="89"/>
  <c r="I29" i="89"/>
  <c r="G24" i="89"/>
  <c r="I21" i="89"/>
  <c r="CK8" i="25"/>
  <c r="I31" i="89" l="1"/>
  <c r="P29" i="89"/>
  <c r="Q29" i="89"/>
  <c r="L29" i="89"/>
  <c r="O29" i="89"/>
  <c r="N29" i="89"/>
  <c r="M29" i="89"/>
  <c r="J29" i="89"/>
  <c r="I34" i="89"/>
  <c r="Q32" i="89"/>
  <c r="P32" i="89"/>
  <c r="J32" i="89"/>
  <c r="O32" i="89"/>
  <c r="M32" i="89"/>
  <c r="N32" i="89"/>
  <c r="L32" i="89"/>
  <c r="I20" i="89"/>
  <c r="P17" i="89"/>
  <c r="Q17" i="89"/>
  <c r="O17" i="89"/>
  <c r="N17" i="89"/>
  <c r="M17" i="89"/>
  <c r="M20" i="89" s="1"/>
  <c r="J17" i="89"/>
  <c r="L17" i="89"/>
  <c r="L20" i="89" s="1"/>
  <c r="I24" i="89"/>
  <c r="N21" i="89"/>
  <c r="M21" i="89"/>
  <c r="P21" i="89"/>
  <c r="L21" i="89"/>
  <c r="J21" i="89"/>
  <c r="Q21" i="89"/>
  <c r="O21" i="89"/>
  <c r="I28" i="89"/>
  <c r="O25" i="89"/>
  <c r="N25" i="89"/>
  <c r="M25" i="89"/>
  <c r="J25" i="89"/>
  <c r="L25" i="89"/>
  <c r="Q25" i="89"/>
  <c r="P25" i="89"/>
  <c r="BT9" i="25"/>
  <c r="BT13" i="25"/>
  <c r="BQ14" i="25"/>
  <c r="BT17" i="25"/>
  <c r="BT21" i="25"/>
  <c r="BQ22" i="25"/>
  <c r="BT25" i="25"/>
  <c r="BQ30" i="25"/>
  <c r="BN8" i="25"/>
  <c r="BN9" i="25"/>
  <c r="BN10" i="25"/>
  <c r="BN11" i="25"/>
  <c r="BN12" i="25"/>
  <c r="BN13" i="25"/>
  <c r="BN14" i="25"/>
  <c r="BN15" i="25"/>
  <c r="BN16" i="25"/>
  <c r="BN17" i="25"/>
  <c r="BN18" i="25"/>
  <c r="BN19" i="25"/>
  <c r="BN20" i="25"/>
  <c r="BN21" i="25"/>
  <c r="BN22" i="25"/>
  <c r="BN23" i="25"/>
  <c r="BN24" i="25"/>
  <c r="BN25" i="25"/>
  <c r="BN26" i="25"/>
  <c r="BN27" i="25"/>
  <c r="BN28" i="25"/>
  <c r="BN29" i="25"/>
  <c r="BN30" i="25"/>
  <c r="BN31" i="25"/>
  <c r="BN7" i="25"/>
  <c r="BM8" i="25"/>
  <c r="BM9" i="25"/>
  <c r="BM10" i="25"/>
  <c r="BM11" i="25"/>
  <c r="BM12" i="25"/>
  <c r="BM13" i="25"/>
  <c r="BM14" i="25"/>
  <c r="BM15" i="25"/>
  <c r="BM16" i="25"/>
  <c r="BM17" i="25"/>
  <c r="BM18" i="25"/>
  <c r="BM19" i="25"/>
  <c r="BM20" i="25"/>
  <c r="BM21" i="25"/>
  <c r="BM22" i="25"/>
  <c r="BM23" i="25"/>
  <c r="BM24" i="25"/>
  <c r="BM25" i="25"/>
  <c r="BM26" i="25"/>
  <c r="BM27" i="25"/>
  <c r="BM28" i="25"/>
  <c r="BM29" i="25"/>
  <c r="BM30" i="25"/>
  <c r="BM31" i="25"/>
  <c r="BM7" i="25"/>
  <c r="M28" i="89" l="1"/>
  <c r="N28" i="89"/>
  <c r="L28" i="89"/>
  <c r="Q28" i="89"/>
  <c r="J28" i="89"/>
  <c r="K28" i="89" s="1"/>
  <c r="P28" i="89"/>
  <c r="O28" i="89"/>
  <c r="L24" i="89"/>
  <c r="J24" i="89"/>
  <c r="K24" i="89" s="1"/>
  <c r="P24" i="89"/>
  <c r="Q24" i="89"/>
  <c r="M24" i="89"/>
  <c r="N24" i="89"/>
  <c r="O24" i="89"/>
  <c r="P20" i="89"/>
  <c r="N20" i="89"/>
  <c r="O20" i="89"/>
  <c r="J20" i="89"/>
  <c r="K20" i="89" s="1"/>
  <c r="Q20" i="89"/>
  <c r="O34" i="89"/>
  <c r="N34" i="89"/>
  <c r="P34" i="89"/>
  <c r="M34" i="89"/>
  <c r="L34" i="89"/>
  <c r="Q34" i="89"/>
  <c r="J34" i="89"/>
  <c r="K34" i="89" s="1"/>
  <c r="N31" i="89"/>
  <c r="Q31" i="89"/>
  <c r="M31" i="89"/>
  <c r="L31" i="89"/>
  <c r="J31" i="89"/>
  <c r="K31" i="89" s="1"/>
  <c r="O31" i="89"/>
  <c r="P31" i="89"/>
  <c r="BT28" i="25"/>
  <c r="BT20" i="25"/>
  <c r="BT12" i="25"/>
  <c r="BT26" i="25"/>
  <c r="BT18" i="25"/>
  <c r="BT10" i="25"/>
  <c r="BT24" i="25"/>
  <c r="BT16" i="25"/>
  <c r="BT8" i="25"/>
  <c r="BT27" i="25"/>
  <c r="BT19" i="25"/>
  <c r="BT11" i="25"/>
  <c r="BT30" i="25"/>
  <c r="BT29" i="25"/>
  <c r="BT31" i="25"/>
  <c r="BT23" i="25"/>
  <c r="BT15" i="25"/>
  <c r="BT7" i="25"/>
  <c r="BQ17" i="25"/>
  <c r="BQ16" i="25"/>
  <c r="BT22" i="25"/>
  <c r="BQ29" i="25"/>
  <c r="BQ13" i="25"/>
  <c r="BT14" i="25"/>
  <c r="BQ28" i="25"/>
  <c r="BQ12" i="25"/>
  <c r="BQ25" i="25"/>
  <c r="BQ11" i="25"/>
  <c r="BQ24" i="25"/>
  <c r="BQ9" i="25"/>
  <c r="BQ8" i="25"/>
  <c r="BQ20" i="25"/>
  <c r="BQ27" i="25"/>
  <c r="BQ19" i="25"/>
  <c r="BQ26" i="25"/>
  <c r="BQ18" i="25"/>
  <c r="BQ10" i="25"/>
  <c r="BQ31" i="25"/>
  <c r="BQ23" i="25"/>
  <c r="BQ15" i="25"/>
  <c r="BQ7" i="25"/>
  <c r="G7" i="25" l="1"/>
  <c r="BS7" i="25"/>
  <c r="BU7" i="25" s="1"/>
  <c r="BY7" i="25"/>
  <c r="CS7" i="25"/>
  <c r="CT7" i="25"/>
  <c r="CU7" i="25"/>
  <c r="CD7" i="25" s="1"/>
  <c r="CE7" i="25" s="1"/>
  <c r="CV7" i="25"/>
  <c r="CW7" i="25"/>
  <c r="CX7" i="25"/>
  <c r="CY7" i="25"/>
  <c r="CZ7" i="25"/>
  <c r="DA7" i="25"/>
  <c r="CK7" i="25" l="1"/>
  <c r="BO7" i="25"/>
  <c r="BV7" i="25"/>
  <c r="BZ7" i="25" s="1"/>
  <c r="CF7" i="25"/>
  <c r="CO7" i="25"/>
  <c r="BI7" i="25" l="1"/>
  <c r="CL7" i="25"/>
  <c r="CM7" i="25" s="1"/>
  <c r="CN7" i="25" s="1"/>
  <c r="BW7" i="25"/>
  <c r="BX7" i="25" s="1"/>
  <c r="Y45" i="92"/>
  <c r="K45" i="92"/>
  <c r="H36" i="113" l="1"/>
  <c r="H35" i="113"/>
  <c r="H33" i="113"/>
  <c r="H32" i="113"/>
  <c r="H29" i="113"/>
  <c r="H23" i="113"/>
  <c r="H21" i="113"/>
  <c r="L20" i="113"/>
  <c r="H19" i="113"/>
  <c r="L18" i="113"/>
  <c r="L15" i="113"/>
  <c r="H15" i="113"/>
  <c r="L13" i="113"/>
  <c r="H12" i="113"/>
  <c r="H9" i="113"/>
  <c r="L8" i="113"/>
  <c r="L6" i="113"/>
  <c r="H6" i="113"/>
  <c r="P69" i="89"/>
  <c r="N69" i="89"/>
  <c r="L69" i="89"/>
  <c r="H69" i="89"/>
  <c r="F69" i="89"/>
  <c r="D69" i="89"/>
  <c r="P68" i="89"/>
  <c r="N68" i="89"/>
  <c r="L68" i="89"/>
  <c r="H68" i="89"/>
  <c r="F68" i="89"/>
  <c r="D68" i="89"/>
  <c r="P67" i="89"/>
  <c r="N67" i="89"/>
  <c r="L67" i="89"/>
  <c r="H67" i="89"/>
  <c r="F67" i="89"/>
  <c r="D67" i="89"/>
  <c r="DA27" i="25"/>
  <c r="CZ27" i="25"/>
  <c r="CY27" i="25"/>
  <c r="CX27" i="25"/>
  <c r="CW27" i="25"/>
  <c r="CV27" i="25"/>
  <c r="CU27" i="25"/>
  <c r="CD27" i="25" s="1"/>
  <c r="CE27" i="25" s="1"/>
  <c r="CT27" i="25"/>
  <c r="CS27" i="25"/>
  <c r="CO27" i="25"/>
  <c r="BY27" i="25"/>
  <c r="DA20" i="25"/>
  <c r="CZ20" i="25"/>
  <c r="CY20" i="25"/>
  <c r="CX20" i="25"/>
  <c r="CW20" i="25"/>
  <c r="CV20" i="25"/>
  <c r="CU20" i="25"/>
  <c r="CD20" i="25" s="1"/>
  <c r="CE20" i="25" s="1"/>
  <c r="CT20" i="25"/>
  <c r="CS20" i="25"/>
  <c r="CO20" i="25"/>
  <c r="BY20" i="25"/>
  <c r="BS20" i="25"/>
  <c r="G20" i="25"/>
  <c r="DA19" i="25"/>
  <c r="CZ19" i="25"/>
  <c r="CY19" i="25"/>
  <c r="CX19" i="25"/>
  <c r="CW19" i="25"/>
  <c r="CV19" i="25"/>
  <c r="CU19" i="25"/>
  <c r="CD19" i="25" s="1"/>
  <c r="CE19" i="25" s="1"/>
  <c r="CT19" i="25"/>
  <c r="CS19" i="25"/>
  <c r="CO19" i="25"/>
  <c r="BY19" i="25"/>
  <c r="BS19" i="25"/>
  <c r="G19" i="25"/>
  <c r="DA17" i="25"/>
  <c r="CZ17" i="25"/>
  <c r="CY17" i="25"/>
  <c r="CX17" i="25"/>
  <c r="CW17" i="25"/>
  <c r="CV17" i="25"/>
  <c r="CU17" i="25"/>
  <c r="CD17" i="25" s="1"/>
  <c r="CE17" i="25" s="1"/>
  <c r="CT17" i="25"/>
  <c r="CS17" i="25"/>
  <c r="CO17" i="25"/>
  <c r="BY17" i="25"/>
  <c r="G17" i="25"/>
  <c r="DA28" i="25"/>
  <c r="CZ28" i="25"/>
  <c r="CY28" i="25"/>
  <c r="CX28" i="25"/>
  <c r="CW28" i="25"/>
  <c r="CV28" i="25"/>
  <c r="CU28" i="25"/>
  <c r="CD28" i="25" s="1"/>
  <c r="CE28" i="25" s="1"/>
  <c r="CT28" i="25"/>
  <c r="CS28" i="25"/>
  <c r="CO28" i="25"/>
  <c r="BY28" i="25"/>
  <c r="BS28" i="25"/>
  <c r="DA31" i="25"/>
  <c r="CZ31" i="25"/>
  <c r="CY31" i="25"/>
  <c r="CX31" i="25"/>
  <c r="CW31" i="25"/>
  <c r="CV31" i="25"/>
  <c r="CU31" i="25"/>
  <c r="CD31" i="25" s="1"/>
  <c r="CE31" i="25" s="1"/>
  <c r="CT31" i="25"/>
  <c r="CS31" i="25"/>
  <c r="CO31" i="25"/>
  <c r="BY31" i="25"/>
  <c r="BS31" i="25"/>
  <c r="DA30" i="25"/>
  <c r="CZ30" i="25"/>
  <c r="CY30" i="25"/>
  <c r="CX30" i="25"/>
  <c r="CW30" i="25"/>
  <c r="CV30" i="25"/>
  <c r="CU30" i="25"/>
  <c r="CD30" i="25" s="1"/>
  <c r="CE30" i="25" s="1"/>
  <c r="CT30" i="25"/>
  <c r="CS30" i="25"/>
  <c r="CO30" i="25"/>
  <c r="BY30" i="25"/>
  <c r="BS30" i="25"/>
  <c r="DA29" i="25"/>
  <c r="CZ29" i="25"/>
  <c r="CY29" i="25"/>
  <c r="CX29" i="25"/>
  <c r="CW29" i="25"/>
  <c r="CV29" i="25"/>
  <c r="CU29" i="25"/>
  <c r="CD29" i="25" s="1"/>
  <c r="CE29" i="25" s="1"/>
  <c r="CT29" i="25"/>
  <c r="CS29" i="25"/>
  <c r="CO29" i="25"/>
  <c r="BY29" i="25"/>
  <c r="BS29" i="25"/>
  <c r="DA26" i="25"/>
  <c r="CZ26" i="25"/>
  <c r="CY26" i="25"/>
  <c r="CX26" i="25"/>
  <c r="CW26" i="25"/>
  <c r="CV26" i="25"/>
  <c r="CU26" i="25"/>
  <c r="CD26" i="25" s="1"/>
  <c r="CE26" i="25" s="1"/>
  <c r="CT26" i="25"/>
  <c r="CS26" i="25"/>
  <c r="BY26" i="25"/>
  <c r="BS26" i="25"/>
  <c r="DA25" i="25"/>
  <c r="CZ25" i="25"/>
  <c r="CY25" i="25"/>
  <c r="CX25" i="25"/>
  <c r="CW25" i="25"/>
  <c r="CV25" i="25"/>
  <c r="CU25" i="25"/>
  <c r="CD25" i="25" s="1"/>
  <c r="CE25" i="25" s="1"/>
  <c r="CT25" i="25"/>
  <c r="CS25" i="25"/>
  <c r="CO25" i="25"/>
  <c r="BY25" i="25"/>
  <c r="BS25" i="25"/>
  <c r="G25" i="25"/>
  <c r="DA24" i="25"/>
  <c r="CZ24" i="25"/>
  <c r="CY24" i="25"/>
  <c r="CX24" i="25"/>
  <c r="CW24" i="25"/>
  <c r="CV24" i="25"/>
  <c r="CU24" i="25"/>
  <c r="CD24" i="25" s="1"/>
  <c r="CE24" i="25" s="1"/>
  <c r="CT24" i="25"/>
  <c r="CS24" i="25"/>
  <c r="CO24" i="25"/>
  <c r="BY24" i="25"/>
  <c r="BS24" i="25"/>
  <c r="G24" i="25"/>
  <c r="DA23" i="25"/>
  <c r="CZ23" i="25"/>
  <c r="CY23" i="25"/>
  <c r="CX23" i="25"/>
  <c r="CW23" i="25"/>
  <c r="CV23" i="25"/>
  <c r="CU23" i="25"/>
  <c r="CD23" i="25" s="1"/>
  <c r="CE23" i="25" s="1"/>
  <c r="CT23" i="25"/>
  <c r="CS23" i="25"/>
  <c r="CO23" i="25"/>
  <c r="BY23" i="25"/>
  <c r="BS23" i="25"/>
  <c r="G23" i="25"/>
  <c r="DA22" i="25"/>
  <c r="CZ22" i="25"/>
  <c r="CY22" i="25"/>
  <c r="CX22" i="25"/>
  <c r="CW22" i="25"/>
  <c r="CV22" i="25"/>
  <c r="CU22" i="25"/>
  <c r="CD22" i="25" s="1"/>
  <c r="CE22" i="25" s="1"/>
  <c r="CT22" i="25"/>
  <c r="CS22" i="25"/>
  <c r="CO22" i="25"/>
  <c r="BY22" i="25"/>
  <c r="BS22" i="25"/>
  <c r="G22" i="25"/>
  <c r="DA18" i="25"/>
  <c r="CZ18" i="25"/>
  <c r="CY18" i="25"/>
  <c r="CX18" i="25"/>
  <c r="CW18" i="25"/>
  <c r="CV18" i="25"/>
  <c r="CU18" i="25"/>
  <c r="CD18" i="25" s="1"/>
  <c r="CE18" i="25" s="1"/>
  <c r="CT18" i="25"/>
  <c r="CS18" i="25"/>
  <c r="CO18" i="25"/>
  <c r="BY18" i="25"/>
  <c r="G18" i="25"/>
  <c r="DA15" i="25"/>
  <c r="CZ15" i="25"/>
  <c r="CY15" i="25"/>
  <c r="CX15" i="25"/>
  <c r="CW15" i="25"/>
  <c r="CV15" i="25"/>
  <c r="CU15" i="25"/>
  <c r="CD15" i="25" s="1"/>
  <c r="CE15" i="25" s="1"/>
  <c r="CT15" i="25"/>
  <c r="CS15" i="25"/>
  <c r="CO15" i="25"/>
  <c r="BY15" i="25"/>
  <c r="BS15" i="25"/>
  <c r="G15" i="25"/>
  <c r="DA14" i="25"/>
  <c r="CZ14" i="25"/>
  <c r="CY14" i="25"/>
  <c r="CX14" i="25"/>
  <c r="CW14" i="25"/>
  <c r="CV14" i="25"/>
  <c r="CU14" i="25"/>
  <c r="CD14" i="25" s="1"/>
  <c r="CE14" i="25" s="1"/>
  <c r="CT14" i="25"/>
  <c r="CS14" i="25"/>
  <c r="CO14" i="25"/>
  <c r="BY14" i="25"/>
  <c r="BS14" i="25"/>
  <c r="G14" i="25"/>
  <c r="DA11" i="25"/>
  <c r="CZ11" i="25"/>
  <c r="CY11" i="25"/>
  <c r="CX11" i="25"/>
  <c r="CW11" i="25"/>
  <c r="CV11" i="25"/>
  <c r="CU11" i="25"/>
  <c r="CD11" i="25" s="1"/>
  <c r="CE11" i="25" s="1"/>
  <c r="CT11" i="25"/>
  <c r="CS11" i="25"/>
  <c r="CO11" i="25"/>
  <c r="BY11" i="25"/>
  <c r="BS11" i="25"/>
  <c r="G11" i="25"/>
  <c r="DA13" i="25"/>
  <c r="CZ13" i="25"/>
  <c r="CY13" i="25"/>
  <c r="CX13" i="25"/>
  <c r="CW13" i="25"/>
  <c r="CV13" i="25"/>
  <c r="CU13" i="25"/>
  <c r="CD13" i="25" s="1"/>
  <c r="CE13" i="25" s="1"/>
  <c r="CT13" i="25"/>
  <c r="CS13" i="25"/>
  <c r="CO13" i="25"/>
  <c r="BY13" i="25"/>
  <c r="BS13" i="25"/>
  <c r="G13" i="25"/>
  <c r="DA12" i="25"/>
  <c r="CZ12" i="25"/>
  <c r="CY12" i="25"/>
  <c r="CX12" i="25"/>
  <c r="CW12" i="25"/>
  <c r="CV12" i="25"/>
  <c r="CU12" i="25"/>
  <c r="CD12" i="25" s="1"/>
  <c r="CE12" i="25" s="1"/>
  <c r="CT12" i="25"/>
  <c r="CS12" i="25"/>
  <c r="CO12" i="25"/>
  <c r="BY12" i="25"/>
  <c r="BS12" i="25"/>
  <c r="G12" i="25"/>
  <c r="DA10" i="25"/>
  <c r="CZ10" i="25"/>
  <c r="CY10" i="25"/>
  <c r="CX10" i="25"/>
  <c r="CW10" i="25"/>
  <c r="CV10" i="25"/>
  <c r="CU10" i="25"/>
  <c r="CD10" i="25" s="1"/>
  <c r="CE10" i="25" s="1"/>
  <c r="CT10" i="25"/>
  <c r="CS10" i="25"/>
  <c r="CO10" i="25"/>
  <c r="BY10" i="25"/>
  <c r="BS10" i="25"/>
  <c r="G10" i="25"/>
  <c r="DA9" i="25"/>
  <c r="CZ9" i="25"/>
  <c r="CY9" i="25"/>
  <c r="CX9" i="25"/>
  <c r="CW9" i="25"/>
  <c r="CV9" i="25"/>
  <c r="CU9" i="25"/>
  <c r="CD9" i="25" s="1"/>
  <c r="CE9" i="25" s="1"/>
  <c r="CT9" i="25"/>
  <c r="CS9" i="25"/>
  <c r="BY9" i="25"/>
  <c r="BS9" i="25"/>
  <c r="G9" i="25"/>
  <c r="DA8" i="25"/>
  <c r="CZ8" i="25"/>
  <c r="CY8" i="25"/>
  <c r="CX8" i="25"/>
  <c r="CW8" i="25"/>
  <c r="CV8" i="25"/>
  <c r="CU8" i="25"/>
  <c r="CD8" i="25" s="1"/>
  <c r="CE8" i="25" s="1"/>
  <c r="CT8" i="25"/>
  <c r="CS8" i="25"/>
  <c r="BY8" i="25"/>
  <c r="G8" i="25"/>
  <c r="DA16" i="25"/>
  <c r="CZ16" i="25"/>
  <c r="CY16" i="25"/>
  <c r="CX16" i="25"/>
  <c r="CW16" i="25"/>
  <c r="CV16" i="25"/>
  <c r="CU16" i="25"/>
  <c r="CD16" i="25" s="1"/>
  <c r="CE16" i="25" s="1"/>
  <c r="CT16" i="25"/>
  <c r="CS16" i="25"/>
  <c r="CO16" i="25"/>
  <c r="BY16" i="25"/>
  <c r="BS16" i="25"/>
  <c r="G16" i="25"/>
  <c r="DA21" i="25"/>
  <c r="CZ21" i="25"/>
  <c r="CY21" i="25"/>
  <c r="CX21" i="25"/>
  <c r="CW21" i="25"/>
  <c r="CV21" i="25"/>
  <c r="CU21" i="25"/>
  <c r="CD21" i="25" s="1"/>
  <c r="CE21" i="25" s="1"/>
  <c r="CT21" i="25"/>
  <c r="CS21" i="25"/>
  <c r="CO21" i="25"/>
  <c r="BY21" i="25"/>
  <c r="G21" i="25"/>
  <c r="D62" i="92"/>
  <c r="C62" i="92"/>
  <c r="J185" i="92"/>
  <c r="I188" i="92"/>
  <c r="I82" i="89" l="1"/>
  <c r="G96" i="92"/>
  <c r="CF22" i="25"/>
  <c r="D52" i="89"/>
  <c r="K21" i="89"/>
  <c r="K32" i="89"/>
  <c r="I84" i="89"/>
  <c r="I83" i="89"/>
  <c r="J189" i="92"/>
  <c r="J190" i="92"/>
  <c r="J188" i="92"/>
  <c r="K17" i="89"/>
  <c r="D43" i="89"/>
  <c r="K25" i="89"/>
  <c r="D60" i="89"/>
  <c r="K29" i="89"/>
  <c r="H85" i="89"/>
  <c r="J96" i="92"/>
  <c r="X85" i="89"/>
  <c r="J94" i="92"/>
  <c r="CK15" i="25"/>
  <c r="CL15" i="25" s="1"/>
  <c r="CM15" i="25" s="1"/>
  <c r="CN15" i="25" s="1"/>
  <c r="CF15" i="25"/>
  <c r="CK25" i="25"/>
  <c r="CL25" i="25" s="1"/>
  <c r="CM25" i="25" s="1"/>
  <c r="CN25" i="25" s="1"/>
  <c r="BO22" i="25"/>
  <c r="BO14" i="25"/>
  <c r="CK13" i="25"/>
  <c r="CL13" i="25" s="1"/>
  <c r="CM13" i="25" s="1"/>
  <c r="CN13" i="25" s="1"/>
  <c r="BO10" i="25"/>
  <c r="CK17" i="25"/>
  <c r="CL17" i="25" s="1"/>
  <c r="CM17" i="25" s="1"/>
  <c r="CN17" i="25" s="1"/>
  <c r="CF19" i="25"/>
  <c r="CK9" i="25"/>
  <c r="CL9" i="25" s="1"/>
  <c r="CM9" i="25" s="1"/>
  <c r="CN9" i="25" s="1"/>
  <c r="CK22" i="25"/>
  <c r="CL22" i="25" s="1"/>
  <c r="CM22" i="25" s="1"/>
  <c r="CN22" i="25" s="1"/>
  <c r="CK24" i="25"/>
  <c r="CL24" i="25" s="1"/>
  <c r="CM24" i="25" s="1"/>
  <c r="CN24" i="25" s="1"/>
  <c r="CK31" i="25"/>
  <c r="CL31" i="25" s="1"/>
  <c r="CM31" i="25" s="1"/>
  <c r="CN31" i="25" s="1"/>
  <c r="CK29" i="25"/>
  <c r="CL29" i="25" s="1"/>
  <c r="CM29" i="25" s="1"/>
  <c r="CN29" i="25" s="1"/>
  <c r="CK30" i="25"/>
  <c r="CL30" i="25" s="1"/>
  <c r="CM30" i="25" s="1"/>
  <c r="CN30" i="25" s="1"/>
  <c r="BO19" i="25"/>
  <c r="CK27" i="25"/>
  <c r="CL27" i="25" s="1"/>
  <c r="CM27" i="25" s="1"/>
  <c r="CN27" i="25" s="1"/>
  <c r="BO30" i="25"/>
  <c r="BO21" i="25"/>
  <c r="BO13" i="25"/>
  <c r="BO25" i="25"/>
  <c r="BO20" i="25"/>
  <c r="BO16" i="25"/>
  <c r="CF28" i="25"/>
  <c r="CK21" i="25"/>
  <c r="CL21" i="25" s="1"/>
  <c r="CM21" i="25" s="1"/>
  <c r="CN21" i="25" s="1"/>
  <c r="BW16" i="25"/>
  <c r="BX16" i="25" s="1"/>
  <c r="CK16" i="25"/>
  <c r="CL16" i="25" s="1"/>
  <c r="CM16" i="25" s="1"/>
  <c r="CN16" i="25" s="1"/>
  <c r="BO8" i="25"/>
  <c r="BU20" i="25"/>
  <c r="BV20" i="25" s="1"/>
  <c r="BZ20" i="25" s="1"/>
  <c r="BO12" i="25"/>
  <c r="CF12" i="25"/>
  <c r="BO11" i="25"/>
  <c r="CK19" i="25"/>
  <c r="CL19" i="25" s="1"/>
  <c r="CM19" i="25" s="1"/>
  <c r="CN19" i="25" s="1"/>
  <c r="BO23" i="25"/>
  <c r="CF26" i="25"/>
  <c r="CK20" i="25"/>
  <c r="CL20" i="25" s="1"/>
  <c r="CM20" i="25" s="1"/>
  <c r="CN20" i="25" s="1"/>
  <c r="CF21" i="25"/>
  <c r="CF16" i="25"/>
  <c r="CF8" i="25"/>
  <c r="CF9" i="25"/>
  <c r="CL8" i="25"/>
  <c r="CM8" i="25" s="1"/>
  <c r="CN8" i="25" s="1"/>
  <c r="BO9" i="25"/>
  <c r="CK14" i="25"/>
  <c r="CL14" i="25" s="1"/>
  <c r="CM14" i="25" s="1"/>
  <c r="CN14" i="25" s="1"/>
  <c r="BU12" i="25"/>
  <c r="BV12" i="25" s="1"/>
  <c r="BZ12" i="25" s="1"/>
  <c r="CK12" i="25"/>
  <c r="CL12" i="25" s="1"/>
  <c r="CM12" i="25" s="1"/>
  <c r="CN12" i="25" s="1"/>
  <c r="CK10" i="25"/>
  <c r="CL10" i="25" s="1"/>
  <c r="CM10" i="25" s="1"/>
  <c r="CN10" i="25" s="1"/>
  <c r="CF23" i="25"/>
  <c r="CF13" i="25"/>
  <c r="BO15" i="25"/>
  <c r="BO28" i="25"/>
  <c r="CK28" i="25"/>
  <c r="CL28" i="25" s="1"/>
  <c r="CM28" i="25" s="1"/>
  <c r="CN28" i="25" s="1"/>
  <c r="BO17" i="25"/>
  <c r="BU15" i="25"/>
  <c r="BV15" i="25" s="1"/>
  <c r="BZ15" i="25" s="1"/>
  <c r="BO31" i="25"/>
  <c r="CF11" i="25"/>
  <c r="CK11" i="25"/>
  <c r="CL11" i="25" s="1"/>
  <c r="CM11" i="25" s="1"/>
  <c r="CN11" i="25" s="1"/>
  <c r="BU23" i="25"/>
  <c r="BV23" i="25" s="1"/>
  <c r="BZ23" i="25" s="1"/>
  <c r="CK23" i="25"/>
  <c r="CL23" i="25" s="1"/>
  <c r="CM23" i="25" s="1"/>
  <c r="CN23" i="25" s="1"/>
  <c r="BO27" i="25"/>
  <c r="CK18" i="25"/>
  <c r="CL18" i="25" s="1"/>
  <c r="CM18" i="25" s="1"/>
  <c r="CN18" i="25" s="1"/>
  <c r="BO24" i="25"/>
  <c r="CK26" i="25"/>
  <c r="CL26" i="25" s="1"/>
  <c r="CM26" i="25" s="1"/>
  <c r="CN26" i="25" s="1"/>
  <c r="BO29" i="25"/>
  <c r="BU30" i="25"/>
  <c r="BV30" i="25" s="1"/>
  <c r="BZ30" i="25" s="1"/>
  <c r="BU24" i="25"/>
  <c r="BV24" i="25" s="1"/>
  <c r="BZ24" i="25" s="1"/>
  <c r="CF24" i="25"/>
  <c r="BO26" i="25"/>
  <c r="BW29" i="25"/>
  <c r="BX29" i="25" s="1"/>
  <c r="CO26" i="25"/>
  <c r="CO9" i="25"/>
  <c r="BS21" i="25"/>
  <c r="BS8" i="25"/>
  <c r="CO8" i="25"/>
  <c r="BO18" i="25"/>
  <c r="CF10" i="25"/>
  <c r="CF14" i="25"/>
  <c r="CF25" i="25"/>
  <c r="BS18" i="25"/>
  <c r="CF18" i="25"/>
  <c r="BU10" i="25"/>
  <c r="BV10" i="25" s="1"/>
  <c r="BZ10" i="25" s="1"/>
  <c r="BU14" i="25"/>
  <c r="BV14" i="25" s="1"/>
  <c r="BZ14" i="25" s="1"/>
  <c r="CF29" i="25"/>
  <c r="CF30" i="25"/>
  <c r="BU31" i="25"/>
  <c r="BV31" i="25" s="1"/>
  <c r="BZ31" i="25" s="1"/>
  <c r="CF20" i="25"/>
  <c r="BS17" i="25"/>
  <c r="BS27" i="25"/>
  <c r="CF31" i="25"/>
  <c r="CF17" i="25"/>
  <c r="CF27" i="25"/>
  <c r="J95" i="92"/>
  <c r="BI19" i="25" l="1"/>
  <c r="BI18" i="25"/>
  <c r="BI9" i="25"/>
  <c r="BI23" i="25"/>
  <c r="BI29" i="25"/>
  <c r="BI14" i="25"/>
  <c r="BI28" i="25"/>
  <c r="BI31" i="25"/>
  <c r="BI22" i="25"/>
  <c r="BI25" i="25"/>
  <c r="BI30" i="25"/>
  <c r="BI13" i="25"/>
  <c r="BI12" i="25"/>
  <c r="BI17" i="25"/>
  <c r="BI27" i="25"/>
  <c r="BI20" i="25"/>
  <c r="BU16" i="25"/>
  <c r="BV16" i="25" s="1"/>
  <c r="BZ16" i="25" s="1"/>
  <c r="BU29" i="25"/>
  <c r="BV29" i="25" s="1"/>
  <c r="BZ29" i="25" s="1"/>
  <c r="BW20" i="25"/>
  <c r="BX20" i="25" s="1"/>
  <c r="BW24" i="25"/>
  <c r="BX24" i="25" s="1"/>
  <c r="BW23" i="25"/>
  <c r="BX23" i="25" s="1"/>
  <c r="E67" i="89"/>
  <c r="M67" i="89"/>
  <c r="O67" i="89"/>
  <c r="G67" i="89"/>
  <c r="K67" i="89"/>
  <c r="C67" i="89"/>
  <c r="O68" i="89"/>
  <c r="E60" i="89"/>
  <c r="G68" i="89" s="1"/>
  <c r="E43" i="89"/>
  <c r="C68" i="89" s="1"/>
  <c r="K68" i="89"/>
  <c r="E69" i="89"/>
  <c r="M69" i="89"/>
  <c r="G69" i="89"/>
  <c r="O69" i="89"/>
  <c r="C69" i="89"/>
  <c r="K69" i="89"/>
  <c r="M68" i="89"/>
  <c r="E52" i="89"/>
  <c r="E68" i="89" s="1"/>
  <c r="BW30" i="25"/>
  <c r="BX30" i="25" s="1"/>
  <c r="BU8" i="25"/>
  <c r="BV8" i="25" s="1"/>
  <c r="BZ8" i="25" s="1"/>
  <c r="BU21" i="25"/>
  <c r="BV21" i="25" s="1"/>
  <c r="BZ21" i="25" s="1"/>
  <c r="BW21" i="25"/>
  <c r="BX21" i="25" s="1"/>
  <c r="BU18" i="25"/>
  <c r="BV18" i="25" s="1"/>
  <c r="BZ18" i="25" s="1"/>
  <c r="BU27" i="25"/>
  <c r="BV27" i="25" s="1"/>
  <c r="BZ27" i="25" s="1"/>
  <c r="BW22" i="25"/>
  <c r="BX22" i="25" s="1"/>
  <c r="BU22" i="25"/>
  <c r="BV22" i="25" s="1"/>
  <c r="BZ22" i="25" s="1"/>
  <c r="BW11" i="25"/>
  <c r="BX11" i="25" s="1"/>
  <c r="BU11" i="25"/>
  <c r="BV11" i="25" s="1"/>
  <c r="BZ11" i="25" s="1"/>
  <c r="BW27" i="25"/>
  <c r="BX27" i="25" s="1"/>
  <c r="BW14" i="25"/>
  <c r="BX14" i="25" s="1"/>
  <c r="BW18" i="25"/>
  <c r="BX18" i="25" s="1"/>
  <c r="BU19" i="25"/>
  <c r="BV19" i="25" s="1"/>
  <c r="BZ19" i="25" s="1"/>
  <c r="BW19" i="25"/>
  <c r="BX19" i="25" s="1"/>
  <c r="BW31" i="25"/>
  <c r="BX31" i="25" s="1"/>
  <c r="BW15" i="25"/>
  <c r="BX15" i="25" s="1"/>
  <c r="BW10" i="25"/>
  <c r="BX10" i="25" s="1"/>
  <c r="BU26" i="25"/>
  <c r="BV26" i="25" s="1"/>
  <c r="BZ26" i="25" s="1"/>
  <c r="BW26" i="25"/>
  <c r="BX26" i="25" s="1"/>
  <c r="BU9" i="25"/>
  <c r="BV9" i="25" s="1"/>
  <c r="BZ9" i="25" s="1"/>
  <c r="BW9" i="25"/>
  <c r="BX9" i="25" s="1"/>
  <c r="BW25" i="25"/>
  <c r="BX25" i="25" s="1"/>
  <c r="BU25" i="25"/>
  <c r="BV25" i="25" s="1"/>
  <c r="BZ25" i="25" s="1"/>
  <c r="BU28" i="25"/>
  <c r="BV28" i="25" s="1"/>
  <c r="BZ28" i="25" s="1"/>
  <c r="BW28" i="25"/>
  <c r="BX28" i="25" s="1"/>
  <c r="BU17" i="25"/>
  <c r="BV17" i="25" s="1"/>
  <c r="BZ17" i="25" s="1"/>
  <c r="BW17" i="25"/>
  <c r="BX17" i="25" s="1"/>
  <c r="BW12" i="25"/>
  <c r="BX12" i="25" s="1"/>
  <c r="BW8" i="25"/>
  <c r="BX8" i="25" s="1"/>
  <c r="BW13" i="25"/>
  <c r="BX13" i="25" s="1"/>
  <c r="BU13" i="25"/>
  <c r="BV13" i="25" s="1"/>
  <c r="BZ13" i="2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sit.wash.pm</author>
    <author>MEAL Activity Manager</author>
    <author>Phyu, Ba</author>
    <author>Thein, Maung Soe</author>
    <author>Oluwatoyosi Olawande</author>
    <author>Min, Aung Myo</author>
  </authors>
  <commentList>
    <comment ref="M7" authorId="0" shapeId="0" xr:uid="{48ACD8B8-46EC-49F6-87BF-94B48A591C30}">
      <text>
        <r>
          <rPr>
            <b/>
            <sz val="9"/>
            <color indexed="81"/>
            <rFont val="Tahoma"/>
            <family val="2"/>
          </rPr>
          <t>Administrator:</t>
        </r>
        <r>
          <rPr>
            <sz val="9"/>
            <color indexed="81"/>
            <rFont val="Tahoma"/>
            <family val="2"/>
          </rPr>
          <t xml:space="preserve">
SCI</t>
        </r>
      </text>
    </comment>
    <comment ref="M8" authorId="0" shapeId="0" xr:uid="{A23403ED-A63C-44D4-901A-C6BE621DB715}">
      <text>
        <r>
          <rPr>
            <b/>
            <sz val="9"/>
            <color indexed="81"/>
            <rFont val="Tahoma"/>
            <family val="2"/>
          </rPr>
          <t>Administrator:</t>
        </r>
        <r>
          <rPr>
            <sz val="9"/>
            <color indexed="81"/>
            <rFont val="Tahoma"/>
            <family val="2"/>
          </rPr>
          <t xml:space="preserve">
SCI</t>
        </r>
      </text>
    </comment>
    <comment ref="P8" authorId="1" shapeId="0" xr:uid="{BF3E896A-10D2-4E5D-AD8C-B72FB698ADFA}">
      <text>
        <r>
          <rPr>
            <b/>
            <sz val="9"/>
            <color indexed="81"/>
            <rFont val="Tahoma"/>
            <family val="2"/>
          </rPr>
          <t>sit.wash.pm:</t>
        </r>
        <r>
          <rPr>
            <sz val="9"/>
            <color indexed="81"/>
            <rFont val="Tahoma"/>
            <family val="2"/>
          </rPr>
          <t xml:space="preserve">
No work days lost because of not receiving travel approval documents. No information is available for work days lost due to CMC/ landowner blockages.</t>
        </r>
      </text>
    </comment>
    <comment ref="AB8" authorId="1" shapeId="0" xr:uid="{BFA45206-A175-4A01-8A78-FF2570C84DAE}">
      <text>
        <r>
          <rPr>
            <b/>
            <sz val="9"/>
            <color indexed="81"/>
            <rFont val="Tahoma"/>
            <family val="2"/>
          </rPr>
          <t>sit.wash.pm:</t>
        </r>
        <r>
          <rPr>
            <sz val="9"/>
            <color indexed="81"/>
            <rFont val="Tahoma"/>
            <family val="2"/>
          </rPr>
          <t xml:space="preserve">
No household water storage items were distributed this reporting period.</t>
        </r>
      </text>
    </comment>
    <comment ref="BE8" authorId="1" shapeId="0" xr:uid="{525BF4C0-27D0-4381-BB43-50BCE9D88D68}">
      <text>
        <r>
          <rPr>
            <b/>
            <sz val="9"/>
            <color indexed="81"/>
            <rFont val="Tahoma"/>
            <family val="2"/>
          </rPr>
          <t>sit.wash.pm:</t>
        </r>
        <r>
          <rPr>
            <sz val="9"/>
            <color indexed="81"/>
            <rFont val="Tahoma"/>
            <family val="2"/>
          </rPr>
          <t xml:space="preserve">
OXSI does not have data for this indicator</t>
        </r>
      </text>
    </comment>
    <comment ref="BF8" authorId="1" shapeId="0" xr:uid="{D30A7E60-E01D-4D59-BD46-443CFBF46181}">
      <text>
        <r>
          <rPr>
            <b/>
            <sz val="9"/>
            <color indexed="81"/>
            <rFont val="Tahoma"/>
            <family val="2"/>
          </rPr>
          <t>sit.wash.pm:</t>
        </r>
        <r>
          <rPr>
            <sz val="9"/>
            <color indexed="81"/>
            <rFont val="Tahoma"/>
            <family val="2"/>
          </rPr>
          <t xml:space="preserve">
OXSI does not have data for this indicator</t>
        </r>
      </text>
    </comment>
    <comment ref="BG8" authorId="2" shapeId="0" xr:uid="{885D841E-1996-41BD-B8DC-CD51E27F7EA3}">
      <text>
        <r>
          <rPr>
            <b/>
            <sz val="9"/>
            <color indexed="81"/>
            <rFont val="Tahoma"/>
            <family val="2"/>
          </rPr>
          <t>MEAL Activity Manager:</t>
        </r>
        <r>
          <rPr>
            <sz val="9"/>
            <color indexed="81"/>
            <rFont val="Tahoma"/>
            <family val="2"/>
          </rPr>
          <t xml:space="preserve">
The information is from the recent Satisfaction survey but we just have % of the respondents</t>
        </r>
      </text>
    </comment>
    <comment ref="BJ8" authorId="1" shapeId="0" xr:uid="{6E5ADE21-23D0-49E5-93DA-C833A4517A08}">
      <text>
        <r>
          <rPr>
            <b/>
            <sz val="9"/>
            <color indexed="81"/>
            <rFont val="Tahoma"/>
            <family val="2"/>
          </rPr>
          <t>sit.wash.pm:</t>
        </r>
        <r>
          <rPr>
            <sz val="9"/>
            <color indexed="81"/>
            <rFont val="Tahoma"/>
            <family val="2"/>
          </rPr>
          <t xml:space="preserve">
Not applicable for Sittwe Camps</t>
        </r>
      </text>
    </comment>
    <comment ref="BK8" authorId="1" shapeId="0" xr:uid="{AB1E7175-76D2-4643-A1B3-51DB7C78E029}">
      <text>
        <r>
          <rPr>
            <b/>
            <sz val="9"/>
            <color indexed="81"/>
            <rFont val="Tahoma"/>
            <family val="2"/>
          </rPr>
          <t>sit.wash.pm:</t>
        </r>
        <r>
          <rPr>
            <sz val="9"/>
            <color indexed="81"/>
            <rFont val="Tahoma"/>
            <family val="2"/>
          </rPr>
          <t xml:space="preserve">
Not applicable for Sittwe Camps.</t>
        </r>
      </text>
    </comment>
    <comment ref="BL8" authorId="1" shapeId="0" xr:uid="{A32BA2B3-D1A6-4630-9403-AD9F6150DE62}">
      <text>
        <r>
          <rPr>
            <b/>
            <sz val="9"/>
            <color indexed="81"/>
            <rFont val="Tahoma"/>
            <family val="2"/>
          </rPr>
          <t>sit.wash.pm:</t>
        </r>
        <r>
          <rPr>
            <sz val="9"/>
            <color indexed="81"/>
            <rFont val="Tahoma"/>
            <family val="2"/>
          </rPr>
          <t xml:space="preserve">
Not applicable for Sittwe Camps</t>
        </r>
      </text>
    </comment>
    <comment ref="M9" authorId="0" shapeId="0" xr:uid="{BABD19E1-EC7D-45D5-AAB4-13BC92B32E5A}">
      <text>
        <r>
          <rPr>
            <b/>
            <sz val="9"/>
            <color indexed="81"/>
            <rFont val="Tahoma"/>
            <family val="2"/>
          </rPr>
          <t>Administrator:</t>
        </r>
        <r>
          <rPr>
            <sz val="9"/>
            <color indexed="81"/>
            <rFont val="Tahoma"/>
            <family val="2"/>
          </rPr>
          <t xml:space="preserve">
SCI</t>
        </r>
      </text>
    </comment>
    <comment ref="N9" authorId="1" shapeId="0" xr:uid="{003679A1-361A-4AF1-9A46-A9E23D4B43B8}">
      <text>
        <r>
          <rPr>
            <b/>
            <sz val="9"/>
            <color indexed="81"/>
            <rFont val="Tahoma"/>
            <family val="2"/>
          </rPr>
          <t>sit.wash.pm:</t>
        </r>
        <r>
          <rPr>
            <sz val="9"/>
            <color indexed="81"/>
            <rFont val="Tahoma"/>
            <family val="2"/>
          </rPr>
          <t xml:space="preserve">
This is for both BDP 1 and 2</t>
        </r>
      </text>
    </comment>
    <comment ref="O9" authorId="1" shapeId="0" xr:uid="{CD570B28-B031-4D7A-95D5-A00D5117475B}">
      <text>
        <r>
          <rPr>
            <b/>
            <sz val="9"/>
            <color indexed="81"/>
            <rFont val="Tahoma"/>
            <family val="2"/>
          </rPr>
          <t>sit.wash.pm:</t>
        </r>
        <r>
          <rPr>
            <sz val="9"/>
            <color indexed="81"/>
            <rFont val="Tahoma"/>
            <family val="2"/>
          </rPr>
          <t xml:space="preserve">
This is for both BDP 1 and 2</t>
        </r>
      </text>
    </comment>
    <comment ref="R9" authorId="1" shapeId="0" xr:uid="{04228C8D-6A87-4379-BB0C-64FD630A9B0E}">
      <text>
        <r>
          <rPr>
            <b/>
            <sz val="9"/>
            <color indexed="81"/>
            <rFont val="Tahoma"/>
            <family val="2"/>
          </rPr>
          <t>sit.wash.pm:</t>
        </r>
        <r>
          <rPr>
            <sz val="9"/>
            <color indexed="81"/>
            <rFont val="Tahoma"/>
            <family val="2"/>
          </rPr>
          <t xml:space="preserve">
For BDP 1 and 2</t>
        </r>
      </text>
    </comment>
    <comment ref="S9" authorId="1" shapeId="0" xr:uid="{10C2C11E-991C-44F4-AD64-95E0E8561C80}">
      <text>
        <r>
          <rPr>
            <b/>
            <sz val="9"/>
            <color indexed="81"/>
            <rFont val="Tahoma"/>
            <family val="2"/>
          </rPr>
          <t>sit.wash.pm:</t>
        </r>
        <r>
          <rPr>
            <sz val="9"/>
            <color indexed="81"/>
            <rFont val="Tahoma"/>
            <family val="2"/>
          </rPr>
          <t xml:space="preserve">
For BDP 1 and 2</t>
        </r>
      </text>
    </comment>
    <comment ref="AH9" authorId="2" shapeId="0" xr:uid="{F3D4F497-68E4-4657-BA39-5F08461D2953}">
      <text>
        <r>
          <rPr>
            <b/>
            <sz val="9"/>
            <color indexed="81"/>
            <rFont val="Tahoma"/>
            <family val="2"/>
          </rPr>
          <t>MEAL Activity Manager:</t>
        </r>
        <r>
          <rPr>
            <sz val="9"/>
            <color indexed="81"/>
            <rFont val="Tahoma"/>
            <family val="2"/>
          </rPr>
          <t xml:space="preserve">
sum of Baw Du Pha 1 and 2</t>
        </r>
      </text>
    </comment>
    <comment ref="AI9" authorId="2" shapeId="0" xr:uid="{D6E0495E-A2D8-4F2C-9DCF-B1CEC631EAD7}">
      <text>
        <r>
          <rPr>
            <b/>
            <sz val="9"/>
            <color indexed="81"/>
            <rFont val="Tahoma"/>
            <family val="2"/>
          </rPr>
          <t>MEAL Activity Manager:</t>
        </r>
        <r>
          <rPr>
            <sz val="9"/>
            <color indexed="81"/>
            <rFont val="Tahoma"/>
            <family val="2"/>
          </rPr>
          <t xml:space="preserve">
Average of Baw Du Pha 1 and 2</t>
        </r>
      </text>
    </comment>
    <comment ref="AJ9" authorId="2" shapeId="0" xr:uid="{2B56DC69-79A5-4CE7-AAC0-C0CACD0CB78B}">
      <text>
        <r>
          <rPr>
            <b/>
            <sz val="9"/>
            <color indexed="81"/>
            <rFont val="Tahoma"/>
            <family val="2"/>
          </rPr>
          <t>MEAL Activity Manager:</t>
        </r>
        <r>
          <rPr>
            <sz val="9"/>
            <color indexed="81"/>
            <rFont val="Tahoma"/>
            <family val="2"/>
          </rPr>
          <t xml:space="preserve">
sum of Baw Du Pha 1 and 2</t>
        </r>
      </text>
    </comment>
    <comment ref="AK9" authorId="2" shapeId="0" xr:uid="{A655171F-0FB6-47AF-AD48-2D3FAFA3FAFC}">
      <text>
        <r>
          <rPr>
            <b/>
            <sz val="9"/>
            <color indexed="81"/>
            <rFont val="Tahoma"/>
            <family val="2"/>
          </rPr>
          <t>MEAL Activity Manager:</t>
        </r>
        <r>
          <rPr>
            <sz val="9"/>
            <color indexed="81"/>
            <rFont val="Tahoma"/>
            <family val="2"/>
          </rPr>
          <t xml:space="preserve">
Average of Baw Du Pha 1 and 2</t>
        </r>
      </text>
    </comment>
    <comment ref="AL9" authorId="2" shapeId="0" xr:uid="{E93705A4-6FA6-4697-AC8C-2761176B2B2D}">
      <text>
        <r>
          <rPr>
            <b/>
            <sz val="9"/>
            <color indexed="81"/>
            <rFont val="Tahoma"/>
            <family val="2"/>
          </rPr>
          <t>MEAL Activity Manager:</t>
        </r>
        <r>
          <rPr>
            <sz val="9"/>
            <color indexed="81"/>
            <rFont val="Tahoma"/>
            <family val="2"/>
          </rPr>
          <t xml:space="preserve">
Average of Baw Du Pha 1 and 2</t>
        </r>
      </text>
    </comment>
    <comment ref="AT9" authorId="2" shapeId="0" xr:uid="{6DFB3AC6-761D-4539-878D-AE2AF224F391}">
      <text>
        <r>
          <rPr>
            <b/>
            <sz val="9"/>
            <color indexed="81"/>
            <rFont val="Tahoma"/>
            <family val="2"/>
          </rPr>
          <t>MEAL Activity Manager:</t>
        </r>
        <r>
          <rPr>
            <sz val="9"/>
            <color indexed="81"/>
            <rFont val="Tahoma"/>
            <family val="2"/>
          </rPr>
          <t xml:space="preserve">
Combination of Baw Du Pha 1 and 2</t>
        </r>
      </text>
    </comment>
    <comment ref="AU9" authorId="2" shapeId="0" xr:uid="{6213A2A1-6013-4883-B92F-2F310151BD32}">
      <text>
        <r>
          <rPr>
            <b/>
            <sz val="9"/>
            <color indexed="81"/>
            <rFont val="Tahoma"/>
            <family val="2"/>
          </rPr>
          <t>MEAL Activity Manager:</t>
        </r>
        <r>
          <rPr>
            <sz val="9"/>
            <color indexed="81"/>
            <rFont val="Tahoma"/>
            <family val="2"/>
          </rPr>
          <t xml:space="preserve">
Combination of Baw Du Pha 1 and 2</t>
        </r>
      </text>
    </comment>
    <comment ref="AV9" authorId="2" shapeId="0" xr:uid="{B7161EE5-702A-49CA-AC93-C2CE9A7B15A8}">
      <text>
        <r>
          <rPr>
            <b/>
            <sz val="9"/>
            <color indexed="81"/>
            <rFont val="Tahoma"/>
            <family val="2"/>
          </rPr>
          <t>MEAL Activity Manager:</t>
        </r>
        <r>
          <rPr>
            <sz val="9"/>
            <color indexed="81"/>
            <rFont val="Tahoma"/>
            <family val="2"/>
          </rPr>
          <t xml:space="preserve">
Combination of Baw Du Pha 1 and 2</t>
        </r>
      </text>
    </comment>
    <comment ref="AW9" authorId="2" shapeId="0" xr:uid="{F8EDD065-07DE-48C8-BC16-871704E595C8}">
      <text>
        <r>
          <rPr>
            <b/>
            <sz val="9"/>
            <color indexed="81"/>
            <rFont val="Tahoma"/>
            <family val="2"/>
          </rPr>
          <t>MEAL Activity Manager:</t>
        </r>
        <r>
          <rPr>
            <sz val="9"/>
            <color indexed="81"/>
            <rFont val="Tahoma"/>
            <family val="2"/>
          </rPr>
          <t xml:space="preserve">
Combination of Baw Du Pha 1 and 2</t>
        </r>
      </text>
    </comment>
    <comment ref="BG9" authorId="1" shapeId="0" xr:uid="{855057E4-45C3-418C-A73F-0FFA3BC90E42}">
      <text>
        <r>
          <rPr>
            <b/>
            <sz val="9"/>
            <color indexed="81"/>
            <rFont val="Tahoma"/>
            <family val="2"/>
          </rPr>
          <t>sit.wash.pm:</t>
        </r>
        <r>
          <rPr>
            <sz val="9"/>
            <color indexed="81"/>
            <rFont val="Tahoma"/>
            <family val="2"/>
          </rPr>
          <t xml:space="preserve">
Combination of Baw Du Pha 1 and 2</t>
        </r>
      </text>
    </comment>
    <comment ref="BH9" authorId="1" shapeId="0" xr:uid="{2861571D-E317-44DD-9216-466F63F5BB7B}">
      <text>
        <r>
          <rPr>
            <b/>
            <sz val="9"/>
            <color indexed="81"/>
            <rFont val="Tahoma"/>
            <family val="2"/>
          </rPr>
          <t>sit.wash.pm:</t>
        </r>
        <r>
          <rPr>
            <sz val="9"/>
            <color indexed="81"/>
            <rFont val="Tahoma"/>
            <family val="2"/>
          </rPr>
          <t xml:space="preserve">
Combination of Baw Du Pha 1 and 2</t>
        </r>
      </text>
    </comment>
    <comment ref="M10" authorId="0" shapeId="0" xr:uid="{11B6A8BE-7295-474A-8C94-07F2DC6806E8}">
      <text>
        <r>
          <rPr>
            <b/>
            <sz val="9"/>
            <color indexed="81"/>
            <rFont val="Tahoma"/>
            <family val="2"/>
          </rPr>
          <t>Administrator:</t>
        </r>
        <r>
          <rPr>
            <sz val="9"/>
            <color indexed="81"/>
            <rFont val="Tahoma"/>
            <family val="2"/>
          </rPr>
          <t xml:space="preserve">
SCI</t>
        </r>
      </text>
    </comment>
    <comment ref="H11" authorId="0" shapeId="0" xr:uid="{834B9D71-23B0-41A5-A563-0B42D091809C}">
      <text>
        <r>
          <rPr>
            <b/>
            <sz val="9"/>
            <color indexed="81"/>
            <rFont val="Tahoma"/>
            <family val="2"/>
          </rPr>
          <t>Administrator:</t>
        </r>
        <r>
          <rPr>
            <sz val="9"/>
            <color indexed="81"/>
            <rFont val="Tahoma"/>
            <family val="2"/>
          </rPr>
          <t xml:space="preserve">
Baw Du Pha (IDP in host families)</t>
        </r>
      </text>
    </comment>
    <comment ref="M11" authorId="0" shapeId="0" xr:uid="{B75FFFC4-20DA-494F-A45A-AFD2F41F5CE3}">
      <text>
        <r>
          <rPr>
            <b/>
            <sz val="9"/>
            <color indexed="81"/>
            <rFont val="Tahoma"/>
            <family val="2"/>
          </rPr>
          <t>Administrator:</t>
        </r>
        <r>
          <rPr>
            <sz val="9"/>
            <color indexed="81"/>
            <rFont val="Tahoma"/>
            <family val="2"/>
          </rPr>
          <t xml:space="preserve">
SCI</t>
        </r>
      </text>
    </comment>
    <comment ref="M12" authorId="0" shapeId="0" xr:uid="{606C4CB0-4603-47CD-9D1A-CFF29A69C0D2}">
      <text>
        <r>
          <rPr>
            <b/>
            <sz val="9"/>
            <color indexed="81"/>
            <rFont val="Tahoma"/>
            <family val="2"/>
          </rPr>
          <t>Administrator:</t>
        </r>
        <r>
          <rPr>
            <sz val="9"/>
            <color indexed="81"/>
            <rFont val="Tahoma"/>
            <family val="2"/>
          </rPr>
          <t xml:space="preserve">
SCI</t>
        </r>
      </text>
    </comment>
    <comment ref="M14" authorId="0" shapeId="0" xr:uid="{7683E897-35F9-4FA5-97AA-47514A5F42B0}">
      <text>
        <r>
          <rPr>
            <b/>
            <sz val="9"/>
            <color indexed="81"/>
            <rFont val="Tahoma"/>
            <family val="2"/>
          </rPr>
          <t>Administrator:</t>
        </r>
        <r>
          <rPr>
            <sz val="9"/>
            <color indexed="81"/>
            <rFont val="Tahoma"/>
            <family val="2"/>
          </rPr>
          <t xml:space="preserve">
SCI</t>
        </r>
      </text>
    </comment>
    <comment ref="M15" authorId="0" shapeId="0" xr:uid="{F5DDD484-A860-45DB-B053-74EF13C65A79}">
      <text>
        <r>
          <rPr>
            <b/>
            <sz val="9"/>
            <color indexed="81"/>
            <rFont val="Tahoma"/>
            <family val="2"/>
          </rPr>
          <t>Administrator:</t>
        </r>
        <r>
          <rPr>
            <sz val="9"/>
            <color indexed="81"/>
            <rFont val="Tahoma"/>
            <family val="2"/>
          </rPr>
          <t xml:space="preserve">
SCI</t>
        </r>
      </text>
    </comment>
    <comment ref="M17" authorId="0" shapeId="0" xr:uid="{0AA0DAC4-B101-451D-AE36-F273A8521F1A}">
      <text>
        <r>
          <rPr>
            <b/>
            <sz val="9"/>
            <color indexed="81"/>
            <rFont val="Tahoma"/>
            <family val="2"/>
          </rPr>
          <t>Administrator:</t>
        </r>
        <r>
          <rPr>
            <sz val="9"/>
            <color indexed="81"/>
            <rFont val="Tahoma"/>
            <family val="2"/>
          </rPr>
          <t xml:space="preserve">
SCI</t>
        </r>
      </text>
    </comment>
    <comment ref="M18" authorId="0" shapeId="0" xr:uid="{C0B7FB46-911E-48DC-9E68-C2058630E6EB}">
      <text>
        <r>
          <rPr>
            <b/>
            <sz val="9"/>
            <color indexed="81"/>
            <rFont val="Tahoma"/>
            <family val="2"/>
          </rPr>
          <t>Administrator:</t>
        </r>
        <r>
          <rPr>
            <sz val="9"/>
            <color indexed="81"/>
            <rFont val="Tahoma"/>
            <family val="2"/>
          </rPr>
          <t xml:space="preserve">
SCI</t>
        </r>
      </text>
    </comment>
    <comment ref="M19" authorId="0" shapeId="0" xr:uid="{8846020A-CD67-44F1-A049-5D149F855C95}">
      <text>
        <r>
          <rPr>
            <b/>
            <sz val="9"/>
            <color indexed="81"/>
            <rFont val="Tahoma"/>
            <family val="2"/>
          </rPr>
          <t>Administrator:</t>
        </r>
        <r>
          <rPr>
            <sz val="9"/>
            <color indexed="81"/>
            <rFont val="Tahoma"/>
            <family val="2"/>
          </rPr>
          <t xml:space="preserve">
SCI</t>
        </r>
      </text>
    </comment>
    <comment ref="M20" authorId="0" shapeId="0" xr:uid="{09916509-5323-4799-B0EE-E5CDACC9D5B7}">
      <text>
        <r>
          <rPr>
            <b/>
            <sz val="9"/>
            <color indexed="81"/>
            <rFont val="Tahoma"/>
            <family val="2"/>
          </rPr>
          <t>Administrator:</t>
        </r>
        <r>
          <rPr>
            <sz val="9"/>
            <color indexed="81"/>
            <rFont val="Tahoma"/>
            <family val="2"/>
          </rPr>
          <t xml:space="preserve">
LWF,EiE</t>
        </r>
      </text>
    </comment>
    <comment ref="M22" authorId="0" shapeId="0" xr:uid="{3640C02D-817F-4F08-9CE7-97784A965E40}">
      <text>
        <r>
          <rPr>
            <b/>
            <sz val="9"/>
            <color indexed="81"/>
            <rFont val="Tahoma"/>
            <family val="2"/>
          </rPr>
          <t>Administrator:</t>
        </r>
        <r>
          <rPr>
            <sz val="9"/>
            <color indexed="81"/>
            <rFont val="Tahoma"/>
            <family val="2"/>
          </rPr>
          <t xml:space="preserve">
SCI</t>
        </r>
      </text>
    </comment>
    <comment ref="M23" authorId="0" shapeId="0" xr:uid="{2ECB2C9A-CD51-47CE-B010-6E77DECE65E7}">
      <text>
        <r>
          <rPr>
            <b/>
            <sz val="9"/>
            <color indexed="81"/>
            <rFont val="Tahoma"/>
            <family val="2"/>
          </rPr>
          <t>Administrator:</t>
        </r>
        <r>
          <rPr>
            <sz val="9"/>
            <color indexed="81"/>
            <rFont val="Tahoma"/>
            <family val="2"/>
          </rPr>
          <t xml:space="preserve">
SCI</t>
        </r>
      </text>
    </comment>
    <comment ref="M24" authorId="0" shapeId="0" xr:uid="{1F267134-D17E-4332-83F4-7D011187F2D1}">
      <text>
        <r>
          <rPr>
            <b/>
            <sz val="9"/>
            <color indexed="81"/>
            <rFont val="Tahoma"/>
            <family val="2"/>
          </rPr>
          <t>Administrator:</t>
        </r>
        <r>
          <rPr>
            <sz val="9"/>
            <color indexed="81"/>
            <rFont val="Tahoma"/>
            <family val="2"/>
          </rPr>
          <t xml:space="preserve">
SCI</t>
        </r>
      </text>
    </comment>
    <comment ref="M25" authorId="0" shapeId="0" xr:uid="{5AD68719-2C1E-4C8D-93BD-8ACB82D3EA15}">
      <text>
        <r>
          <rPr>
            <b/>
            <sz val="9"/>
            <color indexed="81"/>
            <rFont val="Tahoma"/>
            <family val="2"/>
          </rPr>
          <t>Administrator:</t>
        </r>
        <r>
          <rPr>
            <sz val="9"/>
            <color indexed="81"/>
            <rFont val="Tahoma"/>
            <family val="2"/>
          </rPr>
          <t xml:space="preserve">
SCI</t>
        </r>
      </text>
    </comment>
    <comment ref="M26" authorId="0" shapeId="0" xr:uid="{5A44073D-B063-4228-B0AA-56C9CF20CDDE}">
      <text>
        <r>
          <rPr>
            <b/>
            <sz val="9"/>
            <color indexed="81"/>
            <rFont val="Tahoma"/>
            <family val="2"/>
          </rPr>
          <t>Administrator:</t>
        </r>
        <r>
          <rPr>
            <sz val="9"/>
            <color indexed="81"/>
            <rFont val="Tahoma"/>
            <family val="2"/>
          </rPr>
          <t xml:space="preserve">
SCI</t>
        </r>
      </text>
    </comment>
    <comment ref="M27" authorId="0" shapeId="0" xr:uid="{3C1C48AF-E636-4C06-AAC8-999DDD965766}">
      <text>
        <r>
          <rPr>
            <b/>
            <sz val="9"/>
            <color indexed="81"/>
            <rFont val="Tahoma"/>
            <family val="2"/>
          </rPr>
          <t>Administrator:</t>
        </r>
        <r>
          <rPr>
            <sz val="9"/>
            <color indexed="81"/>
            <rFont val="Tahoma"/>
            <family val="2"/>
          </rPr>
          <t xml:space="preserve">
SCI</t>
        </r>
      </text>
    </comment>
    <comment ref="T27" authorId="3" shapeId="0" xr:uid="{E33D6141-2217-4217-BCD5-70BF2EEE0322}">
      <text>
        <r>
          <rPr>
            <b/>
            <sz val="9"/>
            <color indexed="81"/>
            <rFont val="Tahoma"/>
            <family val="2"/>
          </rPr>
          <t>Phyu, Ba:</t>
        </r>
        <r>
          <rPr>
            <sz val="9"/>
            <color indexed="81"/>
            <rFont val="Tahoma"/>
            <family val="2"/>
          </rPr>
          <t xml:space="preserve">
15 well
8 water point distribution   with tap stand.</t>
        </r>
      </text>
    </comment>
    <comment ref="V27" authorId="3" shapeId="0" xr:uid="{C4E410C8-10A6-48C7-AC6B-0BE1021C2B35}">
      <text>
        <r>
          <rPr>
            <b/>
            <sz val="9"/>
            <color indexed="81"/>
            <rFont val="Tahoma"/>
            <family val="2"/>
          </rPr>
          <t>Phyu, Ba:</t>
        </r>
        <r>
          <rPr>
            <sz val="9"/>
            <color indexed="81"/>
            <rFont val="Tahoma"/>
            <family val="2"/>
          </rPr>
          <t xml:space="preserve">
Apr- 1396500
May- 2307000</t>
        </r>
      </text>
    </comment>
    <comment ref="X27" authorId="4" shapeId="0" xr:uid="{7900C099-F674-4079-96BB-DC0484F401C1}">
      <text>
        <r>
          <rPr>
            <b/>
            <sz val="9"/>
            <color indexed="81"/>
            <rFont val="Tahoma"/>
            <family val="2"/>
          </rPr>
          <t>Thein, Maung Soe:</t>
        </r>
        <r>
          <rPr>
            <sz val="9"/>
            <color indexed="81"/>
            <rFont val="Tahoma"/>
            <family val="2"/>
          </rPr>
          <t xml:space="preserve">
no water source tested from April to June.</t>
        </r>
      </text>
    </comment>
    <comment ref="AE27" authorId="3" shapeId="0" xr:uid="{E8B2301E-7E72-466E-BF84-BCF18940DBBB}">
      <text>
        <r>
          <rPr>
            <b/>
            <sz val="9"/>
            <color indexed="81"/>
            <rFont val="Tahoma"/>
            <family val="2"/>
          </rPr>
          <t>Phyu, Ba:</t>
        </r>
        <r>
          <rPr>
            <sz val="9"/>
            <color indexed="81"/>
            <rFont val="Tahoma"/>
            <family val="2"/>
          </rPr>
          <t xml:space="preserve">
in this days there is no using water point execting there but distribution from water point.</t>
        </r>
      </text>
    </comment>
    <comment ref="BA27" authorId="0" shapeId="0" xr:uid="{6C3508D8-81A9-417F-B2C0-AF2593CAD325}">
      <text>
        <r>
          <rPr>
            <b/>
            <sz val="9"/>
            <color indexed="81"/>
            <rFont val="Tahoma"/>
            <family val="2"/>
          </rPr>
          <t>Administrator:</t>
        </r>
        <r>
          <rPr>
            <sz val="9"/>
            <color indexed="81"/>
            <rFont val="Tahoma"/>
            <family val="2"/>
          </rPr>
          <t xml:space="preserve">
need to be confirmed</t>
        </r>
      </text>
    </comment>
    <comment ref="M29" authorId="0" shapeId="0" xr:uid="{8F13DE80-5367-45A4-8616-273D50466455}">
      <text>
        <r>
          <rPr>
            <b/>
            <sz val="9"/>
            <color indexed="81"/>
            <rFont val="Tahoma"/>
            <family val="2"/>
          </rPr>
          <t>Administrator:</t>
        </r>
        <r>
          <rPr>
            <sz val="9"/>
            <color indexed="81"/>
            <rFont val="Tahoma"/>
            <family val="2"/>
          </rPr>
          <t xml:space="preserve">
LWF,EiE</t>
        </r>
      </text>
    </comment>
    <comment ref="M30" authorId="0" shapeId="0" xr:uid="{78F90771-BD23-416B-8BC4-07E307EF8895}">
      <text>
        <r>
          <rPr>
            <b/>
            <sz val="9"/>
            <color indexed="81"/>
            <rFont val="Tahoma"/>
            <family val="2"/>
          </rPr>
          <t>Administrator:</t>
        </r>
        <r>
          <rPr>
            <sz val="9"/>
            <color indexed="81"/>
            <rFont val="Tahoma"/>
            <family val="2"/>
          </rPr>
          <t xml:space="preserve">
SCI</t>
        </r>
      </text>
    </comment>
    <comment ref="M31" authorId="0" shapeId="0" xr:uid="{F7D34536-5447-4F87-AF9F-A64E079EADB5}">
      <text>
        <r>
          <rPr>
            <b/>
            <sz val="9"/>
            <color indexed="81"/>
            <rFont val="Tahoma"/>
            <family val="2"/>
          </rPr>
          <t>Administrator:</t>
        </r>
        <r>
          <rPr>
            <sz val="9"/>
            <color indexed="81"/>
            <rFont val="Tahoma"/>
            <family val="2"/>
          </rPr>
          <t xml:space="preserve">
SCI</t>
        </r>
      </text>
    </comment>
    <comment ref="M49" authorId="0" shapeId="0" xr:uid="{8A1DF561-116E-4E25-818F-CD1B129B91DF}">
      <text>
        <r>
          <rPr>
            <b/>
            <sz val="9"/>
            <color indexed="81"/>
            <rFont val="Tahoma"/>
            <family val="2"/>
          </rPr>
          <t>Administrator:</t>
        </r>
        <r>
          <rPr>
            <sz val="9"/>
            <color indexed="81"/>
            <rFont val="Tahoma"/>
            <family val="2"/>
          </rPr>
          <t xml:space="preserve">
SCI</t>
        </r>
      </text>
    </comment>
    <comment ref="AM58" authorId="1" shapeId="0" xr:uid="{C1C7B5F3-2804-4538-A240-BD51EF02FF74}">
      <text>
        <r>
          <rPr>
            <b/>
            <sz val="9"/>
            <color indexed="81"/>
            <rFont val="Tahoma"/>
            <family val="2"/>
          </rPr>
          <t>sit.wash.pm:</t>
        </r>
        <r>
          <rPr>
            <sz val="9"/>
            <color indexed="81"/>
            <rFont val="Tahoma"/>
            <family val="2"/>
          </rPr>
          <t xml:space="preserve">
Data for boys and girls. Gender segregated data not available</t>
        </r>
      </text>
    </comment>
    <comment ref="AN58" authorId="1" shapeId="0" xr:uid="{A1FEE53B-5618-431B-98CF-ABBBAB947D25}">
      <text>
        <r>
          <rPr>
            <b/>
            <sz val="9"/>
            <color indexed="81"/>
            <rFont val="Tahoma"/>
            <family val="2"/>
          </rPr>
          <t>sit.wash.pm:</t>
        </r>
        <r>
          <rPr>
            <sz val="9"/>
            <color indexed="81"/>
            <rFont val="Tahoma"/>
            <family val="2"/>
          </rPr>
          <t xml:space="preserve">
Data for boys and girls. Gender segregated data not available</t>
        </r>
      </text>
    </comment>
    <comment ref="AH59" authorId="5" shapeId="0" xr:uid="{58A26465-6D78-4C69-BBC6-03564071F5DF}">
      <text>
        <r>
          <rPr>
            <b/>
            <sz val="9"/>
            <color indexed="81"/>
            <rFont val="Tahoma"/>
            <family val="2"/>
          </rPr>
          <t>Oluwatoyosi Olawande:</t>
        </r>
        <r>
          <rPr>
            <sz val="9"/>
            <color indexed="81"/>
            <rFont val="Tahoma"/>
            <family val="2"/>
          </rPr>
          <t xml:space="preserve">
BDP 1+2</t>
        </r>
      </text>
    </comment>
    <comment ref="AK59" authorId="2" shapeId="0" xr:uid="{FFD89153-8BBB-4A4B-9FD8-5750115671CB}">
      <text>
        <r>
          <rPr>
            <b/>
            <sz val="9"/>
            <color indexed="81"/>
            <rFont val="Tahoma"/>
            <family val="2"/>
          </rPr>
          <t>MEAL Activity Manager:</t>
        </r>
        <r>
          <rPr>
            <sz val="9"/>
            <color indexed="81"/>
            <rFont val="Tahoma"/>
            <family val="2"/>
          </rPr>
          <t xml:space="preserve">
BDP 1 and BDP 2</t>
        </r>
      </text>
    </comment>
    <comment ref="AL59" authorId="2" shapeId="0" xr:uid="{E9BC5C06-0711-4771-B447-F8A442E618C1}">
      <text>
        <r>
          <rPr>
            <b/>
            <sz val="9"/>
            <color indexed="81"/>
            <rFont val="Tahoma"/>
            <family val="2"/>
          </rPr>
          <t>MEAL Activity Manager:</t>
        </r>
        <r>
          <rPr>
            <sz val="9"/>
            <color indexed="81"/>
            <rFont val="Tahoma"/>
            <family val="2"/>
          </rPr>
          <t xml:space="preserve">
BDP 1 and BDP 2</t>
        </r>
      </text>
    </comment>
    <comment ref="AT59" authorId="2" shapeId="0" xr:uid="{F2CF7AFF-74AD-4E49-A256-DB9E24E1B901}">
      <text>
        <r>
          <rPr>
            <b/>
            <sz val="9"/>
            <color indexed="81"/>
            <rFont val="Tahoma"/>
            <family val="2"/>
          </rPr>
          <t>MEAL Activity Manager:</t>
        </r>
        <r>
          <rPr>
            <sz val="9"/>
            <color indexed="81"/>
            <rFont val="Tahoma"/>
            <family val="2"/>
          </rPr>
          <t xml:space="preserve">
BDP 1+ BDP2</t>
        </r>
      </text>
    </comment>
    <comment ref="BG59" authorId="1" shapeId="0" xr:uid="{DEAD35C2-61BD-41B2-A5A8-E82BD85AC880}">
      <text>
        <r>
          <rPr>
            <b/>
            <sz val="9"/>
            <color indexed="81"/>
            <rFont val="Tahoma"/>
            <family val="2"/>
          </rPr>
          <t>sit.wash.pm:</t>
        </r>
        <r>
          <rPr>
            <sz val="9"/>
            <color indexed="81"/>
            <rFont val="Tahoma"/>
            <family val="2"/>
          </rPr>
          <t xml:space="preserve">
BDP1 and BDP2</t>
        </r>
      </text>
    </comment>
    <comment ref="M74" authorId="0" shapeId="0" xr:uid="{55B5C8CB-9155-45BF-9BC8-BC9CF45FB281}">
      <text>
        <r>
          <rPr>
            <b/>
            <sz val="9"/>
            <color indexed="81"/>
            <rFont val="Tahoma"/>
            <family val="2"/>
          </rPr>
          <t>Administrator:</t>
        </r>
        <r>
          <rPr>
            <sz val="9"/>
            <color indexed="81"/>
            <rFont val="Tahoma"/>
            <family val="2"/>
          </rPr>
          <t xml:space="preserve">
SCI</t>
        </r>
      </text>
    </comment>
    <comment ref="V77" authorId="6" shapeId="0" xr:uid="{86EC149C-947C-426D-80FB-86D05049C242}">
      <text>
        <r>
          <rPr>
            <b/>
            <sz val="9"/>
            <color indexed="81"/>
            <rFont val="Tahoma"/>
            <family val="2"/>
          </rPr>
          <t>Min, Aung Myo:</t>
        </r>
        <r>
          <rPr>
            <sz val="9"/>
            <color indexed="81"/>
            <rFont val="Tahoma"/>
            <family val="2"/>
          </rPr>
          <t xml:space="preserve">
Total chlorinated water distribution liters from 8 water distribution points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G29" authorId="0" shapeId="0" xr:uid="{D4E407C0-A7AB-4D18-9FDF-97FE235F1989}">
      <text>
        <r>
          <rPr>
            <b/>
            <sz val="9"/>
            <color indexed="81"/>
            <rFont val="Tahoma"/>
            <family val="2"/>
          </rPr>
          <t>Administrator:</t>
        </r>
        <r>
          <rPr>
            <sz val="9"/>
            <color indexed="81"/>
            <rFont val="Tahoma"/>
            <family val="2"/>
          </rPr>
          <t xml:space="preserve">
highest figures from the quarters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Than Kyaw Soe</author>
  </authors>
  <commentList>
    <comment ref="E420" authorId="0" shapeId="0" xr:uid="{00000000-0006-0000-0F00-000001000000}">
      <text>
        <r>
          <rPr>
            <b/>
            <sz val="9"/>
            <color indexed="81"/>
            <rFont val="Tahoma"/>
            <family val="2"/>
          </rPr>
          <t>Than Kyaw Soe:</t>
        </r>
        <r>
          <rPr>
            <sz val="9"/>
            <color indexed="81"/>
            <rFont val="Tahoma"/>
            <family val="2"/>
          </rPr>
          <t xml:space="preserve">
move to another locations need to change the GPS Point</t>
        </r>
      </text>
    </comment>
  </commentList>
</comments>
</file>

<file path=xl/sharedStrings.xml><?xml version="1.0" encoding="utf-8"?>
<sst xmlns="http://schemas.openxmlformats.org/spreadsheetml/2006/main" count="16194" uniqueCount="3235">
  <si>
    <t>V1</t>
  </si>
  <si>
    <t>V2</t>
  </si>
  <si>
    <t>V3</t>
  </si>
  <si>
    <t>V4</t>
  </si>
  <si>
    <t>V5</t>
  </si>
  <si>
    <t>V7</t>
  </si>
  <si>
    <t>V8</t>
  </si>
  <si>
    <t>x1</t>
  </si>
  <si>
    <t>x2</t>
  </si>
  <si>
    <t>x4</t>
  </si>
  <si>
    <t>x5</t>
  </si>
  <si>
    <t>x6</t>
  </si>
  <si>
    <t>x7</t>
  </si>
  <si>
    <t>x8</t>
  </si>
  <si>
    <t>x9</t>
  </si>
  <si>
    <t>x10</t>
  </si>
  <si>
    <t>drop down</t>
  </si>
  <si>
    <t>#</t>
  </si>
  <si>
    <t>Text</t>
  </si>
  <si>
    <t>date</t>
  </si>
  <si>
    <t>Reporting Period</t>
  </si>
  <si>
    <t>WASH focal Agency</t>
  </si>
  <si>
    <t>State</t>
  </si>
  <si>
    <t>Township</t>
  </si>
  <si>
    <t>Site Name</t>
  </si>
  <si>
    <t>Total HH</t>
  </si>
  <si>
    <t xml:space="preserve">Total PoP </t>
  </si>
  <si>
    <t xml:space="preserve">Primary Donor covering WASH activities at site </t>
  </si>
  <si>
    <t>CCCM Management</t>
  </si>
  <si>
    <t>CCCM Focal Agency</t>
  </si>
  <si>
    <t>Type of accommodation</t>
  </si>
  <si>
    <t>Ethnic or GCA/NGCA</t>
  </si>
  <si>
    <t>Lat</t>
  </si>
  <si>
    <t>Long</t>
  </si>
  <si>
    <t>Pcode</t>
  </si>
  <si>
    <t>Covered</t>
  </si>
  <si>
    <t>Remark</t>
  </si>
  <si>
    <t>KMSS</t>
  </si>
  <si>
    <t>Kachin</t>
  </si>
  <si>
    <t>Mansi</t>
  </si>
  <si>
    <t>Maing Khaung Catholic Church</t>
  </si>
  <si>
    <t>DFID/HARP</t>
  </si>
  <si>
    <t>Yes</t>
  </si>
  <si>
    <t>KMSS-BMO</t>
  </si>
  <si>
    <t>Camp</t>
  </si>
  <si>
    <t>GCA</t>
  </si>
  <si>
    <t>HRP calculation</t>
  </si>
  <si>
    <t>Current Indicators</t>
  </si>
  <si>
    <t>Definitions/Remarks</t>
  </si>
  <si>
    <t xml:space="preserve">CAMP </t>
  </si>
  <si>
    <t xml:space="preserve">VILLAGE </t>
  </si>
  <si>
    <t>V9</t>
  </si>
  <si>
    <t>V10</t>
  </si>
  <si>
    <t># Work days (approx) lost in this site due to access restrictions</t>
  </si>
  <si>
    <t>Yes/No</t>
  </si>
  <si>
    <t>V11</t>
  </si>
  <si>
    <t>%</t>
  </si>
  <si>
    <t>V12</t>
  </si>
  <si>
    <t>HRP 1 (improved sources)</t>
  </si>
  <si>
    <t>V13</t>
  </si>
  <si>
    <t>V17</t>
  </si>
  <si>
    <t>V16</t>
  </si>
  <si>
    <t>V18</t>
  </si>
  <si>
    <t>N/A</t>
  </si>
  <si>
    <t>V20</t>
  </si>
  <si>
    <t>V21</t>
  </si>
  <si>
    <t>V22</t>
  </si>
  <si>
    <t>V23</t>
  </si>
  <si>
    <t>V25</t>
  </si>
  <si>
    <t>V26</t>
  </si>
  <si>
    <t>V27</t>
  </si>
  <si>
    <t>V28</t>
  </si>
  <si>
    <t>HRP Code</t>
  </si>
  <si>
    <t>4W Code</t>
  </si>
  <si>
    <t>Corresponding 4W indicator</t>
  </si>
  <si>
    <t>Unit</t>
  </si>
  <si>
    <t>HRP1</t>
  </si>
  <si>
    <t>Number of people with access to functional sanitation facilities</t>
  </si>
  <si>
    <t>Number of people reached by regular dedicated hygiene promotion/behavior change activities</t>
  </si>
  <si>
    <r>
      <rPr>
        <sz val="18"/>
        <color theme="0"/>
        <rFont val="Calibri"/>
        <family val="2"/>
      </rPr>
      <t>WASH CLUSTER</t>
    </r>
    <r>
      <rPr>
        <b/>
        <sz val="18"/>
        <color theme="0"/>
        <rFont val="Calibri"/>
        <family val="2"/>
      </rPr>
      <t xml:space="preserve"> 4W MATRIX </t>
    </r>
    <r>
      <rPr>
        <sz val="18"/>
        <color theme="0"/>
        <rFont val="Calibri"/>
        <family val="2"/>
      </rPr>
      <t>MYANMAR</t>
    </r>
  </si>
  <si>
    <t>Objectives of the 4W matrix:</t>
  </si>
  <si>
    <t>To identify the geographical positionning of the different intervenants (Who)</t>
  </si>
  <si>
    <t>To reduce the geographical gaps coverage (Where)</t>
  </si>
  <si>
    <t>To produce a basic analysis of the needs covered, and needs remaining (What)</t>
  </si>
  <si>
    <t>To predict at minima the coverage extension or reduction in short term (When)</t>
  </si>
  <si>
    <t>To support defining priorities (traffic light)</t>
  </si>
  <si>
    <t>To offer a synthetic situation overview, a relavant and comparable analysis over time</t>
  </si>
  <si>
    <t>The 4W exercise cannot replace more complex and field monitoring tools and analysis.</t>
  </si>
  <si>
    <t xml:space="preserve"> It won't analyse much the qualitative aspect of the intervention, while it is a pre-condition for any intervention </t>
  </si>
  <si>
    <t>To respect minimum technical standards, shared and contextualised by the cluster</t>
  </si>
  <si>
    <t>Principle</t>
  </si>
  <si>
    <t>The matrix remain a flexible tools and can be frequently adapted, based on field experience, needs, and change in the intervention context</t>
  </si>
  <si>
    <t>The Wash cluster has the duty to offer a feed back on data provided by the Agency, and offer a consolidated analysis.</t>
  </si>
  <si>
    <t>The wash cluster meeting, state level or country level, are the place to exchange on result findings</t>
  </si>
  <si>
    <t>The 4W should be updated at quaterly basis, while all agencies are requested to fill the form to offer a more accurate and relevant outlook of the situation</t>
  </si>
  <si>
    <t>The 4W and its analysis is shared with the Myanmar autorities at state and national level</t>
  </si>
  <si>
    <t>The wash cluster is in charge of gathering the information from the State government, in case of technical direct implementation</t>
  </si>
  <si>
    <t>The 4W consolidated by the wash cluster and its analysis will be quarterly shared through the google wash group, WASH Cluster google drive and the MIMU internet site</t>
  </si>
  <si>
    <t>Use of Excel Sheet:</t>
  </si>
  <si>
    <t>DATABASE: Main database for Data Entry by partners</t>
  </si>
  <si>
    <t>HRP Calculations: Calculations method for HRP indicators</t>
  </si>
  <si>
    <t>ANALYSIS: overall Analysis based on partner's  quarterly update 4 Ws</t>
  </si>
  <si>
    <t>Kachin/Rakhine/Shan: Quarterly Snapshot by state. Mapping can not be included in data entry period. It will be included in final version of 4 W released.</t>
  </si>
  <si>
    <t>By Camp: camp level analysis with different dimensions</t>
  </si>
  <si>
    <t>Focal point Agency:</t>
  </si>
  <si>
    <t xml:space="preserve">As per WASH cluster strategic plan and SOF, the approach remains one main wash actor per camp </t>
  </si>
  <si>
    <t>However, depending of the needs, two actors can be considered per sub sector, and different regarding wash sub-sector</t>
  </si>
  <si>
    <t>From a cluster point of view, to facilitate the data collection, the defined focal wash agency is reporting for the overall wash situation in the location, and not only on its own activities</t>
  </si>
  <si>
    <t>The agency focal point is defined on an bilateral agreement between NGOs, while the Cluster can accompaign any process difficulties</t>
  </si>
  <si>
    <t>Geographical reporting coverage</t>
  </si>
  <si>
    <t>WASH Cluster, through intersectorial coordination with CCCM, is providing a site baseline data. However,  this pre-defined list is not closed to new locations, if related to the emergency.</t>
  </si>
  <si>
    <t>In case of new location (ex: spontaneous camps not registered with CCCM, host communities considered directly affected, isolated villages facing</t>
  </si>
  <si>
    <t>humanitarian risk…), please mark in the Database, and engage exchange with the Wash cluster in order to properly recognize this location, and allow to exchange with CCCM if needed.</t>
  </si>
  <si>
    <t>The agencies are also welcome to cross check the data and mention major discrepancies with field observations. The wash cluster in that case ensures a follow up at the inter-cluster level</t>
  </si>
  <si>
    <t>CALCULATION</t>
  </si>
  <si>
    <t>V14</t>
  </si>
  <si>
    <t>V15</t>
  </si>
  <si>
    <t>Number of People with equitable and continuous access to sufficient quantity of safe drinking water through improved water sources</t>
  </si>
  <si>
    <t>Number of People access to unimproved water sources</t>
  </si>
  <si>
    <t># of Water points coverage</t>
  </si>
  <si>
    <r>
      <t>% of equitable and continuous access to sufficient quantity of safe drinking and domestic water's GAP</t>
    </r>
    <r>
      <rPr>
        <b/>
        <sz val="10"/>
        <color rgb="FFFF0000"/>
        <rFont val="Corbel"/>
        <family val="2"/>
      </rPr>
      <t/>
    </r>
  </si>
  <si>
    <t># Potential required new water points</t>
  </si>
  <si>
    <t>Total required water points</t>
  </si>
  <si>
    <t># potential required new latrines</t>
  </si>
  <si>
    <t>Total required Latrines</t>
  </si>
  <si>
    <t>Hygiene Coverage %</t>
  </si>
  <si>
    <t>%people reached by regular dedicated hygiene promotion/behavior change activities</t>
  </si>
  <si>
    <t>% of HH with access to soap</t>
  </si>
  <si>
    <t>Location Type</t>
  </si>
  <si>
    <t>Location Type 1</t>
  </si>
  <si>
    <t>No</t>
  </si>
  <si>
    <t>Functional</t>
  </si>
  <si>
    <t>Household</t>
  </si>
  <si>
    <t>Sin Bo</t>
  </si>
  <si>
    <t>NA</t>
  </si>
  <si>
    <t>KBC</t>
  </si>
  <si>
    <t>Waingmaw</t>
  </si>
  <si>
    <t>Sha-It Yang</t>
  </si>
  <si>
    <t xml:space="preserve">Plan/GFFO,ADRA/CANADA  </t>
  </si>
  <si>
    <t>Both</t>
  </si>
  <si>
    <t>Chipwi</t>
  </si>
  <si>
    <t>Hpare Hkyer - BP6</t>
  </si>
  <si>
    <t>Hpakant</t>
  </si>
  <si>
    <t>Hlaing Naung Baptist</t>
  </si>
  <si>
    <t>ADRA/CANADA</t>
  </si>
  <si>
    <t>Non_Functional</t>
  </si>
  <si>
    <t>Mogaung</t>
  </si>
  <si>
    <t xml:space="preserve">Kyun Taw Baptist Church </t>
  </si>
  <si>
    <t>Mang Hawng Baptist Church</t>
  </si>
  <si>
    <t xml:space="preserve">Nat Gyi Kone Baptist Church </t>
  </si>
  <si>
    <t>Sar Hmaw - KBC</t>
  </si>
  <si>
    <t>Mohnyin</t>
  </si>
  <si>
    <t xml:space="preserve">Nawng Ing (Indawgyi) Baptist Church </t>
  </si>
  <si>
    <t>Myitkyina</t>
  </si>
  <si>
    <t>Du Kahtawng Baptist</t>
  </si>
  <si>
    <t>Jan Mai Kawng Baptist Church</t>
  </si>
  <si>
    <t>Kyun Pin Thar Baptist Church</t>
  </si>
  <si>
    <t>Le Kone Bethlehem Church</t>
  </si>
  <si>
    <t xml:space="preserve">Le Kone Ziun Baptist Church </t>
  </si>
  <si>
    <t>Maliyang Baptist Church</t>
  </si>
  <si>
    <t>Man Hkring Baptist Church</t>
  </si>
  <si>
    <t xml:space="preserve">Njang Dung Baptist Church </t>
  </si>
  <si>
    <t>Shatapru Sut Ngai Tawng</t>
  </si>
  <si>
    <t>Shwe Zet Baptist Church</t>
  </si>
  <si>
    <t>Tat Kone Baptist Church</t>
  </si>
  <si>
    <t>Tat Kone Galile Baptist Church</t>
  </si>
  <si>
    <t>Tat Kone San Pya Baptist Church</t>
  </si>
  <si>
    <t>Puta-O</t>
  </si>
  <si>
    <t>Lung Sut</t>
  </si>
  <si>
    <t>Hkau Shau (BP 12)</t>
  </si>
  <si>
    <t>Mading Baptist Church</t>
  </si>
  <si>
    <t xml:space="preserve">Maga Yang </t>
  </si>
  <si>
    <t>Maina KBC (Bawng Ring)</t>
  </si>
  <si>
    <t>Maina Lawang Baptist Church</t>
  </si>
  <si>
    <t>Pajau - Jan Mai</t>
  </si>
  <si>
    <t>Qtr. 2 Myoma Baptist Church</t>
  </si>
  <si>
    <t>Shing Jai</t>
  </si>
  <si>
    <t>Maing Khaung</t>
  </si>
  <si>
    <t>Sumprabum</t>
  </si>
  <si>
    <t>Ndup Yang</t>
  </si>
  <si>
    <t>Not_inPlace</t>
  </si>
  <si>
    <t>Salang Yang</t>
  </si>
  <si>
    <t xml:space="preserve">Shar Du Zut KBC church </t>
  </si>
  <si>
    <t>Shar Du Zut RC church</t>
  </si>
  <si>
    <t>Muyin church (Aung Yar pre-school compound)</t>
  </si>
  <si>
    <t>Shar Du Zut SanPya</t>
  </si>
  <si>
    <t>Metta</t>
  </si>
  <si>
    <t>Mansi Baptist Church</t>
  </si>
  <si>
    <t>USAID, Christian AID, HIDA</t>
  </si>
  <si>
    <t>Bhamo</t>
  </si>
  <si>
    <t>Aung Thar Church</t>
  </si>
  <si>
    <t>WHH ( BMZ ),USAID</t>
  </si>
  <si>
    <t>Htoi San Church</t>
  </si>
  <si>
    <t>USAID, Christian AID, HIDA, WHH ( AA )</t>
  </si>
  <si>
    <t>Lisu Boarding-House</t>
  </si>
  <si>
    <t>Mu-yin Baptist Church</t>
  </si>
  <si>
    <t>WHH ( BMZ ),USAID, HIDA</t>
  </si>
  <si>
    <t>Nant Hlaing Church</t>
  </si>
  <si>
    <t>Yoe Kyi Monastery</t>
  </si>
  <si>
    <t>Momauk</t>
  </si>
  <si>
    <t>Agritural Compound (KBC)</t>
  </si>
  <si>
    <t>Kachin Su Baptist Church (ECCD)</t>
  </si>
  <si>
    <t>USAID,Christian Aid, HIDA</t>
  </si>
  <si>
    <t>Khar Nan (1) Baptist Church</t>
  </si>
  <si>
    <t>Man Bung Catholic compound</t>
  </si>
  <si>
    <t>Mandalay Monestry</t>
  </si>
  <si>
    <t>WHH ( BMZ ),USAID, Christian AID</t>
  </si>
  <si>
    <t>Momauk Baptist Church</t>
  </si>
  <si>
    <t>Shwegu</t>
  </si>
  <si>
    <t>Shwe Gu Baptist Church</t>
  </si>
  <si>
    <t>Shwe Gu Catholic Church</t>
  </si>
  <si>
    <t xml:space="preserve">Hpun Lum Yang </t>
  </si>
  <si>
    <t>WHH-BMZ,WHH-AA</t>
  </si>
  <si>
    <t>Boys Boarding house, A Len Bum</t>
  </si>
  <si>
    <t>Girl Boarding house, A Len Bum</t>
  </si>
  <si>
    <t xml:space="preserve">Woi Chyai </t>
  </si>
  <si>
    <t>Woi Chyai host families</t>
  </si>
  <si>
    <t>Woi Chyai (Mong Lai)</t>
  </si>
  <si>
    <t>IDP Boarding School, A Len Bum</t>
  </si>
  <si>
    <t>Pan Wa</t>
  </si>
  <si>
    <t>DFID/UNICEF</t>
  </si>
  <si>
    <t>Saw Zam</t>
  </si>
  <si>
    <t xml:space="preserve">DFID / UNICEF </t>
  </si>
  <si>
    <t>Communal</t>
  </si>
  <si>
    <t>5 Ward RC Church(lon Khin)</t>
  </si>
  <si>
    <t>Nant Ma Hpit Catholic Church</t>
  </si>
  <si>
    <t xml:space="preserve">Dum Bung </t>
  </si>
  <si>
    <t>Jan Mai Kawng Catholic Church</t>
  </si>
  <si>
    <t>Nan Kway St. John Catholic Church</t>
  </si>
  <si>
    <t>Pa Dauk Myaing(Pa La Na)</t>
  </si>
  <si>
    <t>Border Post 8</t>
  </si>
  <si>
    <t>Maina Catholic Church (St. Joseph)</t>
  </si>
  <si>
    <t>Post 6 Camp</t>
  </si>
  <si>
    <t xml:space="preserve">St. Patrick Catholic Church </t>
  </si>
  <si>
    <t xml:space="preserve">Ma Hawng RC </t>
  </si>
  <si>
    <t>UNICEF</t>
  </si>
  <si>
    <t>Shalom</t>
  </si>
  <si>
    <t>Lawng Hkang Shait Yang Camp​ ( Lel Pyin)​ </t>
  </si>
  <si>
    <t>OFDA</t>
  </si>
  <si>
    <t>Chipwi KBC camp</t>
  </si>
  <si>
    <t>UNICEF/OFDA</t>
  </si>
  <si>
    <t>Lhaovao Baptist Church (LBC)</t>
  </si>
  <si>
    <t>AG Church, Hmaw Si Sa</t>
  </si>
  <si>
    <t>AG Church, Maw Wan</t>
  </si>
  <si>
    <t>Baptist Church, Hmaw Si Sar(Lon Khin)</t>
  </si>
  <si>
    <t>Chin Church, Seik Mu</t>
  </si>
  <si>
    <t>Dhama Rakhita, Nyein Chan Tar Yar Ward(Lon Khin)</t>
  </si>
  <si>
    <t>Hmaw Wan, Anglican</t>
  </si>
  <si>
    <t>Hpakant Baptist Church, Nam Ma Hpit</t>
  </si>
  <si>
    <t>Lisu Baptist Church, Maw Shan Vil,. Seik Mu</t>
  </si>
  <si>
    <t>Lisu Baptist Church, Maw Wan Ward</t>
  </si>
  <si>
    <t>Maw Wan, Mu-yin Baptist Church</t>
  </si>
  <si>
    <t>Nam Ma Phyit, COC</t>
  </si>
  <si>
    <t>Rawan Baptist Church, Maw Shan Vil., Seik Mu</t>
  </si>
  <si>
    <t>Sai Nai Baptish Church, Maw Shan Vil., Seki Mu</t>
  </si>
  <si>
    <t xml:space="preserve">Ward 2 Sai Taung Baptist Church, Seik Mu </t>
  </si>
  <si>
    <t>Yumar Baptist Church</t>
  </si>
  <si>
    <t>Maw Hpawng Hka Nan Baptist Church</t>
  </si>
  <si>
    <t>Maw Hpawng Lhaovo Baptist Church</t>
  </si>
  <si>
    <t>Shatapru Thida Aye Baptist Church</t>
  </si>
  <si>
    <t>Tat Kone COC Baptist - Tat Kone Htoi San</t>
  </si>
  <si>
    <t>Tat Kone Emanuel Church</t>
  </si>
  <si>
    <t xml:space="preserve">Hkat Cho </t>
  </si>
  <si>
    <t>Maina AG Church</t>
  </si>
  <si>
    <t>Nawng Hee Village</t>
  </si>
  <si>
    <t>Qtr. 2 Lhaovo Baptist Church</t>
  </si>
  <si>
    <t>Qtr. 3 Mu-yin  Baptist Church</t>
  </si>
  <si>
    <t>Qtr. 4 Monestry (Thargaya Thayett Taw)</t>
  </si>
  <si>
    <t>Thargaya Lisu Baptist Church</t>
  </si>
  <si>
    <t>Waingmaw AG Church</t>
  </si>
  <si>
    <t>SI</t>
  </si>
  <si>
    <t>AD-2000 Tharthana Compound</t>
  </si>
  <si>
    <t>ECHO/OFDA</t>
  </si>
  <si>
    <t>Phan Khar Kone</t>
  </si>
  <si>
    <t>Robert Church</t>
  </si>
  <si>
    <t>Loi Je Baptist Church</t>
  </si>
  <si>
    <t>Loi Je Catholic Church</t>
  </si>
  <si>
    <t>Loi Je Lisu Camp</t>
  </si>
  <si>
    <t xml:space="preserve">Nyaung Na Pin </t>
  </si>
  <si>
    <t>ECHO,OFDA</t>
  </si>
  <si>
    <t xml:space="preserve">Seng Ja </t>
  </si>
  <si>
    <t>Man Bung Edin Baptist Church</t>
  </si>
  <si>
    <t>Lwegel High School</t>
  </si>
  <si>
    <t>Laiza Je Yang School</t>
  </si>
  <si>
    <t xml:space="preserve">Je Yang Hka </t>
  </si>
  <si>
    <t>WPN</t>
  </si>
  <si>
    <t>ECHO</t>
  </si>
  <si>
    <t>Unknown</t>
  </si>
  <si>
    <t>Lana Zup Ja</t>
  </si>
  <si>
    <t xml:space="preserve">Nhkawng Pa </t>
  </si>
  <si>
    <t xml:space="preserve">Pa Kahtawng </t>
  </si>
  <si>
    <t>SCI</t>
  </si>
  <si>
    <t>Man Wing Baptist Church</t>
  </si>
  <si>
    <t>MHF</t>
  </si>
  <si>
    <t>Man Wing Baptist Church Cultural Compound</t>
  </si>
  <si>
    <t>Man Wing Catholic Church</t>
  </si>
  <si>
    <t>Man Wing Catholic Church II</t>
  </si>
  <si>
    <t>MA_UK</t>
  </si>
  <si>
    <t>Rakhine</t>
  </si>
  <si>
    <t>Sittwe</t>
  </si>
  <si>
    <t>MAA</t>
  </si>
  <si>
    <t>DFID</t>
  </si>
  <si>
    <t>Dar Paing Village</t>
  </si>
  <si>
    <t>None</t>
  </si>
  <si>
    <t>Phwe Yar Gone village</t>
  </si>
  <si>
    <t>Thar Yar Kone (M)</t>
  </si>
  <si>
    <t>Kyauktaw</t>
  </si>
  <si>
    <t>Ah Lel Mu</t>
  </si>
  <si>
    <t>CARE</t>
  </si>
  <si>
    <t>Maungdaw</t>
  </si>
  <si>
    <t>Alay Mushee</t>
  </si>
  <si>
    <t>EU</t>
  </si>
  <si>
    <t>Malteser</t>
  </si>
  <si>
    <t>Aung Thay Pyay (NaTaLa)</t>
  </si>
  <si>
    <t>AA</t>
  </si>
  <si>
    <t>Aung Thay Pyay (San Suri)</t>
  </si>
  <si>
    <t>Minbya</t>
  </si>
  <si>
    <t>Cheit Taung</t>
  </si>
  <si>
    <t>ACF</t>
  </si>
  <si>
    <t>DPA</t>
  </si>
  <si>
    <t>Europaid</t>
  </si>
  <si>
    <t>Fatar</t>
  </si>
  <si>
    <t>CDN</t>
  </si>
  <si>
    <t>Buthidaung</t>
  </si>
  <si>
    <t xml:space="preserve">Faw Tay Ali </t>
  </si>
  <si>
    <t>ZOA</t>
  </si>
  <si>
    <t>Kha Maung Seik North</t>
  </si>
  <si>
    <t>Ma Gyi Koung</t>
  </si>
  <si>
    <t>Majee Ywa</t>
  </si>
  <si>
    <t>Ann</t>
  </si>
  <si>
    <t>Mingalar on</t>
  </si>
  <si>
    <t>BMZ</t>
  </si>
  <si>
    <t>Muslim (Aley Ywa)</t>
  </si>
  <si>
    <t>Muslim (Taung Ywa)</t>
  </si>
  <si>
    <t>Myaunk Ywa_R</t>
  </si>
  <si>
    <t>Nant Yar Gaing (Nant Yar Gaing)</t>
  </si>
  <si>
    <t>Nat Chaung (Garapyin)</t>
  </si>
  <si>
    <t>Palae' Kaine</t>
  </si>
  <si>
    <t>GIZ</t>
  </si>
  <si>
    <t>Phas Kawri</t>
  </si>
  <si>
    <t>Pin Zaing</t>
  </si>
  <si>
    <t>Rathedaung</t>
  </si>
  <si>
    <t>Pyaing Taung (Rakhine)</t>
  </si>
  <si>
    <t>LIFT</t>
  </si>
  <si>
    <t>Rakhine Ywa</t>
  </si>
  <si>
    <t>Rakhine Ywa_R</t>
  </si>
  <si>
    <t>Raza Bil</t>
  </si>
  <si>
    <t>Sapar Seik (Shari)</t>
  </si>
  <si>
    <t>Shwe Yin Aye</t>
  </si>
  <si>
    <t>Thit Taw Ywa</t>
  </si>
  <si>
    <t>Thit Tone Na Gwa Sone (Daung Ywa)</t>
  </si>
  <si>
    <t>Thit Tone Na Gwa Sone (Ywa Ma)</t>
  </si>
  <si>
    <t>Thit Tone Nar Lay Myo</t>
  </si>
  <si>
    <t>Thone Gwa</t>
  </si>
  <si>
    <t>Wa Khote Chaung</t>
  </si>
  <si>
    <t>Wai Thar Le</t>
  </si>
  <si>
    <t>Ywa Ma</t>
  </si>
  <si>
    <t>Ywa Thar Yar</t>
  </si>
  <si>
    <t>Ramree</t>
  </si>
  <si>
    <t>Ramree Ward 6</t>
  </si>
  <si>
    <t>Ramree Town</t>
  </si>
  <si>
    <t>Kyaukpyu</t>
  </si>
  <si>
    <t>Yae Myet</t>
  </si>
  <si>
    <t>Kyauk Ka Lay</t>
  </si>
  <si>
    <t>Baw Ya Par</t>
  </si>
  <si>
    <t>Rakhine Min Pyin</t>
  </si>
  <si>
    <t>Chin Ywar Min Pyin</t>
  </si>
  <si>
    <t>Wa Hmyaung</t>
  </si>
  <si>
    <t>Pyu Chaing</t>
  </si>
  <si>
    <t>War Net Chun</t>
  </si>
  <si>
    <t>Oxfam</t>
  </si>
  <si>
    <t>Ka Nyin Taw</t>
  </si>
  <si>
    <t>Kyauk Ta Lone</t>
  </si>
  <si>
    <t>MHDO</t>
  </si>
  <si>
    <t>Aung Thar Yar</t>
  </si>
  <si>
    <t>Mei Za Li Kaing</t>
  </si>
  <si>
    <t>Nyaung Chaung_ann</t>
  </si>
  <si>
    <t>Kan Za Li</t>
  </si>
  <si>
    <t>Taik Maw</t>
  </si>
  <si>
    <t>Wet Mee To</t>
  </si>
  <si>
    <t>Lun Kyaw</t>
  </si>
  <si>
    <t>Taung Chauk</t>
  </si>
  <si>
    <t>Oe Pone</t>
  </si>
  <si>
    <t>Sa Khan Maw</t>
  </si>
  <si>
    <t>Tan Chaung</t>
  </si>
  <si>
    <t>Laung Sat</t>
  </si>
  <si>
    <t>Kha Yan Kyun</t>
  </si>
  <si>
    <t>Nga Let Kya</t>
  </si>
  <si>
    <t>Chin Kone</t>
  </si>
  <si>
    <t>Pyaung Chaung</t>
  </si>
  <si>
    <t>Sin U Taik</t>
  </si>
  <si>
    <t>Zu Kaing</t>
  </si>
  <si>
    <t>Swi Chaung</t>
  </si>
  <si>
    <t>Kyeik Chaung</t>
  </si>
  <si>
    <t>Za Yat Kwin</t>
  </si>
  <si>
    <t>Dar Let (South)</t>
  </si>
  <si>
    <t>Ywar Haung Ah Htet</t>
  </si>
  <si>
    <t>Dar Let Ah Lel Kyun</t>
  </si>
  <si>
    <t>Nat Maw (Upper)</t>
  </si>
  <si>
    <t>Shan Kone</t>
  </si>
  <si>
    <t>Dar Let (North)</t>
  </si>
  <si>
    <t>Kwayt Shey Ywar Thit
(Kwayt Shay)</t>
  </si>
  <si>
    <t>RI</t>
  </si>
  <si>
    <t>Myebon</t>
  </si>
  <si>
    <t>Taung Paw</t>
  </si>
  <si>
    <t>Kan Thar Htwat Wa</t>
  </si>
  <si>
    <t>Pauktaw</t>
  </si>
  <si>
    <t>Sin Tet Maw Rakhine(Baw Da Li)</t>
  </si>
  <si>
    <t>Sin Tet Maw (Host)</t>
  </si>
  <si>
    <t>Sin Tet Maw</t>
  </si>
  <si>
    <t>Nget Chaung 1</t>
  </si>
  <si>
    <t>Nget Chaung 2</t>
  </si>
  <si>
    <t>Sin Aing</t>
  </si>
  <si>
    <t>DRC</t>
  </si>
  <si>
    <t>Kyein Ni Pyin</t>
  </si>
  <si>
    <t>Ah Nauk Ye Ku Lar</t>
  </si>
  <si>
    <t>Ah Nauk Ywe</t>
  </si>
  <si>
    <t>Bar Sa Yar Host</t>
  </si>
  <si>
    <t>Basare</t>
  </si>
  <si>
    <t>Bu May</t>
  </si>
  <si>
    <t>Set Yone Su 1</t>
  </si>
  <si>
    <t>Thea Chaung Let Tha Mar Kone</t>
  </si>
  <si>
    <t>Sat Roe Kya 1</t>
  </si>
  <si>
    <t>Sat Roe Kya 2</t>
  </si>
  <si>
    <t>Set Yone Su 3</t>
  </si>
  <si>
    <t>Thea Chaung Ku Lar</t>
  </si>
  <si>
    <t>Thae Chaung</t>
  </si>
  <si>
    <t>Dar Pai (IDP in host families)</t>
  </si>
  <si>
    <t>Dar Pai</t>
  </si>
  <si>
    <t>Baw Du Pha 1</t>
  </si>
  <si>
    <t xml:space="preserve">Thet Kae Pyin </t>
  </si>
  <si>
    <t>Baw Du Pha 2</t>
  </si>
  <si>
    <t>Thet Kae Pyin Village (IDPs in host family)</t>
  </si>
  <si>
    <t>Hla May Shwe</t>
  </si>
  <si>
    <t>Ohn Taw Gyi (South)</t>
  </si>
  <si>
    <t>Maw Ti Ngar</t>
  </si>
  <si>
    <t>Ohn Taw Gyi (North)</t>
  </si>
  <si>
    <t>Say Tha Mar Nge</t>
  </si>
  <si>
    <t>Thet Kay Pyin Ywar Ma</t>
  </si>
  <si>
    <t>Done Pyin Village</t>
  </si>
  <si>
    <t>Ohn Taw Gyi</t>
  </si>
  <si>
    <t>Say Tha Mar Gyi village</t>
  </si>
  <si>
    <t>Zaw Pu Gyar</t>
  </si>
  <si>
    <t>Say Tha Mar Gyi</t>
  </si>
  <si>
    <t>Ohn Taw Shey</t>
  </si>
  <si>
    <t>Ohn Taw Chay</t>
  </si>
  <si>
    <t>Nga/ Pun Ywar Shey</t>
  </si>
  <si>
    <t>Daung Pyauk Kay</t>
  </si>
  <si>
    <t>Kan Ni</t>
  </si>
  <si>
    <t>Nga/ Pun Ywar Gyi</t>
  </si>
  <si>
    <t>Thein Tan</t>
  </si>
  <si>
    <t>Me la zi Kone</t>
  </si>
  <si>
    <t>Ah Lar Than</t>
  </si>
  <si>
    <t xml:space="preserve">Aung Daing </t>
  </si>
  <si>
    <t>Kyet Taw Pyin</t>
  </si>
  <si>
    <t>Nga/Tauk Tet</t>
  </si>
  <si>
    <t>Ponnagyun</t>
  </si>
  <si>
    <t>Tan Khoe</t>
  </si>
  <si>
    <t>Kywi Te</t>
  </si>
  <si>
    <t>Chi Laing Hpin</t>
  </si>
  <si>
    <t>Tan Zwei</t>
  </si>
  <si>
    <t>Nyaung Pin Gyi (Ku Lar)</t>
  </si>
  <si>
    <t>Nyaung Pin Gyi (Rakhine)</t>
  </si>
  <si>
    <t>Thar Si</t>
  </si>
  <si>
    <t>Tha Dar</t>
  </si>
  <si>
    <t>Irish Aid</t>
  </si>
  <si>
    <t>Chaik Taung</t>
  </si>
  <si>
    <t>Shwe Zin Khin (Rakhine)</t>
  </si>
  <si>
    <t>Kan Chaung Wa</t>
  </si>
  <si>
    <t>San Htoe Tan</t>
  </si>
  <si>
    <t>Ah Nauk Pyin</t>
  </si>
  <si>
    <t>Chein Khar Li</t>
  </si>
  <si>
    <t>Yoe Ngu</t>
  </si>
  <si>
    <t>Koe Tan Kauk</t>
  </si>
  <si>
    <t>Naw Wai</t>
  </si>
  <si>
    <t>Mrauk-U</t>
  </si>
  <si>
    <t>Let Than Chi (Ywar Thit)</t>
  </si>
  <si>
    <t>Kyauk Sar Taing</t>
  </si>
  <si>
    <t>Let Than Chi (Haung)</t>
  </si>
  <si>
    <t>Nyaung Pin Hla</t>
  </si>
  <si>
    <t>Zee kone Tan (or) Kon Tan Zay</t>
  </si>
  <si>
    <t>Mi Chaung Yae Thauk</t>
  </si>
  <si>
    <t>Baw Di Kone</t>
  </si>
  <si>
    <t>Yan Aung Pyin</t>
  </si>
  <si>
    <t>Lone Tin</t>
  </si>
  <si>
    <t>Myet Tauk</t>
  </si>
  <si>
    <t>Thit Ka Toe</t>
  </si>
  <si>
    <t>Bu Chaung</t>
  </si>
  <si>
    <t>Dar Peit</t>
  </si>
  <si>
    <t>Kyone Pyin</t>
  </si>
  <si>
    <t xml:space="preserve">U Htoe Dan </t>
  </si>
  <si>
    <t>Tauk Sone</t>
  </si>
  <si>
    <t>Navy Seik</t>
  </si>
  <si>
    <t>Pann Phaw Pyin</t>
  </si>
  <si>
    <t>Shwe Ta Mar</t>
  </si>
  <si>
    <t>Sin Oe</t>
  </si>
  <si>
    <t>Kyauk Pan Du (NTL)</t>
  </si>
  <si>
    <t>Pauk Pin Yin</t>
  </si>
  <si>
    <t>Be Lar Mi</t>
  </si>
  <si>
    <t>Ah Du</t>
  </si>
  <si>
    <t>Than Du</t>
  </si>
  <si>
    <t>Ni Lin Paw</t>
  </si>
  <si>
    <t>Ah Htet Nan Yar (Muslim)</t>
  </si>
  <si>
    <t>Ah Htet Nan Yar (Rakhine)</t>
  </si>
  <si>
    <t>Yin Chaung</t>
  </si>
  <si>
    <t>Ah Htet Nan Yar</t>
  </si>
  <si>
    <t>Chut Pyin</t>
  </si>
  <si>
    <t>Chin Ywa(Pyaing Taung)</t>
  </si>
  <si>
    <t>Maw Htet</t>
  </si>
  <si>
    <t>Tha Yet Oak</t>
  </si>
  <si>
    <t>Pyin Chay</t>
  </si>
  <si>
    <t>Pyin Hlyar Shey</t>
  </si>
  <si>
    <t>Kar Di</t>
  </si>
  <si>
    <t>Kywe Lan Chaung</t>
  </si>
  <si>
    <t>Pet Khwet Seik</t>
  </si>
  <si>
    <t>Nga San Baw (Moke Soe Chaung) (Ywar Haung)</t>
  </si>
  <si>
    <t>Maung Hpyu (Da Pyu Chaung)</t>
  </si>
  <si>
    <t>Kyauk Yan Thar Si</t>
  </si>
  <si>
    <t>Gaw Yaw Ma Ni</t>
  </si>
  <si>
    <t>Maw</t>
  </si>
  <si>
    <t>Kyaung Taung</t>
  </si>
  <si>
    <t>Ngwe Taung</t>
  </si>
  <si>
    <t>Kone Tan</t>
  </si>
  <si>
    <t>Zin Kha Mar</t>
  </si>
  <si>
    <t>Ah Myet Taung</t>
  </si>
  <si>
    <t>Pyaing Taung</t>
  </si>
  <si>
    <t>Taung Chaung</t>
  </si>
  <si>
    <t>Yet Khone Taing</t>
  </si>
  <si>
    <t>Taung Maw</t>
  </si>
  <si>
    <t>Thein Taung pyin (Dine Net)</t>
  </si>
  <si>
    <t>Kon Tan (U Daung Ah Nauk)</t>
  </si>
  <si>
    <t>Zee Khaung</t>
  </si>
  <si>
    <t>Zon Mar</t>
  </si>
  <si>
    <t>Hla Tha Ma</t>
  </si>
  <si>
    <t>Thein Taung pyin (Muslim)</t>
  </si>
  <si>
    <t>Langui</t>
  </si>
  <si>
    <t>Kyauk Pyin Seik</t>
  </si>
  <si>
    <t>Say Tha Ma</t>
  </si>
  <si>
    <t>Pe Tha Du</t>
  </si>
  <si>
    <t>Ahr Kar Taung</t>
  </si>
  <si>
    <t>Oke Taung Pyin</t>
  </si>
  <si>
    <t>Kan Sit</t>
  </si>
  <si>
    <t>Gan Gaw Myaing ( Na Ta La )</t>
  </si>
  <si>
    <t>Ohn Chaung</t>
  </si>
  <si>
    <t>Aung Pa</t>
  </si>
  <si>
    <t>Kar Di (Kywe Cho Maw)</t>
  </si>
  <si>
    <t>Thaing Ta Poke</t>
  </si>
  <si>
    <t>Oke Hpo (Oe Hpauk)</t>
  </si>
  <si>
    <t>Nyaung Chaung</t>
  </si>
  <si>
    <t>Phyar Pyin</t>
  </si>
  <si>
    <t>Oe Hpauk Ywar Thit</t>
  </si>
  <si>
    <t>In Bar Yi</t>
  </si>
  <si>
    <t>Ah Htet See Maung</t>
  </si>
  <si>
    <t>Oke Kan</t>
  </si>
  <si>
    <t>Gwa Sone Muslim</t>
  </si>
  <si>
    <t>Gwa Sone Rakhine</t>
  </si>
  <si>
    <t>Doke Kan Chaung</t>
  </si>
  <si>
    <t>Tha Pyay Seik</t>
  </si>
  <si>
    <t>Goke Pi Htaunt (Rakhine)</t>
  </si>
  <si>
    <t>Nay Pu Khan</t>
  </si>
  <si>
    <t>Goke Pi Htaunt</t>
  </si>
  <si>
    <t>Honsara (Zaw Ma Tat)</t>
  </si>
  <si>
    <t>Hin Thar Ra</t>
  </si>
  <si>
    <t>Du Than Dar</t>
  </si>
  <si>
    <t>Kine Gyi (Rakhine)</t>
  </si>
  <si>
    <t>Sin Khone Taing (Ku Lar)</t>
  </si>
  <si>
    <t>Saw Kina Ma</t>
  </si>
  <si>
    <t>Zaw Ma Tat</t>
  </si>
  <si>
    <t>Lam Bar Gone Nah</t>
  </si>
  <si>
    <t>Din Gar</t>
  </si>
  <si>
    <t>Ah Pauk Wa</t>
  </si>
  <si>
    <t>Gaung Gyi</t>
  </si>
  <si>
    <t>Maw Staw Bis</t>
  </si>
  <si>
    <t>Ywar Thit Kay</t>
  </si>
  <si>
    <t>Wet Ma Kya</t>
  </si>
  <si>
    <t>Sin Khone Taing (Rakhine)</t>
  </si>
  <si>
    <t>Say Taung</t>
  </si>
  <si>
    <t>Yun Nyar</t>
  </si>
  <si>
    <t>Pyin  Hla Zay Ywa</t>
  </si>
  <si>
    <t>Zedi Taung (Muslim)</t>
  </si>
  <si>
    <t>Thein Tan (Rakhine)</t>
  </si>
  <si>
    <t>Thein Tan (Muslim)</t>
  </si>
  <si>
    <t>Kan Pyin</t>
  </si>
  <si>
    <t xml:space="preserve">Baw Li </t>
  </si>
  <si>
    <t>Kyauk Sar Dine</t>
  </si>
  <si>
    <t>Gudar Pyin</t>
  </si>
  <si>
    <t>Nwar Yone Taung</t>
  </si>
  <si>
    <t>Tha Yet Taung</t>
  </si>
  <si>
    <t>San Go Taung</t>
  </si>
  <si>
    <t>Kha Yay Myaing (NaTaLa)</t>
  </si>
  <si>
    <t>Shat Shar Taung</t>
  </si>
  <si>
    <t>Kyauk Yan (Rakhine)</t>
  </si>
  <si>
    <t>U Yin Thar</t>
  </si>
  <si>
    <t>Godzilla (Hteik Tu Pauk Myauk)</t>
  </si>
  <si>
    <t>Tat Oo Anauk</t>
  </si>
  <si>
    <t>Sein Hnyin Pyar_Tha Pyay Taw</t>
  </si>
  <si>
    <t>Let Wea Det Pyin Shey_Tha Pyay Taw</t>
  </si>
  <si>
    <t>Shwe Hlaing</t>
  </si>
  <si>
    <t>Nur Ru Lar</t>
  </si>
  <si>
    <t>Shwe Hlaing Rakhine</t>
  </si>
  <si>
    <t>Min Thar Seik</t>
  </si>
  <si>
    <t>Mardilla</t>
  </si>
  <si>
    <t>Taung Ywa</t>
  </si>
  <si>
    <t>Phwe Ra</t>
  </si>
  <si>
    <t>Taungchay Ywa Muslim</t>
  </si>
  <si>
    <t>Chaung Pauk</t>
  </si>
  <si>
    <t>Myauk Ywa</t>
  </si>
  <si>
    <t>Kan Tha Ya</t>
  </si>
  <si>
    <t>Kyar Nyo Pyin (Rakhine)
+ Pyar Yae</t>
  </si>
  <si>
    <t>Ashit Ywa_M</t>
  </si>
  <si>
    <t>Ashit Ywa_R</t>
  </si>
  <si>
    <t>Hla Nyo Kan</t>
  </si>
  <si>
    <t>Ah Nauk</t>
  </si>
  <si>
    <t>Kin Chaung</t>
  </si>
  <si>
    <t>Let Saung Kauk</t>
  </si>
  <si>
    <t>Ywar Gyi</t>
  </si>
  <si>
    <t>Ywar Gyi (Middle)</t>
  </si>
  <si>
    <t>Kyar Nyo Pyin (Muslim)</t>
  </si>
  <si>
    <t>Taung Pauk</t>
  </si>
  <si>
    <t>Kyauk Se</t>
  </si>
  <si>
    <t>Ngar Yauk Kaing</t>
  </si>
  <si>
    <t>Done Thein</t>
  </si>
  <si>
    <t>Let Thar Ywa</t>
  </si>
  <si>
    <t>Bomu Ywa</t>
  </si>
  <si>
    <t>Kin Taung (Taung + Myauk)</t>
  </si>
  <si>
    <t>Kan Pyi Tha Zi</t>
  </si>
  <si>
    <t>Thaung Paing Nyar</t>
  </si>
  <si>
    <t>Ywa Haung_M</t>
  </si>
  <si>
    <t>Ywa Haung_R</t>
  </si>
  <si>
    <t xml:space="preserve">Kan Kyar Taung </t>
  </si>
  <si>
    <t>Ywa thit Kay</t>
  </si>
  <si>
    <t>Ah Lel Ywa</t>
  </si>
  <si>
    <t>Myoma Myauk (Chitta Ywa)</t>
  </si>
  <si>
    <t>Kan Kyar Myauk</t>
  </si>
  <si>
    <t>Shauk Chaung</t>
  </si>
  <si>
    <t>Myaung Nar</t>
  </si>
  <si>
    <t>Ward-6 (Lay Myaing)</t>
  </si>
  <si>
    <t>Let Wea Det Pyin Shey_Ywar Thit</t>
  </si>
  <si>
    <t>Inn Hpauk</t>
  </si>
  <si>
    <t>Gar Pu (Lower)</t>
  </si>
  <si>
    <t>Ah Htet Gar Pu</t>
  </si>
  <si>
    <t>Let Wea Det Pyin Shey</t>
  </si>
  <si>
    <t>Taung Htaung Ha Yar</t>
  </si>
  <si>
    <t>Ywa Gyi (Tha Yet Kin Ma Nu)</t>
  </si>
  <si>
    <t>Ka Doe Seik</t>
  </si>
  <si>
    <t>Taung (Pale Taung)</t>
  </si>
  <si>
    <t>Kyet Mauk Taung (Myauk Ywar)</t>
  </si>
  <si>
    <t>Kyet Mauk Taung (Taung Ywar)</t>
  </si>
  <si>
    <t>Play Taung Ywa Gyi North</t>
  </si>
  <si>
    <t>Khaung Htoke</t>
  </si>
  <si>
    <t>Nan Yah Gone Ahtet</t>
  </si>
  <si>
    <t>Gone Nar</t>
  </si>
  <si>
    <t>Doe Tan</t>
  </si>
  <si>
    <t>Kyauk Yit Muslim</t>
  </si>
  <si>
    <t>Kyauk Yit RK</t>
  </si>
  <si>
    <t>Palay Taung Ywa Thit</t>
  </si>
  <si>
    <t>Let Wea Det</t>
  </si>
  <si>
    <t>Pyaing Chaung</t>
  </si>
  <si>
    <t>Kyar Nyo Inn</t>
  </si>
  <si>
    <t>Si Tar (Pa Zun Chaung)</t>
  </si>
  <si>
    <t>Pa Lat Kay</t>
  </si>
  <si>
    <t>Aung Thar Yar (NaTaLa)</t>
  </si>
  <si>
    <t>Pale Taung</t>
  </si>
  <si>
    <t>Kha Yu Chaung (Muslim)</t>
  </si>
  <si>
    <t>Laung Chaung (Daing Net)</t>
  </si>
  <si>
    <t>Ba Da Nar</t>
  </si>
  <si>
    <t>Mee Chaung Zay_Ywar Thit</t>
  </si>
  <si>
    <t>Inn Chaung (Muslim)</t>
  </si>
  <si>
    <t>Inn Chaung (Daing Net)</t>
  </si>
  <si>
    <t>Hpar Wut Chaung</t>
  </si>
  <si>
    <t>Hpar Wut Chaung (Myauk Ywar)</t>
  </si>
  <si>
    <t>Zay Teit Taung</t>
  </si>
  <si>
    <t>Chin Pyin</t>
  </si>
  <si>
    <t>Ywar Thar Yar</t>
  </si>
  <si>
    <t>Zin Paing Nyar</t>
  </si>
  <si>
    <t>San Pai Pin Yin</t>
  </si>
  <si>
    <t>Ngan Chaung_Gone Nar</t>
  </si>
  <si>
    <t>Yai Myet Taung Ywa Thit</t>
  </si>
  <si>
    <t>Khat Pa Kaung</t>
  </si>
  <si>
    <t>Lu Fan Pyin</t>
  </si>
  <si>
    <t>Kywe Ta Ma</t>
  </si>
  <si>
    <t>Nga Khu Ya (Myauk Ywar)</t>
  </si>
  <si>
    <t>Kyein Chaung</t>
  </si>
  <si>
    <t>Hindu</t>
  </si>
  <si>
    <t>Koun Tan</t>
  </si>
  <si>
    <t>Lin Bar Gone Nar</t>
  </si>
  <si>
    <t>Yai Mya</t>
  </si>
  <si>
    <t>Sa Pe Kong A Nauk Ywa</t>
  </si>
  <si>
    <t>Sin Thay Pyin (Zay Di Pyin)</t>
  </si>
  <si>
    <t>Kyun Pauk Ku Lar</t>
  </si>
  <si>
    <t>Thet Kaing Ngyar</t>
  </si>
  <si>
    <t>That Kaing Nyar (Thet)</t>
  </si>
  <si>
    <t>Ah Nauk Ka Maung Seik</t>
  </si>
  <si>
    <t>Thae Chaung(Rakhine)</t>
  </si>
  <si>
    <t>Taung Htaung</t>
  </si>
  <si>
    <t>Nga Ta Paung</t>
  </si>
  <si>
    <t>Tha Yet Oke Ywar Haung</t>
  </si>
  <si>
    <t>Pyein Chaung</t>
  </si>
  <si>
    <t>Pyaung Seik</t>
  </si>
  <si>
    <t>La Mu Ta Pin</t>
  </si>
  <si>
    <t>Ahla Madi</t>
  </si>
  <si>
    <t>Kyaung Swae Phyu</t>
  </si>
  <si>
    <t>Shan (North)</t>
  </si>
  <si>
    <t>Namhkan</t>
  </si>
  <si>
    <t>Nam Hkam Catholic Church ( St. Thomas I)</t>
  </si>
  <si>
    <t>ECHO,HARP</t>
  </si>
  <si>
    <t>Kutkai</t>
  </si>
  <si>
    <t>Kutkai downtown (RC Church)</t>
  </si>
  <si>
    <t>HARP</t>
  </si>
  <si>
    <t>Manton</t>
  </si>
  <si>
    <t>Mandung - RC</t>
  </si>
  <si>
    <t>Mungji Pa Dabang (Catholic Church)</t>
  </si>
  <si>
    <t>Muse</t>
  </si>
  <si>
    <t>Muse Catholic Church</t>
  </si>
  <si>
    <t>Nam Hkam - Nay Win Ni (Palawng)</t>
  </si>
  <si>
    <t>Mungji Pa Dabang (Baptist Church)</t>
  </si>
  <si>
    <t>WHH</t>
  </si>
  <si>
    <t>Nam Hkawng</t>
  </si>
  <si>
    <t xml:space="preserve">Nam Hpak Ka Mare </t>
  </si>
  <si>
    <t>WHH(BMZ,AA)</t>
  </si>
  <si>
    <t>WHH(BMZ, AA)</t>
  </si>
  <si>
    <t>Hseni</t>
  </si>
  <si>
    <t>Nam Sa Larp</t>
  </si>
  <si>
    <t>Namtu</t>
  </si>
  <si>
    <t>Pan Ta Pyae</t>
  </si>
  <si>
    <t>Zup Aung Camp</t>
  </si>
  <si>
    <t>Other</t>
  </si>
  <si>
    <t>Kone Khem Camp</t>
  </si>
  <si>
    <t>Kutkai downtown (KBC Church)</t>
  </si>
  <si>
    <t xml:space="preserve">New Pang Ku </t>
  </si>
  <si>
    <t>Kyu Sot</t>
  </si>
  <si>
    <t>Lisu Church Namtu</t>
  </si>
  <si>
    <t xml:space="preserve">Mung Hawm </t>
  </si>
  <si>
    <t>Kutkai downtown (KBC Church-2)</t>
  </si>
  <si>
    <t>Nam Tu Baptist</t>
  </si>
  <si>
    <t>Mandung - Jinghpaw</t>
  </si>
  <si>
    <t>Mine Yu Lay village</t>
  </si>
  <si>
    <t>Muse Baptist Church</t>
  </si>
  <si>
    <t>Nam Hkam (KBC Jaw Wang) II</t>
  </si>
  <si>
    <t>WHH(BMZ, AA),ECHO</t>
  </si>
  <si>
    <t>Namhkan - Pang Long KBC</t>
  </si>
  <si>
    <t>Man Loi</t>
  </si>
  <si>
    <t>Hpai Kawng</t>
  </si>
  <si>
    <t>Hsipaw</t>
  </si>
  <si>
    <t>Man Kaung/Naung Ti Kyar Village</t>
  </si>
  <si>
    <t>Narte</t>
  </si>
  <si>
    <t>Hpai Kawng Mare</t>
  </si>
  <si>
    <t>Man Sa</t>
  </si>
  <si>
    <t>Mong Wee Shan</t>
  </si>
  <si>
    <t>Pan Law</t>
  </si>
  <si>
    <t>Nam Hkam (KBC Jaw Wang)</t>
  </si>
  <si>
    <t>Tsan Lun - Namjarap</t>
  </si>
  <si>
    <t>Kutkhai KBC-2 (Block-6)</t>
  </si>
  <si>
    <t>Jwan Jaw KBC</t>
  </si>
  <si>
    <t>Type of Accommodation</t>
  </si>
  <si>
    <t>HRP categories</t>
  </si>
  <si>
    <t>Current 4 W reported list</t>
  </si>
  <si>
    <t>Updated Date</t>
  </si>
  <si>
    <t>Site Name_(Old)</t>
  </si>
  <si>
    <t>Aung Mingalar_(Swan Saw ward)</t>
  </si>
  <si>
    <t>Closed Camp</t>
  </si>
  <si>
    <t>IDPs in collective centers or self-settled - pre existing</t>
  </si>
  <si>
    <t>Q1_2017</t>
  </si>
  <si>
    <t>B.E.H.S 2 (Ho Mun ward)</t>
  </si>
  <si>
    <t>B.E.H.S 4 (Ho Mun ward)</t>
  </si>
  <si>
    <t>Ban Hkung (School)</t>
  </si>
  <si>
    <t>Ban Hkung Yang</t>
  </si>
  <si>
    <t>Ban Hkung Yang (Boarding School)</t>
  </si>
  <si>
    <t>Daw Hpum Yang Ninghtawn</t>
  </si>
  <si>
    <t>Gant Gwin</t>
  </si>
  <si>
    <t>KBC (Ho Mun Ward)</t>
  </si>
  <si>
    <t>Lawk Awng Mare D. (Sinbo Area)</t>
  </si>
  <si>
    <t>Host Families</t>
  </si>
  <si>
    <t>IDPs in host families</t>
  </si>
  <si>
    <t>Lawk Hkawng Ginwang</t>
  </si>
  <si>
    <t>Injangyang</t>
  </si>
  <si>
    <t>Camp like setting</t>
  </si>
  <si>
    <t>Nam Hka Mare (west of Man Wing)</t>
  </si>
  <si>
    <t>NGCA</t>
  </si>
  <si>
    <t xml:space="preserve">Nam Hkam Malut Jak </t>
  </si>
  <si>
    <t>Q4_2016</t>
  </si>
  <si>
    <t>Nam Lim Pa    (Boarding School)</t>
  </si>
  <si>
    <t>Namt Hkun monastery</t>
  </si>
  <si>
    <t>Namtu KBC 1</t>
  </si>
  <si>
    <t>3/Jul/2017: Changed camp status as "Closed" according to the information of KBC. Note from KBC "Namtu KBC 1(MMR015CMP230) and Namtu KBC 2 (MMR015CMP231) are already integrated into the old camp ( Nam Tu Baptist (MMR015CMP014)".
17-01-2017: New added camp. Missing data will be collected from partners and present in next Report.</t>
  </si>
  <si>
    <t>Namtu KBC 2</t>
  </si>
  <si>
    <t>combined with KBC 1</t>
  </si>
  <si>
    <t>Namtu RC</t>
  </si>
  <si>
    <t>all IDPs returned home; open status in July 31 CCCM camp list</t>
  </si>
  <si>
    <t>Si Hkan Gyi</t>
  </si>
  <si>
    <t>St. Peter Church (Ho Mun ward)</t>
  </si>
  <si>
    <t>Thu Kha Waddy</t>
  </si>
  <si>
    <t xml:space="preserve">Wein Sai Church </t>
  </si>
  <si>
    <t>UNHCR</t>
  </si>
  <si>
    <t>Planned Camp</t>
  </si>
  <si>
    <t>Muslim</t>
  </si>
  <si>
    <t>Ward 6</t>
  </si>
  <si>
    <t>Self Settled Camp</t>
  </si>
  <si>
    <t>Village</t>
  </si>
  <si>
    <t xml:space="preserve">WASH - resettled, relocated, surrounding communities &amp; host communities </t>
  </si>
  <si>
    <t>Nga/Oke</t>
  </si>
  <si>
    <t xml:space="preserve">Kyauk Ta Lone </t>
  </si>
  <si>
    <t>Q2_2017</t>
  </si>
  <si>
    <t>MHDO updated</t>
  </si>
  <si>
    <t>Village_Not HRP</t>
  </si>
  <si>
    <t>Q3_2016</t>
  </si>
  <si>
    <t>Taik Maw(Tike Maw)</t>
  </si>
  <si>
    <t>Chin+Rakhine</t>
  </si>
  <si>
    <t>Nga Lat Kya</t>
  </si>
  <si>
    <t>Zu Kaing(Ka Zu Kaing)</t>
  </si>
  <si>
    <t>Kywi Pyin</t>
  </si>
  <si>
    <t>Chin</t>
  </si>
  <si>
    <t>Kyeik Chaung(Jade Chaung)</t>
  </si>
  <si>
    <t>Yaw Haung Ah Htet
(Ywar Haung)</t>
  </si>
  <si>
    <t>Nat Maw Upper + Nat Maw</t>
  </si>
  <si>
    <t>Nga Shwe Pyin</t>
  </si>
  <si>
    <t>Ah Ngu Ywar Haung</t>
  </si>
  <si>
    <t>Ah Ngu Ywar Thit</t>
  </si>
  <si>
    <t>Ohn Taw</t>
  </si>
  <si>
    <t>Aung Le Byin</t>
  </si>
  <si>
    <t>Pyin Taw Che</t>
  </si>
  <si>
    <t>Relocated</t>
  </si>
  <si>
    <t>Chin (Khame)</t>
  </si>
  <si>
    <t>Khame</t>
  </si>
  <si>
    <t>Chin (Rakhine)</t>
  </si>
  <si>
    <t>Taung Pyin</t>
  </si>
  <si>
    <t>Sin Tet Maw (from Nget Chaung)</t>
  </si>
  <si>
    <t>Sin Tet Maw (Nget Chaung)</t>
  </si>
  <si>
    <t xml:space="preserve">Pyar Tha Kywe </t>
  </si>
  <si>
    <t>Thit Khoke Taw</t>
  </si>
  <si>
    <t>Thit Khaung Taw</t>
  </si>
  <si>
    <t>Nget Chaung</t>
  </si>
  <si>
    <t>Gaung Hpyu</t>
  </si>
  <si>
    <t>Yet Chaung</t>
  </si>
  <si>
    <t>Dagon</t>
  </si>
  <si>
    <t>Pein Hne Chaung</t>
  </si>
  <si>
    <t>Painnal Chaung</t>
  </si>
  <si>
    <t>A Nauk Ywe</t>
  </si>
  <si>
    <t>Wet Gaung</t>
  </si>
  <si>
    <t>Pa Lin Pyin (Muslim)</t>
  </si>
  <si>
    <t>Basara</t>
  </si>
  <si>
    <t>Pa Lin Pyin (Rakhine, Fisher)</t>
  </si>
  <si>
    <t>Pa Lin Pyin (Rakhine, Main)</t>
  </si>
  <si>
    <t>Pyar Lay Chaung (New)</t>
  </si>
  <si>
    <t>Pyar Lay Chaung (Old)</t>
  </si>
  <si>
    <t>Ohn Yee Paw</t>
  </si>
  <si>
    <t>Maramargyi</t>
  </si>
  <si>
    <t>Thea Chaung  carpenter</t>
  </si>
  <si>
    <t>Kyauk Nga Nwar</t>
  </si>
  <si>
    <t>Sat Roe Kya</t>
  </si>
  <si>
    <t>Dohn Taik Kwin</t>
  </si>
  <si>
    <t>Done Dike Kwin host</t>
  </si>
  <si>
    <t>Thae Chaung (Kyaukphyu)</t>
  </si>
  <si>
    <t>Thea Chaung (IDPs from Kyaukphyu)*</t>
  </si>
  <si>
    <t>Thea Chaung Village</t>
  </si>
  <si>
    <t>Thea Chaung market</t>
  </si>
  <si>
    <t xml:space="preserve">Thea Chaung </t>
  </si>
  <si>
    <t>agencies gap,combine with village pop</t>
  </si>
  <si>
    <t>Dar Pai (IDP in host family)</t>
  </si>
  <si>
    <t>Ba Wan Chaung Wa Su</t>
  </si>
  <si>
    <t>agencies gap</t>
  </si>
  <si>
    <t>Ba Wunn Chaung Wa Su</t>
  </si>
  <si>
    <t>agencies gap,to ask SI to be splicted BDP1, BDP2</t>
  </si>
  <si>
    <t>Thet Kel Pyin</t>
  </si>
  <si>
    <t>Hmansi ( from Kaung Doke Khar)</t>
  </si>
  <si>
    <t>Baw Du Pha</t>
  </si>
  <si>
    <t>Kaung Doke Khar (excl. Hmanzi)</t>
  </si>
  <si>
    <t>Baw Du Pha (IDP in host family)</t>
  </si>
  <si>
    <t>Ohn Taw Gyi South</t>
  </si>
  <si>
    <t>Maw Ti Ngar (TKP west)</t>
  </si>
  <si>
    <t>Ohn Taw Gyi North</t>
  </si>
  <si>
    <t>Gwa Son</t>
  </si>
  <si>
    <t>Khwa Sone</t>
  </si>
  <si>
    <t>Phwe Yar Gone</t>
  </si>
  <si>
    <t>Kann Ni</t>
  </si>
  <si>
    <t>Nga/Pun Ywar Gyi</t>
  </si>
  <si>
    <t>Ah Haung Taung</t>
  </si>
  <si>
    <t>Ah Houng Taung</t>
  </si>
  <si>
    <t>Thin Pone Tan</t>
  </si>
  <si>
    <t>village</t>
  </si>
  <si>
    <t>Sa Par Htar</t>
  </si>
  <si>
    <t>Nat Seik</t>
  </si>
  <si>
    <t>Met Ka Lar Kya</t>
  </si>
  <si>
    <t>Returned</t>
  </si>
  <si>
    <t>Nyaung Pin Gyi</t>
  </si>
  <si>
    <t>Kyauk Seik</t>
  </si>
  <si>
    <t>Paik Thay</t>
  </si>
  <si>
    <t>Shwe Laung Tin</t>
  </si>
  <si>
    <t>Chait Taung - Tha Dar</t>
  </si>
  <si>
    <t>Mixed</t>
  </si>
  <si>
    <t>Chait Taung</t>
  </si>
  <si>
    <t>Shwe Zin Khin</t>
  </si>
  <si>
    <t>Chein Khar Li (Rakhine)</t>
  </si>
  <si>
    <t>old data update on 24.4.2017</t>
  </si>
  <si>
    <t>Chait Taung - San Htoe Tan</t>
  </si>
  <si>
    <t>Sam Ba Le</t>
  </si>
  <si>
    <t>Set Yone Maw</t>
  </si>
  <si>
    <t>Koe Tan Kauk (Rakhine)</t>
  </si>
  <si>
    <t>Let Than Chi (Tiit)</t>
  </si>
  <si>
    <t>Aung Taing</t>
  </si>
  <si>
    <t>Bucheung</t>
  </si>
  <si>
    <t>Da Pae</t>
  </si>
  <si>
    <t>Thi Kyar</t>
  </si>
  <si>
    <t>Yai-Thei-Thi Kyar</t>
  </si>
  <si>
    <t>Yai Thei-Muslim</t>
  </si>
  <si>
    <t>Yai Thei</t>
  </si>
  <si>
    <t>Kyun Paw (Pauk Taw)</t>
  </si>
  <si>
    <t>Auk Nan Yar</t>
  </si>
  <si>
    <t>Zay Di Pyin</t>
  </si>
  <si>
    <t>Pa Rein</t>
  </si>
  <si>
    <t>Pi Dauk Myaing</t>
  </si>
  <si>
    <t>Padauk Myaing</t>
  </si>
  <si>
    <t>Pu Yain Kone</t>
  </si>
  <si>
    <t>Doe Wai Chaung</t>
  </si>
  <si>
    <t>Sa Hpo Gyun</t>
  </si>
  <si>
    <t>Kyein Tan</t>
  </si>
  <si>
    <t>Kardi</t>
  </si>
  <si>
    <t>Raw Ma Ni Sin Oe</t>
  </si>
  <si>
    <t>Kyawe Lan Chaung</t>
  </si>
  <si>
    <t>Pet Kwet Seik</t>
  </si>
  <si>
    <t>Lan Paik Khwin</t>
  </si>
  <si>
    <t>Zan Kha Ma</t>
  </si>
  <si>
    <t>Prine Taung</t>
  </si>
  <si>
    <t>Not_HRP</t>
  </si>
  <si>
    <t>Oo Daung Ah Nauk Ywa</t>
  </si>
  <si>
    <t>Zumar Ywa</t>
  </si>
  <si>
    <t>Q3_2017</t>
  </si>
  <si>
    <t>CDN Updated, CLTS village</t>
  </si>
  <si>
    <t>Im Bar Yi</t>
  </si>
  <si>
    <t>Ah Htet See Maun</t>
  </si>
  <si>
    <t>Kaing Gyi</t>
  </si>
  <si>
    <t>Ah Pauk Wa Village</t>
  </si>
  <si>
    <t>U Saung Tan (lower)</t>
  </si>
  <si>
    <t>CDN Updated</t>
  </si>
  <si>
    <t>Kha Yai Myaing</t>
  </si>
  <si>
    <t>Ashit Ywa</t>
  </si>
  <si>
    <t>A Nauk Ywa</t>
  </si>
  <si>
    <t>Ywa Gyi</t>
  </si>
  <si>
    <t>Middle</t>
  </si>
  <si>
    <t>Tha Yet Oke Ywar Thit</t>
  </si>
  <si>
    <t xml:space="preserve">M </t>
  </si>
  <si>
    <t>Taung Pine Nyar</t>
  </si>
  <si>
    <t>Ywa Haung</t>
  </si>
  <si>
    <t>Nidin</t>
  </si>
  <si>
    <t>Ni Din</t>
  </si>
  <si>
    <t>Play Taung South</t>
  </si>
  <si>
    <t>Kyet Mauk Taung Myuak</t>
  </si>
  <si>
    <t>Than Chay  RK</t>
  </si>
  <si>
    <t>Ah Lel Kyun</t>
  </si>
  <si>
    <t>Ah Lel</t>
  </si>
  <si>
    <t>Taung Bwe</t>
  </si>
  <si>
    <t>Daing Net</t>
  </si>
  <si>
    <t>Myaunk Ywa_M</t>
  </si>
  <si>
    <t>Rakhine/Dinet</t>
  </si>
  <si>
    <t>Tha Pon</t>
  </si>
  <si>
    <t>Muslim (Myaunk Ywa)</t>
  </si>
  <si>
    <t>Ba Gone Nar</t>
  </si>
  <si>
    <t>Thar Yar Koung</t>
  </si>
  <si>
    <t>Thet Kaing Ngyar (Thet Kaing Ngyar)</t>
  </si>
  <si>
    <t>Thet Kaing Ngyar (Thet Ywa)</t>
  </si>
  <si>
    <t>Kaung Maung Seik</t>
  </si>
  <si>
    <t>Ah Shey Kha Maung Seik</t>
  </si>
  <si>
    <t>NSS WASH cluster comment: camp closed by end of Mar'17. open status in July 31 CCCM camp list</t>
  </si>
  <si>
    <t>Man Kaung village</t>
  </si>
  <si>
    <t>NSS WASH Cluster comments:Metta distributed hygiene kit in Apr'17 but no assessment done for other WASH needs. Water supply and latrines shared with host families. Metta could cover latrine construction if needed.</t>
  </si>
  <si>
    <t>Nam Tu RC</t>
  </si>
  <si>
    <t xml:space="preserve">Shwe Myint Thar Monastery </t>
  </si>
  <si>
    <t>2/June/2017: Changed camp status as "Closed" according to UNHCR_Lashio information. IDPs are moved to Kyu Sot camp</t>
  </si>
  <si>
    <t>Village Type Camp</t>
  </si>
  <si>
    <t xml:space="preserve">Mungji Pa Dabang (Baptist Church)         </t>
  </si>
  <si>
    <t>27/Apr/2017: Changed camp status as "Closed", Data source: KBC.</t>
  </si>
  <si>
    <t>6/April/2017: New Added camp. Data source: UNOCHA, Partners and CCCM.</t>
  </si>
  <si>
    <t xml:space="preserve">Mungji Pa Dabang (RC Church)         </t>
  </si>
  <si>
    <t>NSS WASH Cluster comments:land space very limited for infra; IDPs stay with and share WASH facilities from host families.</t>
  </si>
  <si>
    <t>Mong Wee Ta'ang</t>
  </si>
  <si>
    <t>Nam Lim Pa</t>
  </si>
  <si>
    <t>Nam Lim Pa - Scattered IDPs in forest</t>
  </si>
  <si>
    <t>Man Wing Host Families</t>
  </si>
  <si>
    <t>Clutural Compound</t>
  </si>
  <si>
    <t>MWG -RC2</t>
  </si>
  <si>
    <t>Bang Lung</t>
  </si>
  <si>
    <t>Jaw 2</t>
  </si>
  <si>
    <t>NSS WASH Cluster comments: Metta distributed hygiene kit in Apr'17 but no assessment done for other WASH needs.</t>
  </si>
  <si>
    <t xml:space="preserve">Lagatyan </t>
  </si>
  <si>
    <t>Lung Kawk  ( Hka Hkye Zup)</t>
  </si>
  <si>
    <t>Howa</t>
  </si>
  <si>
    <t>Nam Hkyet</t>
  </si>
  <si>
    <t>Maing Khaung KBC 2</t>
  </si>
  <si>
    <t>SI did emergency response</t>
  </si>
  <si>
    <t>Bum Tsit Pa * (2)</t>
  </si>
  <si>
    <t>Muse KBC Church</t>
  </si>
  <si>
    <t>Muse RC Church</t>
  </si>
  <si>
    <t xml:space="preserve">Mung Baw </t>
  </si>
  <si>
    <t>Munekoe Pa (Giwang) - Hka San (Mung  Go  Pa )</t>
  </si>
  <si>
    <t xml:space="preserve">Munekoe Pa (Giwang) - Hka San (Mung  Go  Pa ) </t>
  </si>
  <si>
    <t>Mansi_Host Families</t>
  </si>
  <si>
    <t>Updated Date 11/7/17:Not known</t>
  </si>
  <si>
    <t>Mansi Host Families</t>
  </si>
  <si>
    <t>Man Kawng Baptist Church</t>
  </si>
  <si>
    <t>Camp close in CCCM list but WASH agencies presence</t>
  </si>
  <si>
    <t>Man Kawng Catholic Church</t>
  </si>
  <si>
    <t>Mung Ding Pa  (Boarder)</t>
  </si>
  <si>
    <t>Shwegu_Host Families</t>
  </si>
  <si>
    <t>Updated Date 11/7/17:Not known; Changed to Closed status in July 31 camp list,WC does not include in Q3 2017 report</t>
  </si>
  <si>
    <t>Momauk_Host Families</t>
  </si>
  <si>
    <t>Momauk Host Families</t>
  </si>
  <si>
    <t>Momauk Catholic Church (St. Patrick)</t>
  </si>
  <si>
    <t>Ni Thaw Ka Monestry</t>
  </si>
  <si>
    <t>Kannar Yeik Thar</t>
  </si>
  <si>
    <t>Bhamo_Host Families</t>
  </si>
  <si>
    <t>Updated Date 11/7/17:Not known and did not identify among WASH partners</t>
  </si>
  <si>
    <t>Ta Gun Taing Monastery (Shwe Kyi Na)</t>
  </si>
  <si>
    <t>Khun Sint Village</t>
  </si>
  <si>
    <t>Updated date 11/7/2017: Not known</t>
  </si>
  <si>
    <t xml:space="preserve">Myo Thit </t>
  </si>
  <si>
    <t>Updated Date 11/7/2017 : not known</t>
  </si>
  <si>
    <t xml:space="preserve">Man Nawng </t>
  </si>
  <si>
    <t>Updated Date 11/7/2017 : not known;Changed to Closed status in July 31 camp list,WC does not include in Q3 2017 report</t>
  </si>
  <si>
    <t xml:space="preserve">Mai Khat </t>
  </si>
  <si>
    <t>Updated Date 11/7/2017 : not known;Changed to Closed status in July 31 camp list, WC does not include in Q3 2017 report</t>
  </si>
  <si>
    <t xml:space="preserve">Tarli </t>
  </si>
  <si>
    <t>Dawthponeyan Boarding School</t>
  </si>
  <si>
    <t>Updated date 11/7/2017: already moved to other place;Changed to Closed status in July 31 camp list</t>
  </si>
  <si>
    <t xml:space="preserve">Phar Kay/Nant Waing </t>
  </si>
  <si>
    <t>Updated Date 11/7/2017 : not known;Changed to Closed status in July 31 camp list;Changed to Closed status in July 31 camp list,WC does not include in Q3 2017 report</t>
  </si>
  <si>
    <t>Laiza Market 3 - Laiza Gat</t>
  </si>
  <si>
    <t>Laiza Market 3 / Laiza Gat</t>
  </si>
  <si>
    <t>Boarding School</t>
  </si>
  <si>
    <t>Man Ting</t>
  </si>
  <si>
    <t>Updated Date 11/7/2017 : not known; Changed to Closed status in July 31 camp list,WC does not include in Q3 2017 report,WC does not include in Q3 2017 report</t>
  </si>
  <si>
    <t>Moenyin Host Families</t>
  </si>
  <si>
    <t>Updated date 11/7/2017: IDP families live in host community</t>
  </si>
  <si>
    <t>Village Type camp</t>
  </si>
  <si>
    <t>Pajau / Jan Mai</t>
  </si>
  <si>
    <t>Hopin Host Families</t>
  </si>
  <si>
    <t>Nant Mun</t>
  </si>
  <si>
    <t>Nawng Ing (Indawgyi) Baptist Church</t>
  </si>
  <si>
    <t>Zai Awng - Mung Ga Zup</t>
  </si>
  <si>
    <t>Zai Awng / Mung Ga Zup</t>
  </si>
  <si>
    <t>Laiza Muklum Hpyen  Yen Mungshawa ni</t>
  </si>
  <si>
    <t>Sar Hmaw - ICM</t>
  </si>
  <si>
    <t>intervention finished;Changed to Closed status in July 31 camp list</t>
  </si>
  <si>
    <t>Sar Maw-ICM</t>
  </si>
  <si>
    <t>Hka Shi</t>
  </si>
  <si>
    <t>2/June/2017: New added camp. Data source: WASH cluster, WV (World Vision). SI did emergency response</t>
  </si>
  <si>
    <t>Waingmaw Baptist Zonal Office</t>
  </si>
  <si>
    <t>intervention finished</t>
  </si>
  <si>
    <t>Wun Tho Buddhist Monastery</t>
  </si>
  <si>
    <t>Changed to Closed status in July 31 camp list</t>
  </si>
  <si>
    <t>Myay Myint Baptist Church</t>
  </si>
  <si>
    <t>Sadung</t>
  </si>
  <si>
    <t>Du Kahtawng Qtr. 14, 4 and 5 is combined into Du Kahtawng Baptist in 31st CCCM camp list</t>
  </si>
  <si>
    <t>Du Kahtawng Qtr. 4</t>
  </si>
  <si>
    <t>Du Kahtawng Qtr. 5</t>
  </si>
  <si>
    <t>Du Kahtawng Qtr. 14</t>
  </si>
  <si>
    <t>Tat Kone COC Baptist / Tat Kone Htoi San</t>
  </si>
  <si>
    <t>Ward 2 Cahotlic Church, Seik Mu</t>
  </si>
  <si>
    <t xml:space="preserve">Pan Wa (Saw Zam) camp </t>
  </si>
  <si>
    <t>5 Ward Baptist Church(lon Khin)</t>
  </si>
  <si>
    <t>3/Jul/2017: Changed camp status as "Closed" according to the information of KBC. Note from KBC " (5 Ward Baptist Church( Lon Khin- MMR001CMP179, and Ku Day Maw KBC- MMR001CMP231) and open new camp as Lawng Hkang Shait Yang Camp ( Lel Pyin) under Hpakant Township. So technically, the mentioned two camp will be combine into one camp as Lawng Hkang Shait Yang Camp ( Lel Pyin)".</t>
  </si>
  <si>
    <t>Muring Baptist Church, Awng Ra, Wa Ra Zut VT</t>
  </si>
  <si>
    <t>Baptist Church, Sai Ra village</t>
  </si>
  <si>
    <t xml:space="preserve">Lan Jaw </t>
  </si>
  <si>
    <t>Updated date 11/7/1017:Not known and did not identify among WASH partners; Changed to Closed status in July 31 camp list,WC does not include in Q3 2017 report</t>
  </si>
  <si>
    <t>Baptist Church, Naung Hmee VT</t>
  </si>
  <si>
    <t>Ku Day Maw KBC</t>
  </si>
  <si>
    <t>Wara Zup KBC Church</t>
  </si>
  <si>
    <t>Updated date 11/7/2017: KBC has a plan to implement this location through ADRA; Changed to Closed status in July 31 camp list,WC does not include in Q3 2017 report</t>
  </si>
  <si>
    <t>A Lo Taw Pyae monastery</t>
  </si>
  <si>
    <t>Thar Ta Na Aung San monastery</t>
  </si>
  <si>
    <t>Updated date 11/7/2017: there is no camp</t>
  </si>
  <si>
    <t>Ndup Yang 1</t>
  </si>
  <si>
    <t>La Ja</t>
  </si>
  <si>
    <t>Khaunglanhpu</t>
  </si>
  <si>
    <t>Inn Lel Yan - Host Families</t>
  </si>
  <si>
    <t>Updated date 11/7/2017: KBC implement this camp since 2014 and some IDP families moved to other camps</t>
  </si>
  <si>
    <t>Naung Khaing</t>
  </si>
  <si>
    <t>Machanbaw - KBC</t>
  </si>
  <si>
    <t>Machanbaw</t>
  </si>
  <si>
    <t>Machanbaw-KBC</t>
  </si>
  <si>
    <t>Tote Tan Ward</t>
  </si>
  <si>
    <t>Updated date 11/7/2017: already moved to other place</t>
  </si>
  <si>
    <t>Lone Sut</t>
  </si>
  <si>
    <t>6/May/2017: New added camp. Data source: KBC. Camp was confirmed by CCCM unit. The missing informaiton will be updated as soon as possible.</t>
  </si>
  <si>
    <t>(Nam Hoi) Host families</t>
  </si>
  <si>
    <t>Namtu (Nam Hoi) Host families</t>
  </si>
  <si>
    <t>AD-2000 Extension camp</t>
  </si>
  <si>
    <t>camp</t>
  </si>
  <si>
    <t>AG Church Pa Ma Tee</t>
  </si>
  <si>
    <t>opening date: 16/8/17 and updated date in CCCM list: 31/8/17 ; New displacement from Ka Sung,not yet updated in Q3 4W</t>
  </si>
  <si>
    <t>not found in camp list. Partners said sub-camp of momauk baptist church</t>
  </si>
  <si>
    <t>Aung Thay Pyay (San Suri))</t>
  </si>
  <si>
    <t>Aung Zay Gone</t>
  </si>
  <si>
    <t>Baw Du Pha Village</t>
  </si>
  <si>
    <t>Bhamo Host Families</t>
  </si>
  <si>
    <t>not found in camp list</t>
  </si>
  <si>
    <t>Bum Tsit Pa * (3)</t>
  </si>
  <si>
    <t>Chin Ywar</t>
  </si>
  <si>
    <t>Chipwi (School coumpound)</t>
  </si>
  <si>
    <t>School</t>
  </si>
  <si>
    <t>Doke Htan Ward</t>
  </si>
  <si>
    <t>Hpaung Taw Pyin</t>
  </si>
  <si>
    <t>Ka Bu Dam CoC</t>
  </si>
  <si>
    <t>Opening date: 7/13/2017 and updated date in CCCM list: not yet updated in Q3 4W</t>
  </si>
  <si>
    <t>Kutkai (host High School)</t>
  </si>
  <si>
    <t>Opeing date: 1/6/2017 and updated date in CCCM list: 31/7/2017 ; 3/Jul/2017: Changed camp status as "Closed" according to the information of KBC. Note from KBC " (5 Ward Baptist Church( Lon Khin- MMR001CMP179, and Ku Day Maw KBC- MMR001CMP231) and open new camp as Lawng Hkang Shait Yang Camp ( Lel Pyin) under Hpakant Township. So technically, the mentioned two camp will be combine into one camp as Lawng Hkang Shait Yang Camp ( Lel Pyin)".</t>
  </si>
  <si>
    <t>Lisu Baptist Church</t>
  </si>
  <si>
    <t>Loi Je Lisu (2) Camp</t>
  </si>
  <si>
    <t>Loi Je Lisu  (2) Camp</t>
  </si>
  <si>
    <t>Loi Je Lisu (3) Camp</t>
  </si>
  <si>
    <t>Loi Je Lisu  (3) Camp</t>
  </si>
  <si>
    <t>Loi Je Lisu (4) Camp</t>
  </si>
  <si>
    <t>Loi Je Lisu  (4) Camp</t>
  </si>
  <si>
    <t>Loi Je RC Boarding School</t>
  </si>
  <si>
    <t>Man Wing Baptist Church Boarding House</t>
  </si>
  <si>
    <t>Man wing gyi (host school)</t>
  </si>
  <si>
    <t>Mong Wee - Shan</t>
  </si>
  <si>
    <t>Muslim
 (Aley Ywa)</t>
  </si>
  <si>
    <t>Muslim
 (Taung Ywa)</t>
  </si>
  <si>
    <t>Muslim
 (Myaunk Ywa)</t>
  </si>
  <si>
    <t>Nam Hpak Ka (Man Mau host school)</t>
  </si>
  <si>
    <t>Nampaka (Man Mau host school)</t>
  </si>
  <si>
    <t>Namti</t>
  </si>
  <si>
    <t>opening date: 16/8/17 and updated date in CCCM list: 31/8/17 ; Displacement out of Ka Sung,not yet updated in Q3 4W</t>
  </si>
  <si>
    <t>Ndup Yang 2</t>
  </si>
  <si>
    <t>N-Lwe Yan</t>
  </si>
  <si>
    <t>Ohnmadee monastery</t>
  </si>
  <si>
    <t>Naung Cho</t>
  </si>
  <si>
    <t>Pa Kahtawng 1B</t>
  </si>
  <si>
    <t>Pa Kahtawng 2</t>
  </si>
  <si>
    <t xml:space="preserve">Pa Kahtawng Boarding High School </t>
  </si>
  <si>
    <t xml:space="preserve">Pa Kahtawng Boarding Middle School </t>
  </si>
  <si>
    <t>Pa Kahtawng Host Families</t>
  </si>
  <si>
    <t>Pa Kahtawng Primary House</t>
  </si>
  <si>
    <t>Paung Mae</t>
  </si>
  <si>
    <t>Rakhine Ywa_M</t>
  </si>
  <si>
    <t>6/June/2017: Added as new camp instead of Zai Awng - Mung Ga Zup camp because of the conflict on Dec, 2016. So IDPs ( from Zai Awng - Mung Ga Zup ) flew to Lung Byen. They stay awhile at Lung Byen and then they moved to Shait Yang on 17 Jan 2017. Changed the camp name as "Shait Yan</t>
  </si>
  <si>
    <t>Shwe Zin Khin (Ku Lar)</t>
  </si>
  <si>
    <t>Shwegu Host Families</t>
  </si>
  <si>
    <t>Tanai</t>
  </si>
  <si>
    <t>Opeing date: 1/6/2017 and updated date in CCCM list: 29/6/2017;not yet updated in Q3 4W</t>
  </si>
  <si>
    <t>Tanai CoC</t>
  </si>
  <si>
    <t>Opeing date: 1/6/2017 and updated date in CCCM list: 29/6/2017; not yet updated in Q3 4W</t>
  </si>
  <si>
    <t xml:space="preserve">Tanai RC Church - Kinsa Ra </t>
  </si>
  <si>
    <t>Tat Kone (Ra Da Kawng)</t>
  </si>
  <si>
    <t>Taung Oo Maw</t>
  </si>
  <si>
    <t>Thet Kel Pyin Village</t>
  </si>
  <si>
    <t>Thit Tone Na Gwa Sone (HlaeMro)</t>
  </si>
  <si>
    <t>Vote Par Yone monastery</t>
  </si>
  <si>
    <t>Kah Mee</t>
  </si>
  <si>
    <t>West</t>
  </si>
  <si>
    <t>CAMP</t>
  </si>
  <si>
    <t>Zupyan camp</t>
  </si>
  <si>
    <t>new camp added in 30/9/2017</t>
  </si>
  <si>
    <t>V6</t>
  </si>
  <si>
    <t>V19</t>
  </si>
  <si>
    <t>V24</t>
  </si>
  <si>
    <t>For Township dropdown</t>
  </si>
  <si>
    <t>Dropdown</t>
  </si>
  <si>
    <t>Wash focal point Agency</t>
  </si>
  <si>
    <t># work days (approx) lost in this site due to access restrictions</t>
  </si>
  <si>
    <t>WASH Committee part of camp management structures</t>
  </si>
  <si>
    <t>Primary Donor covering WASH activities at site</t>
  </si>
  <si>
    <t>Expected end of funding for WASH activties at site</t>
  </si>
  <si>
    <t xml:space="preserve">% of women on camp WASH committee </t>
  </si>
  <si>
    <t># Functioning protected open wells (without hand pump)</t>
  </si>
  <si>
    <t># functional wells/boreholes (with hand pump)</t>
  </si>
  <si>
    <t xml:space="preserve"># functional tapstands </t>
  </si>
  <si>
    <t>Litres/Day provided with Overhead or storage tank with reticulation/ Water  gravity system
based on SPHERE standard ( 15L/P/D : 8 hr tapstand open)</t>
  </si>
  <si>
    <t>% of E-Coli  Water quality test result
(@ water source or HH level)</t>
  </si>
  <si>
    <t xml:space="preserve"># water points managed by families or small group of families </t>
  </si>
  <si>
    <t># latrines functional &amp; appropriate</t>
  </si>
  <si>
    <t># Latrines requiring urgent desludging</t>
  </si>
  <si>
    <t xml:space="preserve"># Latrines managed by families or small group of families </t>
  </si>
  <si>
    <t>Is there an effective solid waste management system in place</t>
  </si>
  <si>
    <t>Does the camp have drainage of surface water</t>
  </si>
  <si>
    <t>% HHs with access to functional hand washing station  (communal or HHs level)</t>
  </si>
  <si>
    <t>Handwashing approch to camp - household, communal, or both?</t>
  </si>
  <si>
    <t xml:space="preserve"># of individual bathing spaces functional </t>
  </si>
  <si>
    <t xml:space="preserve"># Hygiene Promoters </t>
  </si>
  <si>
    <t xml:space="preserve">% of HHs with access to sufficient soap (250g/ person/month) </t>
  </si>
  <si>
    <t>State_list</t>
  </si>
  <si>
    <t>TSps</t>
  </si>
  <si>
    <t>ABCD</t>
  </si>
  <si>
    <t>Not_Functional</t>
  </si>
  <si>
    <t>ACF, CDN</t>
  </si>
  <si>
    <t>AusAid</t>
  </si>
  <si>
    <t>ACTED</t>
  </si>
  <si>
    <t>Arche nova</t>
  </si>
  <si>
    <t>CIDA</t>
  </si>
  <si>
    <t>DANIDA</t>
  </si>
  <si>
    <t>CARE, CDN</t>
  </si>
  <si>
    <t>DFAT</t>
  </si>
  <si>
    <t>CDN, MA_UK</t>
  </si>
  <si>
    <t>Cesvi</t>
  </si>
  <si>
    <t>Cesvi, SI</t>
  </si>
  <si>
    <t>CNN</t>
  </si>
  <si>
    <t>Nawngmun</t>
  </si>
  <si>
    <t>DRD</t>
  </si>
  <si>
    <t>IRC</t>
  </si>
  <si>
    <t>Tsawlaw</t>
  </si>
  <si>
    <t>KMSS, KBC-HDD-NSS</t>
  </si>
  <si>
    <t>FCA</t>
  </si>
  <si>
    <t>KMSS, Metta</t>
  </si>
  <si>
    <t>France</t>
  </si>
  <si>
    <t>KMSS, SCI</t>
  </si>
  <si>
    <t>KMSS, KBC</t>
  </si>
  <si>
    <t>Gwa</t>
  </si>
  <si>
    <t>HIDA</t>
  </si>
  <si>
    <t>MDCG</t>
  </si>
  <si>
    <t>Merlin</t>
  </si>
  <si>
    <t>Metta, ICRC</t>
  </si>
  <si>
    <t>OCHA</t>
  </si>
  <si>
    <t>Munaung</t>
  </si>
  <si>
    <t>Metta, KBC-HDD-NSS</t>
  </si>
  <si>
    <t>Metta, KBC-HDD-NSS, KMSS</t>
  </si>
  <si>
    <t>Metta, SI</t>
  </si>
  <si>
    <t>MSF</t>
  </si>
  <si>
    <t>Thandwe</t>
  </si>
  <si>
    <t>ICRC</t>
  </si>
  <si>
    <t>Toungup</t>
  </si>
  <si>
    <t>Myauk Ywa (Kyet Mauk Taung)</t>
  </si>
  <si>
    <t>Aik Chan (Ai' Chun)</t>
  </si>
  <si>
    <t>Oxfam, MA_UK</t>
  </si>
  <si>
    <t>Chinshwehaw Sub-township (Kokang SAZ)</t>
  </si>
  <si>
    <t>Oxfam, KMSS</t>
  </si>
  <si>
    <t>Hkun Mar (Hkwin Ma)</t>
  </si>
  <si>
    <t>PLAN</t>
  </si>
  <si>
    <t>Hopang</t>
  </si>
  <si>
    <t>Hsawng Hpa (Saun Pha)</t>
  </si>
  <si>
    <t>SCI, MA_UK</t>
  </si>
  <si>
    <t>SCI, KBC-HDD-NSS</t>
  </si>
  <si>
    <t>Ka Lawng Hpar</t>
  </si>
  <si>
    <t>SCI, KMSS</t>
  </si>
  <si>
    <t>Kawng Min Hsang</t>
  </si>
  <si>
    <t>Konkyan</t>
  </si>
  <si>
    <t>Konkyan (Kokang SAZ)</t>
  </si>
  <si>
    <t>SI, MA_UK</t>
  </si>
  <si>
    <t>Kunlong</t>
  </si>
  <si>
    <t>SI, KBC</t>
  </si>
  <si>
    <t>Unicef</t>
  </si>
  <si>
    <t>Kyaukme</t>
  </si>
  <si>
    <t>Lashio</t>
  </si>
  <si>
    <t>Laukkaing</t>
  </si>
  <si>
    <t>Laukkaing (Kokang SAZ)</t>
  </si>
  <si>
    <t>Lin Haw</t>
  </si>
  <si>
    <t>Long Htan</t>
  </si>
  <si>
    <t>Mabein</t>
  </si>
  <si>
    <t>Man Man Hseng</t>
  </si>
  <si>
    <t>Man Tun</t>
  </si>
  <si>
    <t>Matman</t>
  </si>
  <si>
    <t>Mongmao</t>
  </si>
  <si>
    <t>Mongmit</t>
  </si>
  <si>
    <t>Mongyai</t>
  </si>
  <si>
    <t>Nam Tit</t>
  </si>
  <si>
    <t>Namhsan</t>
  </si>
  <si>
    <t>Nar Kawng</t>
  </si>
  <si>
    <t>Nar Wee (Na Wi)</t>
  </si>
  <si>
    <t>Narphan</t>
  </si>
  <si>
    <t>Nawng Hkit</t>
  </si>
  <si>
    <t>Nawnghkio</t>
  </si>
  <si>
    <t>Pang Hkam</t>
  </si>
  <si>
    <t>Pang Yang</t>
  </si>
  <si>
    <t>Pangsang</t>
  </si>
  <si>
    <t>Pangwaun</t>
  </si>
  <si>
    <t>Tangyan</t>
  </si>
  <si>
    <t>Yawng Lin</t>
  </si>
  <si>
    <t>Yin Pang</t>
  </si>
  <si>
    <t>ANauk Ywa</t>
  </si>
  <si>
    <t>Myaunk Ywa</t>
  </si>
  <si>
    <t xml:space="preserve">Thet Kel Pyin </t>
  </si>
  <si>
    <t>AD-2000 Tharthana Compound*</t>
  </si>
  <si>
    <t>Phan Khar Kone*</t>
  </si>
  <si>
    <t>Robert Church*</t>
  </si>
  <si>
    <t>Pan Ku</t>
  </si>
  <si>
    <t>Bum Tsit Pa * (1)</t>
  </si>
  <si>
    <t>Lana Zup Ja *</t>
  </si>
  <si>
    <t>Maing Khaung Baptist Church</t>
  </si>
  <si>
    <t>Man Wing Baptist Church*</t>
  </si>
  <si>
    <t>Man Wing Catholic Church*</t>
  </si>
  <si>
    <t>Mansi Baptist Church*</t>
  </si>
  <si>
    <t xml:space="preserve">Nawng Ing (Indawgyi) Baptist Church  </t>
  </si>
  <si>
    <t>Loi Je Lisu  (1) Camp</t>
  </si>
  <si>
    <t xml:space="preserve">Loi Je Nyaung Na Pin </t>
  </si>
  <si>
    <t xml:space="preserve">Loi Je Seng Ja </t>
  </si>
  <si>
    <t>Pa Kahtawng 1 A</t>
  </si>
  <si>
    <t>Nam Hkawng/Manaung kaung</t>
  </si>
  <si>
    <t>Namtu Baptist</t>
  </si>
  <si>
    <t>Woi Chyai  host families</t>
  </si>
  <si>
    <t>Parameter/Assumptions</t>
  </si>
  <si>
    <t>V29</t>
  </si>
  <si>
    <t>V30</t>
  </si>
  <si>
    <t>V31</t>
  </si>
  <si>
    <t>V32</t>
  </si>
  <si>
    <t>V33</t>
  </si>
  <si>
    <t>V34</t>
  </si>
  <si>
    <t>V35</t>
  </si>
  <si>
    <t>V36</t>
  </si>
  <si>
    <t>V37</t>
  </si>
  <si>
    <t>V38</t>
  </si>
  <si>
    <t>HRP 1</t>
  </si>
  <si>
    <t>HRP 2</t>
  </si>
  <si>
    <t>Chauk Maing</t>
  </si>
  <si>
    <t>Pang Kawng</t>
  </si>
  <si>
    <t xml:space="preserve">Mai Ja Yang </t>
  </si>
  <si>
    <t xml:space="preserve">New Lana Zup Ja </t>
  </si>
  <si>
    <t>MMR015CMP237</t>
  </si>
  <si>
    <t>MMR015CMP241</t>
  </si>
  <si>
    <t>MMR015CMP242</t>
  </si>
  <si>
    <t>MMR001CMP215</t>
  </si>
  <si>
    <t>MMR001CMP216</t>
  </si>
  <si>
    <t>MMR001CMP214</t>
  </si>
  <si>
    <t>MMR001CMP153</t>
  </si>
  <si>
    <t>MMR001CMP046</t>
  </si>
  <si>
    <t>KMSS-MYT</t>
  </si>
  <si>
    <t>MMR015CMP236</t>
  </si>
  <si>
    <t>MMR015CMP233</t>
  </si>
  <si>
    <t>MMR001CMP147</t>
  </si>
  <si>
    <t>MMR001CMP146</t>
  </si>
  <si>
    <t>MMR015CMP232</t>
  </si>
  <si>
    <t>KMSS-LSO</t>
  </si>
  <si>
    <t>MMR015CMP222</t>
  </si>
  <si>
    <t>MMR001CMP136</t>
  </si>
  <si>
    <t>MMR015CMP002</t>
  </si>
  <si>
    <t>MMR015CMP139</t>
  </si>
  <si>
    <t>MMR001CMP209</t>
  </si>
  <si>
    <t>MMR015CMP238</t>
  </si>
  <si>
    <t>MMR015CMP230</t>
  </si>
  <si>
    <t>MMR015CMP231</t>
  </si>
  <si>
    <t>MMR015CMP229</t>
  </si>
  <si>
    <t>MMR001CMP219</t>
  </si>
  <si>
    <t>MMR015CMP239</t>
  </si>
  <si>
    <t>MMR001CMP211</t>
  </si>
  <si>
    <t>MMR015CMP243</t>
  </si>
  <si>
    <t>MMR012CMP037</t>
  </si>
  <si>
    <t>MMR012CMP038</t>
  </si>
  <si>
    <t>MMR012CMP036</t>
  </si>
  <si>
    <t>MMR012CMP035</t>
  </si>
  <si>
    <t>MMR012CMP014</t>
  </si>
  <si>
    <t>MMR012CMP013</t>
  </si>
  <si>
    <t>MMR012CMP019</t>
  </si>
  <si>
    <t>MMR012CMP096</t>
  </si>
  <si>
    <t>MMR012CMP017</t>
  </si>
  <si>
    <t>MMR012CMP018</t>
  </si>
  <si>
    <t>MMR012CMP016</t>
  </si>
  <si>
    <t>MMR012CMP039</t>
  </si>
  <si>
    <t>MMR012CMP056</t>
  </si>
  <si>
    <t>MMR012CMP105</t>
  </si>
  <si>
    <t>MMR012CMP111</t>
  </si>
  <si>
    <t>MMR012CMP112</t>
  </si>
  <si>
    <t>MMR012CMP057</t>
  </si>
  <si>
    <t>MMR012CMP093</t>
  </si>
  <si>
    <t>MMR012CMP047</t>
  </si>
  <si>
    <t>MMR012CMP046</t>
  </si>
  <si>
    <t>MMR012CMP097</t>
  </si>
  <si>
    <t>MMR012CMP041</t>
  </si>
  <si>
    <t>MMR012CMP015</t>
  </si>
  <si>
    <t>MMR012CMP113</t>
  </si>
  <si>
    <t>MMR012CMP048</t>
  </si>
  <si>
    <t>MMR012CMP040</t>
  </si>
  <si>
    <t>MMR012CMP114</t>
  </si>
  <si>
    <t>MMR012CMP091</t>
  </si>
  <si>
    <t>MMR012CMP042</t>
  </si>
  <si>
    <t>MMR012CMP103</t>
  </si>
  <si>
    <t>MMR012CMP116</t>
  </si>
  <si>
    <t>MMR012CMP092</t>
  </si>
  <si>
    <t>MMR012CMP115</t>
  </si>
  <si>
    <t>MMR012CMP045</t>
  </si>
  <si>
    <t>MMR012CMP098</t>
  </si>
  <si>
    <t>MMR012CMP031</t>
  </si>
  <si>
    <t>MMR012CMP001</t>
  </si>
  <si>
    <t>MMR012CMP002</t>
  </si>
  <si>
    <t>MMR012CMP003</t>
  </si>
  <si>
    <t>MMR012CMP032</t>
  </si>
  <si>
    <t>MMR012CMP008</t>
  </si>
  <si>
    <t>MMR012CMP033</t>
  </si>
  <si>
    <t>MMR012CMP104</t>
  </si>
  <si>
    <t>MMR012CMP110</t>
  </si>
  <si>
    <t>MMR012CMP006</t>
  </si>
  <si>
    <t>MMR012CMP117</t>
  </si>
  <si>
    <t>MMR012CMP010</t>
  </si>
  <si>
    <t>MMR012CMP034</t>
  </si>
  <si>
    <t>MMR012CMP009</t>
  </si>
  <si>
    <t>MMR012CMP005</t>
  </si>
  <si>
    <t>MMR012CMP012</t>
  </si>
  <si>
    <t>MMR012CMP026</t>
  </si>
  <si>
    <t>MMR012CMP027</t>
  </si>
  <si>
    <t>MMR012CMP109</t>
  </si>
  <si>
    <t>MMR012CMP088</t>
  </si>
  <si>
    <t>MMR012CMP024</t>
  </si>
  <si>
    <t>MMR012CMP028</t>
  </si>
  <si>
    <t>MMR012CMP029</t>
  </si>
  <si>
    <t>MMR012CMP020</t>
  </si>
  <si>
    <t>MMR012CMP084</t>
  </si>
  <si>
    <t>MMR012CMP086</t>
  </si>
  <si>
    <t>MMR012CMP082</t>
  </si>
  <si>
    <t>MMR012CMP085</t>
  </si>
  <si>
    <t>MMR012CMP083</t>
  </si>
  <si>
    <t>MMR012CMP095</t>
  </si>
  <si>
    <t>MMR012CMP023</t>
  </si>
  <si>
    <t>MMR012CMP030</t>
  </si>
  <si>
    <t>MMR012CMP025</t>
  </si>
  <si>
    <t>MMR012CMP022</t>
  </si>
  <si>
    <t>MMR012CMP021</t>
  </si>
  <si>
    <t>MMR012CMP094</t>
  </si>
  <si>
    <t>MMR015CMP244</t>
  </si>
  <si>
    <t>MMR015CMP221</t>
  </si>
  <si>
    <t>MMR015CMP210</t>
  </si>
  <si>
    <t>MMR015CMP014</t>
  </si>
  <si>
    <t>MMR015CMP248</t>
  </si>
  <si>
    <t>MMR015CMP228</t>
  </si>
  <si>
    <t>MMR015CMP209</t>
  </si>
  <si>
    <t>MMR015CMP009</t>
  </si>
  <si>
    <t>MMR015CMP226</t>
  </si>
  <si>
    <t>MMR015CMP218</t>
  </si>
  <si>
    <t>MMR015CMP207</t>
  </si>
  <si>
    <t>MMR015CMP020</t>
  </si>
  <si>
    <t>MMR015CMP006</t>
  </si>
  <si>
    <t>MMR015CMP015</t>
  </si>
  <si>
    <t>MMR015CMP219</t>
  </si>
  <si>
    <t>MMR015CMP016</t>
  </si>
  <si>
    <t>MMR015CMP245</t>
  </si>
  <si>
    <t>MMR015CMP017</t>
  </si>
  <si>
    <t>MMR015CMP217</t>
  </si>
  <si>
    <t>MMR015CMP018</t>
  </si>
  <si>
    <t>MMR015CMP220</t>
  </si>
  <si>
    <t>MMR015CMP224</t>
  </si>
  <si>
    <t>MMR015CMP223</t>
  </si>
  <si>
    <t>MMR015CMP225</t>
  </si>
  <si>
    <t>MMR015CMP007</t>
  </si>
  <si>
    <t>MMR001CMP204</t>
  </si>
  <si>
    <t>MMR001CMP137</t>
  </si>
  <si>
    <t>MMR015CMP004</t>
  </si>
  <si>
    <t>MMR001CMP134</t>
  </si>
  <si>
    <t>MMR015CMP003</t>
  </si>
  <si>
    <t>MMR015CMP001</t>
  </si>
  <si>
    <t>MMR001CMP230</t>
  </si>
  <si>
    <t>MMR001CMP133</t>
  </si>
  <si>
    <t>MMR001CMP228</t>
  </si>
  <si>
    <t>MMR001CMP132</t>
  </si>
  <si>
    <t>MMR015CMP215</t>
  </si>
  <si>
    <t>MMR015CMP214</t>
  </si>
  <si>
    <t>MMR015CMP227</t>
  </si>
  <si>
    <t>MMR001CMP202</t>
  </si>
  <si>
    <t>MMR001CMP135</t>
  </si>
  <si>
    <t>MMR015CMP010</t>
  </si>
  <si>
    <t>MMR001CMP218</t>
  </si>
  <si>
    <t>MMR001CMP223</t>
  </si>
  <si>
    <t>MMR015CMP011</t>
  </si>
  <si>
    <t>Camp_not registered</t>
  </si>
  <si>
    <t>MMR001CMP226</t>
  </si>
  <si>
    <t>MMR001CMP129</t>
  </si>
  <si>
    <t>MMR015CMP213</t>
  </si>
  <si>
    <t>MMR015CMP216</t>
  </si>
  <si>
    <t>MMR015CMP005</t>
  </si>
  <si>
    <t>MMR001CMP128</t>
  </si>
  <si>
    <t>MMR015CMP022</t>
  </si>
  <si>
    <t>MMR015CMP012</t>
  </si>
  <si>
    <t>MMR001CMP196</t>
  </si>
  <si>
    <t>MMR001CMP066</t>
  </si>
  <si>
    <t>MMR001CMP212</t>
  </si>
  <si>
    <t>MMR001CMP213</t>
  </si>
  <si>
    <t>MMR001CMP067</t>
  </si>
  <si>
    <t>MMR001CMP068</t>
  </si>
  <si>
    <t>MMR001CMP070</t>
  </si>
  <si>
    <t>MMR001CMP071</t>
  </si>
  <si>
    <t>MMR001CMP069</t>
  </si>
  <si>
    <t>MMR001CMP072</t>
  </si>
  <si>
    <t>MMR001CMP203</t>
  </si>
  <si>
    <t>MMR001CMP073</t>
  </si>
  <si>
    <t>MMR001CMP193</t>
  </si>
  <si>
    <t>MMR001CMP199</t>
  </si>
  <si>
    <t>MMR001CMP062</t>
  </si>
  <si>
    <t>MMR001CMP052</t>
  </si>
  <si>
    <t>MMR001CMP053</t>
  </si>
  <si>
    <t>MMR001CMP056</t>
  </si>
  <si>
    <t>MMR001CMP197</t>
  </si>
  <si>
    <t>MMR001CMP057</t>
  </si>
  <si>
    <t>MMR001CMP058</t>
  </si>
  <si>
    <t>MMR001CMP051</t>
  </si>
  <si>
    <t>MMR001CMP059</t>
  </si>
  <si>
    <t>MMR001CMP194</t>
  </si>
  <si>
    <t>MMR001CMP050</t>
  </si>
  <si>
    <t>MMR001CMP048</t>
  </si>
  <si>
    <t>MMR001CMP049</t>
  </si>
  <si>
    <t>MMR001CMP163</t>
  </si>
  <si>
    <t>MMR001CMP047</t>
  </si>
  <si>
    <t>MMR001CMP126</t>
  </si>
  <si>
    <t>MMR001CMP055</t>
  </si>
  <si>
    <t>MMR001CMP054</t>
  </si>
  <si>
    <t>MMR001CMP200</t>
  </si>
  <si>
    <t>MMR001CMP131</t>
  </si>
  <si>
    <t>MMR001CMP061</t>
  </si>
  <si>
    <t>MMR001CMP063</t>
  </si>
  <si>
    <t>MMR001CMP064</t>
  </si>
  <si>
    <t>MMR001CMP123</t>
  </si>
  <si>
    <t>MMR001CMP060</t>
  </si>
  <si>
    <t>MMR001CMP240</t>
  </si>
  <si>
    <t>MMR001CMP065</t>
  </si>
  <si>
    <t>MMR001CMP122</t>
  </si>
  <si>
    <t>MMR001CMP121</t>
  </si>
  <si>
    <t>MMR001CMP117</t>
  </si>
  <si>
    <t>MMR001CMP208</t>
  </si>
  <si>
    <t>MMR001CMP116</t>
  </si>
  <si>
    <t>MMR001CMP198</t>
  </si>
  <si>
    <t>MMR001CMP080</t>
  </si>
  <si>
    <t>MMR001CMP233</t>
  </si>
  <si>
    <t>MMR001CMP120</t>
  </si>
  <si>
    <t>MMR001CMP119</t>
  </si>
  <si>
    <t>MMR001CMP232</t>
  </si>
  <si>
    <t>MMR001CMP081</t>
  </si>
  <si>
    <t>MMR001CMP152</t>
  </si>
  <si>
    <t>MMR001CMP111</t>
  </si>
  <si>
    <t>MMR001CMP149</t>
  </si>
  <si>
    <t>MMR001CMP115</t>
  </si>
  <si>
    <t>MMR001CMP113</t>
  </si>
  <si>
    <t>MMR001CMP235</t>
  </si>
  <si>
    <t>MMR001CMP236</t>
  </si>
  <si>
    <t>MMR001CMP160</t>
  </si>
  <si>
    <t>MMR001CMP077</t>
  </si>
  <si>
    <t>MMR001CMP237</t>
  </si>
  <si>
    <t>MMR001CMP079</t>
  </si>
  <si>
    <t>MMR001CMP248</t>
  </si>
  <si>
    <t>MMR001CMP078</t>
  </si>
  <si>
    <t>MMR001CMP028</t>
  </si>
  <si>
    <t>MMR001CMP037</t>
  </si>
  <si>
    <t>MMR001CMP030</t>
  </si>
  <si>
    <t>MMR001CMP026</t>
  </si>
  <si>
    <t>MMR001CMP014</t>
  </si>
  <si>
    <t>MMR001CMP038</t>
  </si>
  <si>
    <t>MMR001CMP025</t>
  </si>
  <si>
    <t>MMR001CMP033</t>
  </si>
  <si>
    <t>MMR001CMP032</t>
  </si>
  <si>
    <t>MMR001CMP036</t>
  </si>
  <si>
    <t>MMR001CMP027</t>
  </si>
  <si>
    <t>MMR001CMP016</t>
  </si>
  <si>
    <t>MMR001CMP015</t>
  </si>
  <si>
    <t>MMR001CMP013</t>
  </si>
  <si>
    <t>MMR001CMP021</t>
  </si>
  <si>
    <t>MMR001CMP020</t>
  </si>
  <si>
    <t>MMR001CMP022</t>
  </si>
  <si>
    <t>MMR001CMP017</t>
  </si>
  <si>
    <t>MMR001CMP010</t>
  </si>
  <si>
    <t>MMR001CMP011</t>
  </si>
  <si>
    <t>MMR001CMP012</t>
  </si>
  <si>
    <t>MMR001CMP019</t>
  </si>
  <si>
    <t>MMR001CMP018</t>
  </si>
  <si>
    <t>MMR001CMP005</t>
  </si>
  <si>
    <t>MMR001CMP003</t>
  </si>
  <si>
    <t>MMR001CMP039</t>
  </si>
  <si>
    <t>MMR001CMP024</t>
  </si>
  <si>
    <t>MMR001CMP040</t>
  </si>
  <si>
    <t>MMR001CMP006</t>
  </si>
  <si>
    <t>MMR001CMP001</t>
  </si>
  <si>
    <t>MMR001CMP029</t>
  </si>
  <si>
    <t>MMR001CMP004</t>
  </si>
  <si>
    <t>MMR001CMP041</t>
  </si>
  <si>
    <t>MMR001CMP002</t>
  </si>
  <si>
    <t>MMR001CMP023</t>
  </si>
  <si>
    <t>MMR001CMP007</t>
  </si>
  <si>
    <t>MMR001CMP031</t>
  </si>
  <si>
    <t>MMR001CMP008</t>
  </si>
  <si>
    <t>MMR001CMP009</t>
  </si>
  <si>
    <t>MMR001CMP162</t>
  </si>
  <si>
    <t>MMR001CMP148</t>
  </si>
  <si>
    <t>MMR001CMP182</t>
  </si>
  <si>
    <t>MMR001CMP181</t>
  </si>
  <si>
    <t>MMR001CMP184</t>
  </si>
  <si>
    <t>MMR001CMP185</t>
  </si>
  <si>
    <t>MMR001CMP109</t>
  </si>
  <si>
    <t>MMR001CMP105</t>
  </si>
  <si>
    <t>MMR001CMP210</t>
  </si>
  <si>
    <t>MMR001CMP229</t>
  </si>
  <si>
    <t>MMR001CMP103</t>
  </si>
  <si>
    <t>MMR001CMP091</t>
  </si>
  <si>
    <t>MMR001CMP191</t>
  </si>
  <si>
    <t>MMR001CMP190</t>
  </si>
  <si>
    <t>MMR001CMP192</t>
  </si>
  <si>
    <t>MMR001CMP167</t>
  </si>
  <si>
    <t>MMR001CMP176</t>
  </si>
  <si>
    <t>MMR001CMP174</t>
  </si>
  <si>
    <t>MMR001CMP225</t>
  </si>
  <si>
    <t>MMR001CMP169</t>
  </si>
  <si>
    <t>MMR001CMP168</t>
  </si>
  <si>
    <t>MMR001CMP179</t>
  </si>
  <si>
    <t>MMR001CMP177</t>
  </si>
  <si>
    <t>MMR001CMP183</t>
  </si>
  <si>
    <t>MMR001CMP172</t>
  </si>
  <si>
    <t>MMR001CMP045</t>
  </si>
  <si>
    <t>MMR001CMP188</t>
  </si>
  <si>
    <t>MMR001CMP043</t>
  </si>
  <si>
    <t>MMR001CMP231</t>
  </si>
  <si>
    <t>MMR001CMP242</t>
  </si>
  <si>
    <t>MMR001CMP195</t>
  </si>
  <si>
    <t>MMR001CMP042</t>
  </si>
  <si>
    <t>MMR001CMP243</t>
  </si>
  <si>
    <t>MMR001CMP247</t>
  </si>
  <si>
    <t>MMR001CMP244</t>
  </si>
  <si>
    <t>MMR001CMP246</t>
  </si>
  <si>
    <t>MMR001CMP245</t>
  </si>
  <si>
    <t>MMR001CMP206</t>
  </si>
  <si>
    <t>MMR001CMP239</t>
  </si>
  <si>
    <t>MMR001CMP238</t>
  </si>
  <si>
    <t>MMR001CMP074</t>
  </si>
  <si>
    <t>MMR001CMP227</t>
  </si>
  <si>
    <t>MMR001CMP220</t>
  </si>
  <si>
    <t>MMR001CMP221</t>
  </si>
  <si>
    <t>MMR001CMP075</t>
  </si>
  <si>
    <t>MMR001CMP234</t>
  </si>
  <si>
    <t>MMR015CMP247</t>
  </si>
  <si>
    <t>MMR001CMP250</t>
  </si>
  <si>
    <t>MMR015CMP246</t>
  </si>
  <si>
    <t>MMR001CMP249</t>
  </si>
  <si>
    <t>MMR001CMP252</t>
  </si>
  <si>
    <t>MMR001CMP254</t>
  </si>
  <si>
    <t>MMR001CMP253</t>
  </si>
  <si>
    <t>MMR001CMP251</t>
  </si>
  <si>
    <t>HRP 3</t>
  </si>
  <si>
    <t># HH received Sanitary Pads</t>
  </si>
  <si>
    <t># HH received soaps</t>
  </si>
  <si>
    <t>#Water points coverage</t>
  </si>
  <si>
    <t>#Potential required new water points</t>
  </si>
  <si>
    <t>Hygiene Coverage%</t>
  </si>
  <si>
    <t>Hygiene Gap%</t>
  </si>
  <si>
    <t>%people reached by regular dedicated hygiene promotion</t>
  </si>
  <si>
    <t>%HH with access to soap</t>
  </si>
  <si>
    <t>Standard amount of Soap and sanitary pad</t>
  </si>
  <si>
    <t>#People access to unimproved water sources</t>
  </si>
  <si>
    <t>Row Labels</t>
  </si>
  <si>
    <t>(Multiple Items)</t>
  </si>
  <si>
    <t>Grand Total</t>
  </si>
  <si>
    <t>Indicators</t>
  </si>
  <si>
    <t>State/Region</t>
  </si>
  <si>
    <t xml:space="preserve"> In Need</t>
  </si>
  <si>
    <t>Overall reached</t>
  </si>
  <si>
    <t>Male 
(est 45%)</t>
  </si>
  <si>
    <t>Female 
(est 55%)</t>
  </si>
  <si>
    <t xml:space="preserve"> Children (&lt;18 yrs)
(est 35%)</t>
  </si>
  <si>
    <t xml:space="preserve"> Adult (18-59 yrs)
(est 40%)</t>
  </si>
  <si>
    <t xml:space="preserve"> Elderly (&gt;59 yrs)
(est 25%)</t>
  </si>
  <si>
    <t>Coverage</t>
  </si>
  <si>
    <t>Gap</t>
  </si>
  <si>
    <t>Number of people with equitable and safe access to sufficient quantity of drinking water</t>
  </si>
  <si>
    <t>Number of people with equitable and safe access to sufficient quantity of domestic water</t>
  </si>
  <si>
    <t>Number of people who received regular supply of hygiene items</t>
  </si>
  <si>
    <t>Number of people with access to continuous sanitation services</t>
  </si>
  <si>
    <t>Robert -Middle school</t>
  </si>
  <si>
    <t>Target</t>
  </si>
  <si>
    <t>SCI, ADRA/CANADA</t>
  </si>
  <si>
    <t>Total Population reached</t>
  </si>
  <si>
    <t>Overall HRP Target</t>
  </si>
  <si>
    <t>open in cccm?</t>
  </si>
  <si>
    <t>Vtract</t>
  </si>
  <si>
    <t>VillageWard</t>
  </si>
  <si>
    <t>not in cccm2018Mar</t>
  </si>
  <si>
    <t>closed_cccm2018Mar</t>
  </si>
  <si>
    <t>Man Nway (Pang Hseng (Kyu Koke)) Sub-township</t>
  </si>
  <si>
    <t>Nam Hkawng Khu</t>
  </si>
  <si>
    <t>Kha Maung Chi Taing</t>
  </si>
  <si>
    <t>No (6) Ward</t>
  </si>
  <si>
    <t>Kha Maung Chay Taing</t>
  </si>
  <si>
    <t>Khaung Doke Kar</t>
  </si>
  <si>
    <t>Aung Daing</t>
  </si>
  <si>
    <t>Hpwe Ywar Kone</t>
  </si>
  <si>
    <t>(Du) Chee Yar Tan</t>
  </si>
  <si>
    <t>King Chaung(No standard name yet)</t>
  </si>
  <si>
    <t>Kawng Wein</t>
  </si>
  <si>
    <t>Kar Lai Kone Hsar</t>
  </si>
  <si>
    <t>Kar Lai</t>
  </si>
  <si>
    <t>Momauk Town</t>
  </si>
  <si>
    <t>Ah Lin Kawng Ward</t>
  </si>
  <si>
    <t>Seik Mu</t>
  </si>
  <si>
    <t>Maw Shan</t>
  </si>
  <si>
    <t>Muse Town</t>
  </si>
  <si>
    <t>Swei Taw Ward</t>
  </si>
  <si>
    <t>Ho Mun Ward</t>
  </si>
  <si>
    <t>Man Wein</t>
  </si>
  <si>
    <t>Nawng Hkam</t>
  </si>
  <si>
    <t>Nam Lin Pa</t>
  </si>
  <si>
    <t>Nam Pang</t>
  </si>
  <si>
    <t>Nam Hkon</t>
  </si>
  <si>
    <t>Namtu Town</t>
  </si>
  <si>
    <t>Namtu Ward</t>
  </si>
  <si>
    <t>Sin Tet Maw (Ku Lar)</t>
  </si>
  <si>
    <t>Urban</t>
  </si>
  <si>
    <t>Sut Yoe Kya Ward</t>
  </si>
  <si>
    <t>Ywar Gyi (North) Ward</t>
  </si>
  <si>
    <t>Baw Du Hpa</t>
  </si>
  <si>
    <t>Mong Wee</t>
  </si>
  <si>
    <t>Man Mawn</t>
  </si>
  <si>
    <t>La Gat Dawt</t>
  </si>
  <si>
    <t>Man Pying (Pang Hseng (Kyu Koke)) Sub-township</t>
  </si>
  <si>
    <t>Hawwa</t>
  </si>
  <si>
    <t>Mone Paw Nam Chet (Zay) (Pang Hseng (Kyu Koke)) Sub-township</t>
  </si>
  <si>
    <t>Mone Paw Nam Chet</t>
  </si>
  <si>
    <t>Dum Buk</t>
  </si>
  <si>
    <t>Mai Bat</t>
  </si>
  <si>
    <t>Man Kawng</t>
  </si>
  <si>
    <t>Mung Ding Pa</t>
  </si>
  <si>
    <t>Kyay Nan Waing Ward</t>
  </si>
  <si>
    <t>Man Nawng</t>
  </si>
  <si>
    <t>Maing Khat</t>
  </si>
  <si>
    <t>Tar Li</t>
  </si>
  <si>
    <t>Dawthponeyan  Town</t>
  </si>
  <si>
    <t>No (2) Ward</t>
  </si>
  <si>
    <t>Hpar Kei (Dawthponeyan Sub-township)</t>
  </si>
  <si>
    <t>Hpar Kei</t>
  </si>
  <si>
    <t>Nam Sang Yang</t>
  </si>
  <si>
    <t>Man Ping (Ping) (Dawthponeyan Sub-township)</t>
  </si>
  <si>
    <t>Man Ping</t>
  </si>
  <si>
    <t>Nam Mun</t>
  </si>
  <si>
    <t>Hpawt Dawt</t>
  </si>
  <si>
    <t>Mon Gar Zut</t>
  </si>
  <si>
    <t>Sar Hmaw</t>
  </si>
  <si>
    <t>Waingmaw Town</t>
  </si>
  <si>
    <t>Myitkyina Town</t>
  </si>
  <si>
    <t>Kachin Su Ward</t>
  </si>
  <si>
    <t>Myay Myint Ward</t>
  </si>
  <si>
    <t>Lone Khin</t>
  </si>
  <si>
    <t>Ma Sut Yang</t>
  </si>
  <si>
    <t>Lang Jaw (Pang War Sub-township)</t>
  </si>
  <si>
    <t>Lang Jaw</t>
  </si>
  <si>
    <t>Nawng Mi</t>
  </si>
  <si>
    <t>Nawng Myi</t>
  </si>
  <si>
    <t>Ku Day</t>
  </si>
  <si>
    <t>Wa Ra Zut</t>
  </si>
  <si>
    <t>Shar Du Zut</t>
  </si>
  <si>
    <t>La Ja Ga</t>
  </si>
  <si>
    <t>Lang Taung</t>
  </si>
  <si>
    <t>Nawng Hkaing</t>
  </si>
  <si>
    <t>Pa Ma Tee</t>
  </si>
  <si>
    <t>Mogaung Town</t>
  </si>
  <si>
    <t>cccm_2018March</t>
  </si>
  <si>
    <t>Taung Yin</t>
  </si>
  <si>
    <t>Gone Chein</t>
  </si>
  <si>
    <t>Say Poke Kay</t>
  </si>
  <si>
    <t>Kan Thar Htwet Wa Ward</t>
  </si>
  <si>
    <t>Pon Nar Gyi</t>
  </si>
  <si>
    <t>Cha Eik</t>
  </si>
  <si>
    <t>San Pya Ward</t>
  </si>
  <si>
    <t>Ah Nauk San Pya Ward</t>
  </si>
  <si>
    <t>Dar Paing Ywar Thit</t>
  </si>
  <si>
    <t>Kha War De Ywar Haung</t>
  </si>
  <si>
    <t>Say Tha Mar</t>
  </si>
  <si>
    <t>Kin Seik</t>
  </si>
  <si>
    <t>Thar Dar</t>
  </si>
  <si>
    <t>Tha Yet Oke</t>
  </si>
  <si>
    <t>Goke Pi Htaunt (Ku Lar)</t>
  </si>
  <si>
    <t>Sin Oe Chaing</t>
  </si>
  <si>
    <t>Shwe Hlaing Ku Lar</t>
  </si>
  <si>
    <t>Hpa Yar Paung</t>
  </si>
  <si>
    <t>Myo Ma (East) Ward</t>
  </si>
  <si>
    <t>Wa Kin</t>
  </si>
  <si>
    <t>Khaung Toke</t>
  </si>
  <si>
    <t>Khaung Toke (Ku Lar)</t>
  </si>
  <si>
    <t>Moe Tay</t>
  </si>
  <si>
    <t>Nawng Tha Kyar</t>
  </si>
  <si>
    <t>Pang Long</t>
  </si>
  <si>
    <t>Pang Tha Pyay</t>
  </si>
  <si>
    <t>Nar Tee</t>
  </si>
  <si>
    <t>Kutkai Town</t>
  </si>
  <si>
    <t>No (5) Ward</t>
  </si>
  <si>
    <t>No (3) Ward</t>
  </si>
  <si>
    <t>Long Waun Nam Rein (Tarmoenye Sub-township)</t>
  </si>
  <si>
    <t>Mai Pong (Shu See)</t>
  </si>
  <si>
    <t>Mong Yu</t>
  </si>
  <si>
    <t>Nam Hpat Kar</t>
  </si>
  <si>
    <t>Nam Hpat Kar (Ho Pon + Pang Sa Lorp)</t>
  </si>
  <si>
    <t>Ho Nar</t>
  </si>
  <si>
    <t>Mung Hawm</t>
  </si>
  <si>
    <t xml:space="preserve">Htoi San Yang </t>
  </si>
  <si>
    <t>Mansi Town</t>
  </si>
  <si>
    <t>Kawng Yar Ward</t>
  </si>
  <si>
    <t>Shwegu Town</t>
  </si>
  <si>
    <t>Lwegel Town</t>
  </si>
  <si>
    <t>Aung Zay Yar Ward</t>
  </si>
  <si>
    <t>Aung Chan Thar Ward</t>
  </si>
  <si>
    <t>Saing Gyar Ward</t>
  </si>
  <si>
    <t>Han Te</t>
  </si>
  <si>
    <t>Hpan Hkar Kone</t>
  </si>
  <si>
    <t>Man Pon</t>
  </si>
  <si>
    <t>Bhamo Town</t>
  </si>
  <si>
    <t>Pauk Kone Ward</t>
  </si>
  <si>
    <t>Aung Thar</t>
  </si>
  <si>
    <t>Moe Hping</t>
  </si>
  <si>
    <t>Nyaung Pin Ward</t>
  </si>
  <si>
    <t>Kawng Hsa (Lwegel Sub-township)</t>
  </si>
  <si>
    <t>Mai Gyar Yang</t>
  </si>
  <si>
    <t>Nam Hlaing</t>
  </si>
  <si>
    <t>Ba Lawng Kawng (Lwegel Sub-township)</t>
  </si>
  <si>
    <t>Hpa Lum</t>
  </si>
  <si>
    <t>Zee Wone Gawt</t>
  </si>
  <si>
    <t>Dum Bung</t>
  </si>
  <si>
    <t>In Baw Mai Kyin (Dawthponeyan Sub-township)</t>
  </si>
  <si>
    <t>Hpun Lum Yang</t>
  </si>
  <si>
    <t>Mohnyin Town</t>
  </si>
  <si>
    <t>Aung Tha Pyay Ward</t>
  </si>
  <si>
    <t>Sa Ma</t>
  </si>
  <si>
    <t>Par Jaung</t>
  </si>
  <si>
    <t>Nar Gu</t>
  </si>
  <si>
    <t>Saga Pa</t>
  </si>
  <si>
    <t>Hkau Shau</t>
  </si>
  <si>
    <t>Saga Pa (Sadung Sub-township)</t>
  </si>
  <si>
    <t>Nawng Kaing Htaw</t>
  </si>
  <si>
    <t>Ma Haung</t>
  </si>
  <si>
    <t>Nat Gyi Kone Ward</t>
  </si>
  <si>
    <t>Kyun Taw Ward</t>
  </si>
  <si>
    <t>Hkat Shu</t>
  </si>
  <si>
    <t>No (4) Ward</t>
  </si>
  <si>
    <t>Lel Kone Ward</t>
  </si>
  <si>
    <t>Ma Hkan Tee</t>
  </si>
  <si>
    <t>Nawng Hee</t>
  </si>
  <si>
    <t>Mading</t>
  </si>
  <si>
    <t>Mading/Hka Kun</t>
  </si>
  <si>
    <t>Maliyang Ward</t>
  </si>
  <si>
    <t>Kyun Pin Thar Ward</t>
  </si>
  <si>
    <t>Maw Hpawng</t>
  </si>
  <si>
    <t>Du Ka Htaung Ward</t>
  </si>
  <si>
    <t>Jan Mai Kawng</t>
  </si>
  <si>
    <t>Tat Kone Ward</t>
  </si>
  <si>
    <t>Mai Na</t>
  </si>
  <si>
    <t>Nam Koi</t>
  </si>
  <si>
    <t>Si Tar Pu Ward</t>
  </si>
  <si>
    <t>Waw Shung (Kan Paik Ti Sub-township)</t>
  </si>
  <si>
    <t>Shan Kyaing</t>
  </si>
  <si>
    <t>N Jang Dung</t>
  </si>
  <si>
    <t>Man Khein Ward</t>
  </si>
  <si>
    <t>Shwe Set Ward</t>
  </si>
  <si>
    <t>Pa La Na Sa Khan Myar</t>
  </si>
  <si>
    <t>Pi Tauk Myaing</t>
  </si>
  <si>
    <t>Nam Si In (Karmaing Sub-township)</t>
  </si>
  <si>
    <t>Htwe San Yang</t>
  </si>
  <si>
    <t>Sai Taung (Ywar Haung)</t>
  </si>
  <si>
    <t>Nam Ma Hpyit</t>
  </si>
  <si>
    <t>Pang War Town</t>
  </si>
  <si>
    <t>Hpakan Town</t>
  </si>
  <si>
    <t>Maw Wam Ward</t>
  </si>
  <si>
    <t>Nyein Chan Thar Yar</t>
  </si>
  <si>
    <t>Hmaw Si Zar</t>
  </si>
  <si>
    <t>Hpa Re (Pang War Sub-township)</t>
  </si>
  <si>
    <t>Hpa Re Waw Jang</t>
  </si>
  <si>
    <t>Rit Law</t>
  </si>
  <si>
    <t>Chipwi Town</t>
  </si>
  <si>
    <t>Ba Leit Dan Ward</t>
  </si>
  <si>
    <t>Puta-O Town</t>
  </si>
  <si>
    <t>Lone Sut Ward</t>
  </si>
  <si>
    <t>Hpai Kawng (Pang Hseng-Kyu Koke Sub-township</t>
  </si>
  <si>
    <t>Lel Pyin</t>
  </si>
  <si>
    <t>Kawng Hkar Man Pying</t>
  </si>
  <si>
    <t>Ba Wan Chaung Wa Su Ward</t>
  </si>
  <si>
    <t>San Bar Lay</t>
  </si>
  <si>
    <t>Zi War</t>
  </si>
  <si>
    <t>Na Yan</t>
  </si>
  <si>
    <t>Sat Yon Maw (Ku Lar)</t>
  </si>
  <si>
    <t>Oke Kar Kyaw</t>
  </si>
  <si>
    <t>Yin Thei</t>
  </si>
  <si>
    <t>Pu Rein</t>
  </si>
  <si>
    <t>Raw Ma Ni</t>
  </si>
  <si>
    <t>Ah Lel Kyun Ku Lar</t>
  </si>
  <si>
    <t>Ya Da Nar Pon</t>
  </si>
  <si>
    <t>Ku Lar Taung Bway</t>
  </si>
  <si>
    <t>Shwe Kyee Nar Ward</t>
  </si>
  <si>
    <t>Myo Thit</t>
  </si>
  <si>
    <t>Khon Sint</t>
  </si>
  <si>
    <t>Hopin Town</t>
  </si>
  <si>
    <t>Myo Ma (South) Ward</t>
  </si>
  <si>
    <t>Moke Lwe</t>
  </si>
  <si>
    <t>Khar Shi</t>
  </si>
  <si>
    <t>Sumprabum Town</t>
  </si>
  <si>
    <t>Inn Lel Yan</t>
  </si>
  <si>
    <t>Doke Tan Ward</t>
  </si>
  <si>
    <t>Ka Bu Dam</t>
  </si>
  <si>
    <t>Set Yon Su Ward</t>
  </si>
  <si>
    <t>Individual House</t>
  </si>
  <si>
    <t>added by WASHcluster</t>
  </si>
  <si>
    <t>Ei Naing</t>
  </si>
  <si>
    <t>Zaw  Pu Gyar</t>
  </si>
  <si>
    <t>Daung Puauk Kay</t>
  </si>
  <si>
    <t>Nga Pun Ywar  Shee</t>
  </si>
  <si>
    <t>Bar Sa Ra Host</t>
  </si>
  <si>
    <t xml:space="preserve">Me La Zi Kone </t>
  </si>
  <si>
    <t>Bumtsit Pa (1,2,3)</t>
  </si>
  <si>
    <t>Bum Tsit Pa 3</t>
  </si>
  <si>
    <t>SCI/FFO</t>
  </si>
  <si>
    <t>Assume 5 people per hh. 100 hh per Hygiene promoters. So, 500 people per hygiene promotor</t>
  </si>
  <si>
    <t>(All)</t>
  </si>
  <si>
    <t>Gap%</t>
  </si>
  <si>
    <t>Column Labels</t>
  </si>
  <si>
    <t>Values</t>
  </si>
  <si>
    <t>Count of Site Name</t>
  </si>
  <si>
    <t>Access to unimproved water points</t>
  </si>
  <si>
    <t>Sum of Total HH</t>
  </si>
  <si>
    <t>#HH reached by regular dedicated hygiene promotion</t>
  </si>
  <si>
    <t xml:space="preserve">PoP </t>
  </si>
  <si>
    <t>none</t>
  </si>
  <si>
    <t>Coverage%</t>
  </si>
  <si>
    <t>Total population</t>
  </si>
  <si>
    <t>Total</t>
  </si>
  <si>
    <t>Bum Tsit Pa</t>
  </si>
  <si>
    <t>Bum Tsit Pa Camp II</t>
  </si>
  <si>
    <t>MMR015CMP249</t>
  </si>
  <si>
    <t>Change camp to village</t>
  </si>
  <si>
    <t>Set Yone Su 3 (Mingan)</t>
  </si>
  <si>
    <t>Nga Kyi Tauk Daing Nat</t>
  </si>
  <si>
    <t>Ka Nyin</t>
  </si>
  <si>
    <t>Min Ga Lar Gyi</t>
  </si>
  <si>
    <t>Paung Zar</t>
  </si>
  <si>
    <t>Ywet Nyo Taung ( Rakhine)</t>
  </si>
  <si>
    <t>Q1_2018</t>
  </si>
  <si>
    <t>Tha Ray Kon Baung</t>
  </si>
  <si>
    <t>rakhine</t>
  </si>
  <si>
    <t>Mi Nyo Htaunt</t>
  </si>
  <si>
    <t>Mi Nyo Htaunt_Thar Si</t>
  </si>
  <si>
    <t>% Latrines requiring  repairs</t>
  </si>
  <si>
    <t># people reached by regular dedicated hygiene promotion_5</t>
  </si>
  <si>
    <t>SCI, Metta</t>
  </si>
  <si>
    <t xml:space="preserve"> Reached by Sex</t>
  </si>
  <si>
    <t xml:space="preserve">  Reached by Age</t>
  </si>
  <si>
    <t xml:space="preserve">Partners </t>
  </si>
  <si>
    <t xml:space="preserve"> % 
Water Gap</t>
  </si>
  <si>
    <t xml:space="preserve"> %
 Sanitation Gap</t>
  </si>
  <si>
    <t>%  
Hygiene Gap</t>
  </si>
  <si>
    <t>Sum of # people reached by regular dedicated hygiene promotion_5</t>
  </si>
  <si>
    <t>Nb of People who received regular supply of hygiene items</t>
  </si>
  <si>
    <t># People with access to soap</t>
  </si>
  <si>
    <t># People with access to Sanity Pads</t>
  </si>
  <si>
    <t># People received regular supply of hygiene items_6</t>
  </si>
  <si>
    <t>(in active camps)</t>
  </si>
  <si>
    <t>KBC, Metta</t>
  </si>
  <si>
    <t># latrines (target)</t>
  </si>
  <si>
    <t># in active camps (20:1)</t>
  </si>
  <si>
    <t>HRP target</t>
  </si>
  <si>
    <t>No Test</t>
  </si>
  <si>
    <t>Tested</t>
  </si>
  <si>
    <t>HHs</t>
  </si>
  <si>
    <t>Pops</t>
  </si>
  <si>
    <t>% WATER GAP</t>
  </si>
  <si>
    <t>% LATRINE GAP</t>
  </si>
  <si>
    <t>% HYGIENE GAP</t>
  </si>
  <si>
    <t>WinE</t>
  </si>
  <si>
    <t>GAP</t>
  </si>
  <si>
    <t>%equitable and continuous access to sufficient quantity of safe drinking and domestic water's GAP</t>
  </si>
  <si>
    <t>% of Latrine Gap</t>
  </si>
  <si>
    <t>Functioning</t>
  </si>
  <si>
    <t xml:space="preserve"> </t>
  </si>
  <si>
    <t>Indicator Summary (Eng/MM): All indicators and their propsed definition used in DATABASE</t>
  </si>
  <si>
    <t>Total Population</t>
  </si>
  <si>
    <t>Quarterly Dashboard: Dashboard for 1st Quarter 2017. We can view the analysis with different dimensions</t>
  </si>
  <si>
    <t>Kamai RC church</t>
  </si>
  <si>
    <t>Q2_2018</t>
  </si>
  <si>
    <t>Lawa St.Paul Catholic</t>
  </si>
  <si>
    <t xml:space="preserve">Langwa RC </t>
  </si>
  <si>
    <t xml:space="preserve">Langwa KBC </t>
  </si>
  <si>
    <t>Momauk KBC church</t>
  </si>
  <si>
    <t>Ti Yang Zug</t>
  </si>
  <si>
    <t>Trinity Church</t>
  </si>
  <si>
    <t>Jowmasat Baptist Church (Naw Khuu)</t>
  </si>
  <si>
    <t>Mine Yin Village Monastery</t>
  </si>
  <si>
    <t>Ywar Thit Kone AG Church (relocation)</t>
  </si>
  <si>
    <t>Waingmaw Behtela KBC church</t>
  </si>
  <si>
    <t>closed_cccm2018May</t>
  </si>
  <si>
    <t>31/May/2018: Population update. Data source: Shalom ( Camp Status change to Closed Camp, As per Shalom, the camp was closed on 28 May 2018). 
Updated date: 11/7/2017:SI did not WASH implement since july 2016</t>
  </si>
  <si>
    <t>MMR001CMP256</t>
  </si>
  <si>
    <t>Myo Oo St. Dominic RC Church</t>
  </si>
  <si>
    <t>Lan Gwa St.Paul RC Church</t>
  </si>
  <si>
    <t>Emmanuel AG Church</t>
  </si>
  <si>
    <t>Tang Hpre RC Church</t>
  </si>
  <si>
    <t>Ti Yang Zup</t>
  </si>
  <si>
    <t>MMR001CMP259</t>
  </si>
  <si>
    <t>MMR001CMP260</t>
  </si>
  <si>
    <t>MMR001CMP261</t>
  </si>
  <si>
    <t>MMR001CMP262</t>
  </si>
  <si>
    <t>MMR001CMP263</t>
  </si>
  <si>
    <t>MMR001CMP264</t>
  </si>
  <si>
    <t>MMR001CMP265</t>
  </si>
  <si>
    <t>MMR001CMP267</t>
  </si>
  <si>
    <t>MMR001CMP269</t>
  </si>
  <si>
    <t>MMR001CMP257</t>
  </si>
  <si>
    <t>MMR001CMP255</t>
  </si>
  <si>
    <t>MMR001CMP258</t>
  </si>
  <si>
    <t>Lawa RC Church</t>
  </si>
  <si>
    <t>MMR001CMP268</t>
  </si>
  <si>
    <t>Karmaing RC Church</t>
  </si>
  <si>
    <t>MMR001CMP270</t>
  </si>
  <si>
    <t>6/5/2018: Status changed into Closed. Source Metta NSS
Lack of access. Not updated since Mar/2014.
Change to Host Families.</t>
  </si>
  <si>
    <t>22/May/2017: Camp status change to Closed. Data Source: KBC 
2/June/2017: Population updated. Data source: WASH Cluster (dated 7/April_outlook mail)
Change to Host Families.</t>
  </si>
  <si>
    <t>Tanai AG Church</t>
  </si>
  <si>
    <t>V39</t>
  </si>
  <si>
    <t>Number of paid camp based WASH skilled labor</t>
  </si>
  <si>
    <t>V40</t>
  </si>
  <si>
    <t>Number of paid camp based WASH unskilled labor</t>
  </si>
  <si>
    <t>စခန္းအတြင္း အဖြဲ႕အစည္းမွ အခေၾကးေငြျဖင့္ခန္႔ထားေသာ (က်ြမ္းက်င္) WASH ၀န္ထမ္း အေရအတြက္</t>
  </si>
  <si>
    <t>new site</t>
  </si>
  <si>
    <t>Gaps analysis - Traffic light</t>
  </si>
  <si>
    <t>New Site</t>
  </si>
  <si>
    <t>Lambraw Yang Rc, Namatee</t>
  </si>
  <si>
    <t>InjangYang  host families</t>
  </si>
  <si>
    <t>Ma Ji Bum</t>
  </si>
  <si>
    <t>New Camp April</t>
  </si>
  <si>
    <t>New Camp May</t>
  </si>
  <si>
    <t>New Camp April, , Not include in CCCM may 2018</t>
  </si>
  <si>
    <t>Not include in CCCM may 2018</t>
  </si>
  <si>
    <t>WATER</t>
  </si>
  <si>
    <t>SANITATION</t>
  </si>
  <si>
    <t>HYGIENE</t>
  </si>
  <si>
    <t>Area GAP</t>
  </si>
  <si>
    <t>Dinet</t>
  </si>
  <si>
    <t>Pi Htu_Wa Lar Kan</t>
  </si>
  <si>
    <t>Rakhine, Mro, Khami</t>
  </si>
  <si>
    <t>Mro</t>
  </si>
  <si>
    <t>Taung Htaung Hayar_Wa Lar Kan (Ku Lar)</t>
  </si>
  <si>
    <t>% Reached</t>
  </si>
  <si>
    <t>% Gap</t>
  </si>
  <si>
    <t>Malteser reported in Q2 2018</t>
  </si>
  <si>
    <t>Thin Baw Hla (Rakhine) (Thar Yar Gone)</t>
  </si>
  <si>
    <t>Ta Man Thar</t>
  </si>
  <si>
    <t>Thea Chaung</t>
  </si>
  <si>
    <t>Kyet Yoe Pyin</t>
  </si>
  <si>
    <t>Kyet Yoe Pyin (Ywa Ma)</t>
  </si>
  <si>
    <t>Ta Man Thar (Thar Zay)_(Myo)</t>
  </si>
  <si>
    <t>??</t>
  </si>
  <si>
    <t>Kyan Taw</t>
  </si>
  <si>
    <t>Taw Kan</t>
  </si>
  <si>
    <t>Yar Tan</t>
  </si>
  <si>
    <t>Yae Chan Pyin</t>
  </si>
  <si>
    <t>Kha Tin Paik</t>
  </si>
  <si>
    <t>Pyin Shey</t>
  </si>
  <si>
    <t>Win Su</t>
  </si>
  <si>
    <t>Nga Pwint Gyi</t>
  </si>
  <si>
    <t>War Bo</t>
  </si>
  <si>
    <t>Pang Hkawn Yang</t>
  </si>
  <si>
    <t>Lone Khin Catholic Church</t>
  </si>
  <si>
    <t>Momauk IDP new Extension camp
(Alen Kawng Lawk)</t>
  </si>
  <si>
    <t>Namatee AG</t>
  </si>
  <si>
    <t>Mohyin</t>
  </si>
  <si>
    <t>Zupra</t>
  </si>
  <si>
    <t>Ban Dang</t>
  </si>
  <si>
    <t>Sut Chyai</t>
  </si>
  <si>
    <t>Da Wei</t>
  </si>
  <si>
    <t>Htai Ra Yang</t>
  </si>
  <si>
    <t>Lawt Awng</t>
  </si>
  <si>
    <t>Water Quality</t>
  </si>
  <si>
    <t>Unimproved water source</t>
  </si>
  <si>
    <r>
      <rPr>
        <b/>
        <sz val="11"/>
        <color rgb="FFFF0000"/>
        <rFont val="Corbel"/>
        <family val="2"/>
      </rPr>
      <t>Red &gt;=30%</t>
    </r>
    <r>
      <rPr>
        <b/>
        <sz val="11"/>
        <color theme="0"/>
        <rFont val="Corbel"/>
        <family val="2"/>
      </rPr>
      <t>,</t>
    </r>
    <r>
      <rPr>
        <b/>
        <sz val="11"/>
        <color theme="5"/>
        <rFont val="Corbel"/>
        <family val="2"/>
      </rPr>
      <t>Orange 0%~29%</t>
    </r>
    <r>
      <rPr>
        <b/>
        <sz val="11"/>
        <color theme="0"/>
        <rFont val="Corbel"/>
        <family val="2"/>
      </rPr>
      <t>,</t>
    </r>
    <r>
      <rPr>
        <b/>
        <sz val="11"/>
        <color theme="9" tint="-0.499984740745262"/>
        <rFont val="Corbel"/>
        <family val="2"/>
      </rPr>
      <t>Green =0%</t>
    </r>
  </si>
  <si>
    <t>Aung Ba La</t>
  </si>
  <si>
    <t>Shwe Zar (west)</t>
  </si>
  <si>
    <t>Kan Paing Nar</t>
  </si>
  <si>
    <t>Shwe Zar (North)</t>
  </si>
  <si>
    <t>Shwe Zar (Middle)</t>
  </si>
  <si>
    <t>Aung Zay Ya (Su See)</t>
  </si>
  <si>
    <t>Kyee Kan Pyin ( Temoprary Tent)</t>
  </si>
  <si>
    <t>Kyee Kan Pyin ( Surrounding)</t>
  </si>
  <si>
    <t>Aung Sit Pyin ( Done Pike)</t>
  </si>
  <si>
    <t>A Lei Ywar</t>
  </si>
  <si>
    <t>Ah Kyaw (Arisha Para)</t>
  </si>
  <si>
    <t>La Baw Zar</t>
  </si>
  <si>
    <t>Dar Shey</t>
  </si>
  <si>
    <t>Pyin Hpyu</t>
  </si>
  <si>
    <t>Thar Zay Kone (Thar Zi Kone)</t>
  </si>
  <si>
    <t>Kyauk Hlay Kar</t>
  </si>
  <si>
    <t>Thea Chaung Pyu Su</t>
  </si>
  <si>
    <t>Thea Chaung Ywar Thit Kay</t>
  </si>
  <si>
    <t>Ka Nyin Tan</t>
  </si>
  <si>
    <t>Maung Ni</t>
  </si>
  <si>
    <t>Pan Taw Pyin</t>
  </si>
  <si>
    <t>Shwe Yin Aye (NaTaLa)</t>
  </si>
  <si>
    <t>Zaw Ma Tat ( Kyine Gyi)</t>
  </si>
  <si>
    <t>Zaw Ma Tat ( Myo/ Relocation)</t>
  </si>
  <si>
    <t>Taung Pyo ( 4 Quarter)</t>
  </si>
  <si>
    <t>Taung Pyo ( 3Quarter)</t>
  </si>
  <si>
    <t>Taung Pyo ( 2 Quarter)</t>
  </si>
  <si>
    <t>Taung Pyo ( 1 Quarter)</t>
  </si>
  <si>
    <t>Kun Thee Pin</t>
  </si>
  <si>
    <t>Gyit Chaung</t>
  </si>
  <si>
    <t>Ngar Sar Kyu</t>
  </si>
  <si>
    <t>Ngan Chaung</t>
  </si>
  <si>
    <t>Thi Ho Kyun Tha Dar ( Myo/ Temporary)</t>
  </si>
  <si>
    <t>Myo U</t>
  </si>
  <si>
    <t>Sar Kon Boke (Hindu Para)</t>
  </si>
  <si>
    <t>Chan Pyin</t>
  </si>
  <si>
    <t>Sa Bai Pin Yin</t>
  </si>
  <si>
    <t>Kat Pa Kaung</t>
  </si>
  <si>
    <t>Ywet Nyo Taung</t>
  </si>
  <si>
    <t>Ah Bu Gyar</t>
  </si>
  <si>
    <t>Dar Gyi Zar</t>
  </si>
  <si>
    <t>Min Ga Lar Ahr Sheik Kyar</t>
  </si>
  <si>
    <t>Thu U Lar</t>
  </si>
  <si>
    <t>Inn Din (Rakhine)</t>
  </si>
  <si>
    <t>Kyauk Pan Du</t>
  </si>
  <si>
    <t>Myo</t>
  </si>
  <si>
    <t>Ma Ya Ma Gyi</t>
  </si>
  <si>
    <t xml:space="preserve">Dyine Net </t>
  </si>
  <si>
    <t>Ma Ya Ma Gyi + Dyine Net</t>
  </si>
  <si>
    <t>Dyine Net + Rakhine</t>
  </si>
  <si>
    <t>Dyine Net</t>
  </si>
  <si>
    <t>Shwe Zar Kat Pa Kaung</t>
  </si>
  <si>
    <t>Gaung Nyar</t>
  </si>
  <si>
    <t>Kan Beit</t>
  </si>
  <si>
    <t>Ka Nyin Chaung</t>
  </si>
  <si>
    <t>Aung Mingalar (NaTaLa)</t>
  </si>
  <si>
    <t>Hpar Wut Chaung (Ywar Thit)</t>
  </si>
  <si>
    <t>Wet Kyein (Myo)</t>
  </si>
  <si>
    <t>Pa Da Kar Ywar Thit</t>
  </si>
  <si>
    <t>Min Gyi (Tu Lar Tu Li)</t>
  </si>
  <si>
    <t>U Daung (NaTaLa)</t>
  </si>
  <si>
    <t>Mee Taik</t>
  </si>
  <si>
    <t>Yae Nauk Ngar Thar (Daing Nat)</t>
  </si>
  <si>
    <t>Ta Man Thar Ah Nauk (Rakhine)</t>
  </si>
  <si>
    <t>Mingalar Nyunt (NaTaLa)</t>
  </si>
  <si>
    <t>Min Kha Maung (NaTaLa)</t>
  </si>
  <si>
    <t>Thit Tone Nar Gwa Son</t>
  </si>
  <si>
    <t>Laung Don (Myo)</t>
  </si>
  <si>
    <t>Nga Khu Ya</t>
  </si>
  <si>
    <t>Nga Ku Ya (Ku Lar)</t>
  </si>
  <si>
    <t>Shwe Zar _Hindu</t>
  </si>
  <si>
    <t>Inn Din_new village</t>
  </si>
  <si>
    <t>MMR012009702501</t>
  </si>
  <si>
    <t>MMR012009702502</t>
  </si>
  <si>
    <t>MMR012009702503</t>
  </si>
  <si>
    <t>MMR012009702504</t>
  </si>
  <si>
    <t>KBC, Metta, SI</t>
  </si>
  <si>
    <t>KBC, KMSS, Shalom</t>
  </si>
  <si>
    <t>KBC, KMSS</t>
  </si>
  <si>
    <t>KBC, KMSS, Metta, Shalom</t>
  </si>
  <si>
    <t>Malteser, MHDO</t>
  </si>
  <si>
    <t>Gap in active camps / Township</t>
  </si>
  <si>
    <t>Jaw Masat Camp</t>
  </si>
  <si>
    <t>Pa Dauk Myaing(Pa La Na)-II</t>
  </si>
  <si>
    <t>MMR001CMP271</t>
  </si>
  <si>
    <t>Q3_2018</t>
  </si>
  <si>
    <t>31/July /2018: Population update. Data source: KMSS M
6/1/2018: Added as new camp (Camp Like Setting).</t>
  </si>
  <si>
    <t>2/June/2017: Updated Accessibility NGCA to GCA. Data source: UNOCHA.
Change to Host Families.</t>
  </si>
  <si>
    <t>Closed_cccm2018Aug</t>
  </si>
  <si>
    <t>Waimaw Baptist Zonal Office 2</t>
  </si>
  <si>
    <t>Namti Labraw Yang KBC Camp</t>
  </si>
  <si>
    <t>Ma Hawng Baptist Church</t>
  </si>
  <si>
    <t>Trinity Camp</t>
  </si>
  <si>
    <t>Tanai KBC Camp</t>
  </si>
  <si>
    <t>Mai Yu Lay New (Ta'ang)</t>
  </si>
  <si>
    <t>Mine Yu Lay village ( Old)</t>
  </si>
  <si>
    <t>Nam Hpak Ka Ta'ang ( Aung Tha Pyay)</t>
  </si>
  <si>
    <t>uncovered</t>
  </si>
  <si>
    <t>Closed : Source, OCHA</t>
  </si>
  <si>
    <t>Closed: Source UNHCR-Bhamo</t>
  </si>
  <si>
    <t>31/May/2018: Population update. Data source: Shalom ( Camp Status change to Closed Camp, As per Shalom, the camp was closed on 28 May 2018). 
30/Apr/2018: Population update. Data source: Shalom
27/Mar/2018: Population update. Data source: Shalom
5/Mar/2018: Population update. Data source: Shalom
29/June/2017: Population update. Data source: Shalom
2/June/2017: Population update. Data source: Shalom
3/May/2017: Population update. Data source: Shalom
24/April/2017: Population update. Data source: Shalom
14/Feb/2017: Population update. Data source: Shalom (the same data with previous month)
10/Jan/2017: Population update. Data source: Shalom.
21 Oct 2016: Population update. Data source: Shalom
20/Jul/2016: Population update. Data source: Shalom
16/Jun/2016: Population update. Data source: mail by Shalom
9/Nov/15. Population update. Data source: monthly report by HAP.
19-Aug-15 Population update. Source: Shalom.
25-Jun-15 (Population update. Source : Shalom)
Population update: Source: Camp Profile Round 2.</t>
  </si>
  <si>
    <t>Closed. Rellocated to Tharthana Ahlin Yaung.</t>
  </si>
  <si>
    <t>2-Apr-15 (Closed. Source: GAD)
Responsible Agency update. KMSS-BMO to KMSS-MYT.</t>
  </si>
  <si>
    <t>11/Jul/2017: Change status to Close as no update available since December 2016</t>
  </si>
  <si>
    <t>3/Jul/2017: Changed camp status as "Closed" according to the information of KBC. Note from KBC " (5 Ward Baptist Church( Lon Khin- MMR001CMP179, and Ku Day Maw KBC- MMR001CMP231) and open new camp as Lawng Hkang Shait Yang Camp ( Lel Pyin) under Hpakant Township. So technically, the mentioned two camp will be combine into one camp as Lawng Hkang Shait Yang Camp ( Lel Pyin)".
2/June/2017: Population update. Data source: KBC
3/May/2017: Population update. Data source: KBC
24/Apr/2017: Population update. Data source: KBC and CCCM unit
15/Mar/2017: Population update. Data Source: KBC
24/Feb/2017: Population update. Data source: KBC
10/Jan/2017: Population update. Data source: KBC
21/Oct/2016: Population update. Data soure: KBC
9/Sep/2016. Population update. Data source:KBC.
18/Jul/2016: Population updte. Data source: KBC
15/Jun/2016: Population update. Data source: monthly report by KBC
12/May/2016. Population update. Data source: KBC
28/Jan/2016. Population update. Data source: KBC
2/Dec/2015. Population update. Data source: KBC
14-Oct-15 Population update. Soruce; Hpakant Mission Report_WFP
25-Jun-15 Population update. Source: KBC
2-Apr-15 (Population update, Source: UNHCR CCCM Mission)
Population Update. Source: KBC.</t>
  </si>
  <si>
    <t>24/Apr/2017: Changed camp status as "closed". Data source: KMSS_Myitkyina and CCCM unit.
16/Sep/2016: New added camp. There no responsible organization.</t>
  </si>
  <si>
    <t>19-Aug-15 Closed. IDP were provided with individual lands within Naung Hmee village and transit toward semi-permanent settlement. Source: CCCM Unit
2-Apr-15 (Population update, Source: UNHCR CCCM Mission)
Population update: Source: Camp Profile Round 2.</t>
  </si>
  <si>
    <t>Only one HH left, included in Lon Khin Baptist distribution list.</t>
  </si>
  <si>
    <t>30/June /2018: Population update. Data source: UNHCR/Cluster partners
30/May/2018: Population update. Data source: UNHCR/Cluster partners
30/May/2018: Added as new camp</t>
  </si>
  <si>
    <t>3/Jul/2017: Changed camp status as "Closed" according to the information of KBC. Note from KBC " (5 Ward Baptist Church( Lon Khin- MMR001CMP179, and Ku Day Maw KBC- MMR001CMP231) and open new camp as Lawng Hkang Shait Yang Camp ( Lel Pyin) under Hpakant Township. So technically, the mentioned two camp will be combine into one camp as Lawng Hkang Shait Yang Camp ( Lel Pyin)".
2/June/2017: Population update. Data source: KBC
3/May/2017: Population update. Data source: KBC
24/Apr/2017: Population update. Data source: KBC and CCCM unit
15/Mar/2017: Population update. Data Source: KBC
24/Feb/2017: Population update. Data source: KBC
10/Jan/2017: Population update. Data source: KBC
21/Oct/2016: Population update. Data soure: KBC
9/Sep/2016. Population update. Data source:KBC.
18/Jul/2016: Population updte. Data source: KBC
15/Jun/2016: Population update. Data source: monthly report by KBC
12/May/2016. Population update. Data source: KBC
28/Jan/2016. Population update. Data source: KBC
2/Dec/2015. Population update. Data source: KBC
25-Jun-15 Population update. Source: KBC
18-May-15 (Population update by field mission)
Source: CCCM Unit (Hpakant Assessement Mission)</t>
  </si>
  <si>
    <t>Closed.</t>
  </si>
  <si>
    <t>11/Jul/2017: Change status into closed: Data source: KBC
25/Jul/2016: Added as new camp according to KBC data. Data was given by Jade</t>
  </si>
  <si>
    <t>Move to Nant Ma Hpit Catholic Church.</t>
  </si>
  <si>
    <t>Close. According to RRC's info, this camp does not include in reported list.</t>
  </si>
  <si>
    <t>Closed Camp
Update data from OCHA IDPs List</t>
  </si>
  <si>
    <t>25-Jun-15 (Relocate to Long Sut)
Geo-Info, HH/Pop data received from MIRA Form</t>
  </si>
  <si>
    <t>Closed. Rellocated to Man Win and La Ga Yaung</t>
  </si>
  <si>
    <t>27-Mar-15 (Closed. Source: UNHCR-Bhamo)
New Camp</t>
  </si>
  <si>
    <t>16/Sep/2016: Changes camp status. Actually it was not closed. It was combined as one camp with Bum Tsit Pa. Data source: KMSS_Bhamo.
28/Jan/2016. Population update. Data source: KBC
Population Update. Source: Save The Children.</t>
  </si>
  <si>
    <t>Closed. Source: Save The Children</t>
  </si>
  <si>
    <t>19-Aug-15 Close. Source: CCCM Unit.
Population source: KMSS-BMO</t>
  </si>
  <si>
    <t>Closed. Duplicate with Maing Khaung.</t>
  </si>
  <si>
    <t>Closed. Move to Bum Tist Pa II and Man Wing. HH113/Pop837</t>
  </si>
  <si>
    <t xml:space="preserve">This IDP are registered in Nam Lim pa (Boarder) (MMR001CMP204). We should not calculate this number in total. </t>
  </si>
  <si>
    <t>Close (Source: OCHA)</t>
  </si>
  <si>
    <t>30/Mar/2018: Camp Status change to Closed: Relocate to Nongpong. 
29/June/2017: Population update. Planning to local integration through KMSS_Myitkyina. Relocated to Naung Pon
3/May/2017: Pop update. Data source: KMSS_Myitkyina
24/Apr/2017: Pop update. Data source: KMSS_Myitkyina
6/Apr/2017: Change camp status as "Open". Data source: Protection team and comfirmed by camp manager.
2/feb/2017: Closed Camp
10/Jan/2017: Population update. Data source: KMSS_Myitkyina
21/Oct/2016: Population update. Data source: KMSS_Myitkyina
14/Jul/2016: Population update. Data Source:KMSS_Myitkyina
9/Nov/15. Accomodation changes from Host families to Camp. Data source: CCCM
19-Aug-15 (Population Udate. Data Source: KMSS-MYT)
25-Jun-2015 (New host families. Source: RRD)</t>
  </si>
  <si>
    <t>IDPs returned</t>
  </si>
  <si>
    <t>11/Jul/2017: Closed camp. No update information.
25-Jun-2015 (New host families. Source: RRD)</t>
  </si>
  <si>
    <t>Closed. Duplicate with (Nawng Ing (Indawgyi) Baptist Church)</t>
  </si>
  <si>
    <t>11/Jul/2017: Closed camp. No update information since Nov 2015.
9/Nov/2015. Population update. Data source: mail from WFP.
New added Boarding School</t>
  </si>
  <si>
    <t>11/Jul/2017: Change status to Close as no update available since June/2017.
Geo-Info, HH/Pop data was updated from Google Earth.</t>
  </si>
  <si>
    <t>11/Jul/17: Change status to Close as no update available.</t>
  </si>
  <si>
    <t>11/Jul/2017: Change status to Close as no update available
Geo-Info, HH/Pop data was updated from Google Earth.</t>
  </si>
  <si>
    <t>9/Nov/2015. updated camp status (Closed). Data Source; Lu Lu Awng by mail.
19-Aug-15 Population update. Source: Shalom
25-Jun-15 (Population update. Source : Shalom)
Checked with Shalom data, IDPs figure do not change</t>
  </si>
  <si>
    <t>Closed. Population relocated to Man Bung Catholic Compound (MMR001CMP062)</t>
  </si>
  <si>
    <t>16/Jun/2016: Camp Closed. Data source: Shalom. Commnets from Shalom "Household return to Kayuk sa khan village"
9/Nov/15. Population update. Data source: monthly report by HAP.
19-Aug-15 Population update. Source: Shalom
25-Jun-15 (Population update. Source : Shalom)
Population update: Source UNHCR-Bhamo</t>
  </si>
  <si>
    <t>11/Jul/2017: Change status to Close as no update available since Jan/2017.
Update from OCHA Data (2 Jan 2014)</t>
  </si>
  <si>
    <t>11/Jul/2017: Change status to Close as no update available since June 2014
Geo-Info, HH/Pop data was updated from Google Earth.</t>
  </si>
  <si>
    <t>New displacement from Ka Sung</t>
  </si>
  <si>
    <t>25-Jun-15 Relocate to Shatapru Thida Aye Baptist Church
Population update: Source: Camp Profile Round 2.</t>
  </si>
  <si>
    <t>Closed july 2017</t>
  </si>
  <si>
    <t>25-Jun-15 (Relocated to Lone Sut)
Geo-Info, HH/Pop data received from MIRA Form</t>
  </si>
  <si>
    <t>11/Jul/2017: Change status to Close as no update available.</t>
  </si>
  <si>
    <t>25-Jun-15 (Relocated to Hpum Lone Yan and Wai Choi)
Population Update. Source: UNHCR Cross-Line Mission Report. (July 2014)</t>
  </si>
  <si>
    <t>22/June/2018: camp status change to Closed Camp. 44 HHs shifted to Maina Governent plan low cost housing. 35 HHs stayed in the host community where they already bought land and constructed houses. 
30/June/2018: Population update. Data source: Shalom
31/May/2018: Population update. Data source: Shalom
30/Apr/2018: Population update. Data source: Shalom
27/Mar/2018: Population update. Data source: Shalom
5/Mar/2018: Population update. Data source: Shalom
29/June/2017: Population update. Data source: Shalom
2/June/2017: Population update. Data source: Shalom
3/May/2017: Population update. Data source: Shalom
24/April/2017: Population update. Data source: Shalom
14/Feb/2017: Population update. Data source: Shalom (the same data with previous month)
10/Jan/2017: Population update. Data source: Shalom.
21 Oct 2016: Population update. Data source: Shalom
20/Jul/2016: Population update. Data source: Shalom
16/Jun/2016: Population update. Data source: mail by Shalom
10 May 2016. Population update: Data source_Shalom
28/Jan/2016. Population update. Data source: KBC (mail by maran)
9/Nov/15. Population update. Data source: monthly report by HAP.
19-Aug-15 Population update. Source: Shalom.
25-Jun-15 Population update. Source : Shalom.
Population update: Source: Camp Profile Round 2.</t>
  </si>
  <si>
    <t>UNHCR/DRC joint mission</t>
  </si>
  <si>
    <t>3/Mar/2016. Closed Camp. Data source: January report from KBC.
28/Jan/2016. Population update. Data source: KBC (mail by maran)
2/Dec/2015 (Population update. Data source: Monthly report by KBC).
25-Jun-2015 Update population. Data Source: KBC
Changed to Boarding School.</t>
  </si>
  <si>
    <t>6/June/2017: Changed camp status as "Closed" because of the conflict on Dec, 2016. So IDPs ( from Zai Awng - Mung Ga Zup) flew to Lung Byen. They stay awhile at Lung Byen and then they moved to Shait Yang on 17 Jan 2017. Added as a new camp (Shait Yang) instead of Zai Awng-Mung Ga Zup".
3/May/2017: Population update. Data source: KBC
24/Apr/2017: Population update. Data source: KBC and CCCM unit
15/Mar/2017: Population update. Data Source: KBC
24/Feb/2017: Population update. Data source: KBC
10/Jan/2017: Population update. Data source: KBC
21/Oct/2016: Population update. Data soure: KBC
9/Sep/2016. Population update. Data source:KBC.
18/Jul/2016: Population updte. Data source: KBC
15/Jun/2016: Population update. Data source: monthly report by KBC
12/May/2016. Population update. Data source: KBC
28/Jan/2016. Population update. Data source: KBC 
2/Dec/2015. Population update. Data source: KBC
25-Jun-15 Population update. Source: KBC
Update population according to KBC data</t>
  </si>
  <si>
    <t>31/July/2018: Population update. Data source: KBC
30/June/2018: Population update. Data source: KBC,
31/May/2018: Population update. Data source: KBC
30/Apr/2018: Population update. Data source: KBC
27/Mar/2018: Population update. Data source: KBC
5/Mar/2018: Population update. Data source: KBC
3/Jul/2017: Population update. Data source: KBC
2/June/2017: Population update. Data source: KBC
3/May/2017: Population update. Data source: KBC
24/Apr/2017: Population update. Data source: KBC and CCCM unit
15/Mar/2017: Population update. Data Source: KBC
24/Feb/2017: Population update. Data source: KBC
10/Jan/2017: Population update. Data source: KBC
21/Oct/2016: Population update. Data soure: KBC
9/Sep/2016. Population update. Data source:KBC.
18/Jul/2016: Population updte. Data source: KBC
15/Jun/2016: Population update. Data source: monthly report by KBC
12/May/2016. Population update. Data source: KBC
28/Jan/2016. Population update. Data source: KBC 
19-Aug-15 Population update. Source KBC.
25-Jun-15 New camp. Data Source : KBC</t>
  </si>
  <si>
    <t>6/5/2018: Status changed into Closed. Source Metta NSS,some IDP have returned, some moved to host families in Namtu and Kha Shi village, Lashio township
Lack of access. Not updated since Mar/2014.
Change to Host Families.</t>
  </si>
  <si>
    <t>11/Jul/2017: Camp status change into closed. KBC said Camp will be combine with Nam Sa Larp. DATA Source: KBC
25/Jul/2016: Added as new camp according to KBC data. Data was given by Jade</t>
  </si>
  <si>
    <t>5/June/2018: Data Updated
17-01-2017: New added camp. Missing data will be collected from partners and present in next Report.</t>
  </si>
  <si>
    <t>27/Apr/2017: Changed camp status as "Closed", Data source: KBC.
15/Mar/2017: Population update, KBC is not responsible  org started from December 2016. Data Source: KBC
24/Feb/2017: Population update. Data source: KBC
18/Jul/2016: Population updte. Data source: KBC
12/May/2016. Population update. Data source: KBC
25-Jun-15 Population update. Source: KBC
Update population. Source: Camp Profile.</t>
  </si>
  <si>
    <t>31/July/2018: Population update. Data source: KBC
30/June/2018: Population update. Data source: KBC,
31/May/2018: Population update. Data source: KBC
30/Apr/2018: Population update. Data source: KBC
27/Mar/2018: Population update. Data source: KBC
5/Mar/2018: Population update. Data source: KBC
3/Jul/2017: Population update. Data source: KBC
2/June/2017: Population update. Data source: KBC
3/May/2017: Population update. Data source: KBC
24/Apr/2017: Population update. Data source: KBC and CCCM unit
15/Mar/2017: Population update. Data Source: KBC
24/Feb/2017: Population update. Data source: KBC
10/Jan/2017: Population update. Data source: KBC
21/Oct/2016: Population update. Data soure: KBC
9/Sep/2016. Population update. Data source:KBC.
18/Jul/2016: Population updte. Data source: KBC
15/Jun/2016: Population update. Data source: monthly report by KBC
12/May/2016. Population update. Data source: KBC
28/Jan/2016. Population update. Data source: KBC
25-Jun-15 Population update. Source: KBC
Update population. Source: Camp Profile.</t>
  </si>
  <si>
    <t>30/June/2018: Population update. Data source: KBC,
31/May/2018: Population update. Data source: KBC
30/Apr/2018: Population update. Data source: KBC
27/Mar/2018: Population update. Data source: KBC
5/Mar/2018: Population update. Data source: KBC
CCCM activities start in july 2017</t>
  </si>
  <si>
    <t>31/July/2018: Population update. Data source: KMSS_Lashio
30/June/2018: Population update. Data source: KMSS_Lashio
31/May/2018: Population update. Data source: KMSS_Lashio
10/May/2018: Population update. Data source: KMSS_Lashio
30/Apr/2018: Population update. Data source: KMSS_Lashio
27 Mar 2018: Population update. Data source: KMSS_Lashio.
5/Mar/2018:  Population update. Data source:KMSS_Lashio
12/Jan/2018: Population update. Data source:KMSS_Lashio
29/Jun/2017: Population update. Data source:KMSS_Lashio
24/Apr/2017: Population update. Data source:KMSS_Lashio
14/Feb/2017: Population update. Data source: KMSS_LSO
10/Jan/2017: Population update. Data source: KMSS_LSO
27/Oct/2016: Population update. Data source: KMSS_Lashio
1/Sep/2016: Population update. Data source: KMSS_LSO
14/Jul/2016: Population update. Data source: KMSS_LSO
28/Jan/2016. Population update. Data source: KMSS_LSO
19-Aug-15 (Population update. Source: MKSS-LSO)
25-Jun-15 (Population update. Source: KMSS-LSO)
Population updated. Source: Shelter unit.</t>
  </si>
  <si>
    <t>31/July/2018: Population update. Data source: KBC
30/June/2018: Population update. Data source: KBC,
31/May/2018: Population update. Data source: KBC
30/Apr/2018: Population update. Data source: KBC
27/Mar/2018: Population update. Data source: KBC
5/Mar/2018: Population update. Data source: KBC
3/Jul/2017: Population update. Data source: KBC
2/June/2017: Population update. Data source: KBC
3/May/2017: Population update. Data source: KBC
24/Apr/2017: Population update. Data source: KBC and CCCM unit
15/Mar/2017: Population update. Data Source: KBC
24/Feb/2017: Population and Responsible agency update. Data source: KBC.
10/Jan/2017: Population update. Data source: KBC
18/Jul/2016: Added as new camp according to KBC_Brang Mai.</t>
  </si>
  <si>
    <t>5/June/2018. Data Updated.
6/May/2017: New added camp. Data source: KBC. Camp was confirmed by CCCM unit. The missing informaiton will be updated as soon as possible.</t>
  </si>
  <si>
    <t>31/July/2018: Population update. Data source: KBC
30/June/2018: Population update. Data source: KBC,
31/May/2018: Population update. Data source: KBC
30/Apr/2018: Population update. Data source: KBC
27/Mar/2018: Population update. Data source: KBC
5/Mar/2018: Population update. Data source: KBC
3/Jul/2017: Population update. Data source: KBC
2/June/2017: Population update. Data source: KBC
3/May/2017: Population update. Data source: KBC
24/Apr/2017: Population update. Data source: KBC and CCCM unit
15/Mar/2017: Population update. Data Source: KBC
24/Feb/2017: Population update. Data source: KBC
10/Jan/2017: Population update. Data source: KBC
21/Oct/2016: Population update. Data soure: KBC
9/Sep/2016. Population update. Data source:KBC.
18/Jul/2016: Population updte. Data source: KBC
15/Jun/2016: Population update. Data source: monthly report by KBC
12/May/2016. Population update. Data source: KBC
28/Jan/2016. Population update. Data source: KBC
2/Dec/2015. Population update. Data source: KBC
25-Jun-15 Population update. Source: KBC
Update population. Source: Camp Profile.</t>
  </si>
  <si>
    <t>5/June/2018: Data Source Metta NSS
No update information since Jul/2016, KBC to follow up
25/Jul/2016: Added as new camp according to KBC data.</t>
  </si>
  <si>
    <t>31/July/2018: Population update. Data source: KBC
30/June/2018: Population update. Data source: KBC,
31/May/2018: Population update. Data source: KBC
30/Apr/2018: Population update. Data source: KBC
27/Mar/2018: Population update. Data source: KBC
5/Mar/2018: Population update. Data source: KBC
12/Jan/2018: Population update. Data source: KBC
3/Jul/2017: Population update. Data source: KBC
2/June/2017: Population update. Data source: KBC
3/May/2017: Population update. Data source: KBC
24/Apr/2017: Population update. Data source: KBC and CCCM unit
15/Mar/2017: Population update. Data Source: KBC
24/Feb/2017: Population update. Data source: KBC
10/Jan/2017: Population update. Data source: KBC
21/Oct/2016: Population update. Data soure: KBC
9/Sep/2016. Population update. Data source:KBC.
18/Jul/2016: Population updte. Data source: KBC
15/Jun/2016: Population update. Data source: monthly report by KBC
12/May/2016. Population update. Data source: KBC
28/Jan/2016. Population update. Data source: KBC
2/Dec/2015. Population update. Data source: KBC
25-Jun-15 Population update. Source: KBC
27-Mar-15 (Changed to GCA. Source UNHCR-Bhamo)
Update population. Source: Camp Profile.</t>
  </si>
  <si>
    <t>31/July/2018: Population update. Data source: KMSS_Lashio
30/June/2018: Population update. Data source: KMSS_Lashio
31/May/2018: Population update. Data source: KMSS_Lashio
10/May/2018: Population update. Data source: KMSS_Lashio
30/Apr/2018: Population update. Data source: KMSS_Lashio
27 Mar 2018: Population update. Data source: KMSS_Lashio.
5/Mar/2018:  Population update. Data source:KMSS_Lashio
12/Jan/2018: Population update. Data source:KMSS_Lashio
29/Jun/2017: Population update. Data source:KMSS_Lashio
24/Apr/2017: Population update. Data source:KMSS_Lashio
14/Feb/2017: Population update. Data source: KMSS_LSO
10/Jan/2017: Population update. Data source: KMSS_LSO
27/Oct/2016: Population update. Data source: KMSS_Lashio
1/Sep/2016: Population update. Data source: KMSS_LSO
14/Jul/2016: Population update. Data source: KMSS_LSO
28/Jan/2016. Population update. Data source: KMSS_LSO
19-Aug-15 (Population update. Source KMSS-LSO)
25-Jun-15 (Population update. Source KMSS-LSO)
27-Mar-15 (Changed to GCA. Source UNHCR-Bhamo)
New camp. Source: KMSS-BMO</t>
  </si>
  <si>
    <t>31/July/2018: Population update. Data source: KBC
30/June/2018: Population update. Data source: KBC,
31/May/2018: Population update. Data source: KBC
30/Apr/2018: Population update. Data source: KBC
27/Mar/2018: Population update. Data source: KBC
5/Mar/2018: Population update. Data source: KBC
12/Jan/2018: Population update. Data source: KBC
3/Jul/2017: Population update. Data source: KBC
2/June/2017: Population update. Data source: KBC
3/May/2017: Population update. Data source: KBC
24/Apr/2017: Population update. Data source: KBC and CCCM unit
15/Mar/2017: Population update. Data Source: KBC
24/Feb/2017: Population update. Data source: KBC
10/Jan/2017: Population update. Data source: KBC
21/Oct/2016: Population update. Data soure: KBC
9/Sep/2016. Population update. Data source:KBC.
18/Jul/2016: Population updte. Data source: KBC
15/Jun/2016: Population update. Data source: monthly report by KBC
12/May/2016. Population update. Data source: KBC
28/Jan/2016. Population update. Data source: KBC
2/Dec/2015. Population update. Data source: KBC
25-Jun-15 Population update. Source: KBC
Update population. Source: Camp Profile.</t>
  </si>
  <si>
    <t>31/July/2018: Population update. Data source: KMSS_Lashio
30/June/2018: Population update. Data source: KMSS_Lashio
31/May/2018: Population update. Data source: KMSS_Lashio
10/May/2018: Population update. Data source: KMSS_Lashio
30/Apr/2018: Population update. Data source: KMSS_Lashio
27 Mar 2018: Population update. Data source: KMSS_Lashio.
5/Mar/2018:  Population update. Data source:KMSS_Lashio
5/Marcy/2018: Population update. Data source: KMSS-LSO.
From Jan 2018, camp like setting status change to Camp as KMSS-LSO will be cover the Camp 
6/Apr/2017: Population update. Data source: CCCM and confirmed by camp manager.
20/Feb/2017: Updating GPS coordiante.
25/Jul/2016: Added as new camp according to KBC data. Data was given by Jade</t>
  </si>
  <si>
    <t>31/July/2018: Data Source (UNHCR-LSH)
6/June/2018: Data Source ( IRC, KMSS-Lsh)
11/Jul/2017: Updated from UNOCHA, visited on March 2017 
9/Nov/15. New added camp. Data source: UNHCR CCCM officer NSS mission 8-12 July 2015.</t>
  </si>
  <si>
    <t>31/July/2018: Data Source (UNHCR-LSH)
5/June/2018: Data Source: IRC
No update information since Jul/2016, KBC to follow up
25/Jul/2016: Added as new camp according to KBC data.</t>
  </si>
  <si>
    <t>31/July/2018: Population update. Data source: KBC
30/June/2018: Population update. Data source: KBC,
31/May/2018: Population update. Data source: KBC
30/Apr/2018: Population update. Data source: KBC
27/Mar/2018: Population update. Data source: KBC
5/Mar/2018: Population update. Data source: KBC
3/Jul/2017: Population update. Data source: KBC
2/June/2017: Population update. Data source: KBC
3/May/2017: Population update. Data source: KBC
24/Apr/2017: Population update. Data source: KBC and CCCM unit
15/Mar/2017: Population update. Data Source: KBC
24/Feb/2017: Population update. Data source: KBC
10/Jan/2017: Population update. Data source: KBC
21/Oct/2016: Population update. Data soure: KBC
18/Jul/2016: Population updte. Data source: KBC
15/Jun/2016: Population update. Data source: monthly report by KBC
12/May/2016. Population update. Data source: KBC
28/Jan/2016. Population update. Data source: KBC
25-Jun-15 Population update. Source: KBC
Population update. Source: KBC.</t>
  </si>
  <si>
    <t>31/July/2018: Population update. Data source: KBC
30/June/2018: Population update. Data source: KBC,
31/May/2018: Population update. Data source: KBC
30/Apr/2018: Population update. Data source: KBC
27/Mar/2018: Population update. Data source: KBC
5/Mar/2018: Population update. Data source: KBC
3/Jul/2017: Population update. Data source: KBC
2/June/2017: Population update. Data source: KBC
3/May/2017: Population update. Data source: KBC
24/Apr/2017: Population update. Data source: KBC and CCCM unit
15/Mar/2017: Population update. Data Source: KBC
24/Feb/2017: Population update. Data source: KBC
10/Jan/2017: Population update. Data source: KBC
10/Jan/2017: Population update. Data source: KBC
21/Oct/2016: Population update. Data soure: KBC
9/Sep/2016. Population update. Data source:KBC.
18/Jul/2016: Population updte. Data source: KBC
15/Jun/2016: Population update. Data source: monthly report by KBC
12/May/2016. Population update. Data source: KBC
28/Jan/2016. Population update. Data source: KBC 
25-Jun-15 Population update. Source: KBC
Changed NGCA to GCA. Source: CCCM Unit</t>
  </si>
  <si>
    <t>31/July/2018: Population update. Data source: KMSS_Lashio
30/June/2018: Population update. Data source: KMSS_Lashio
31/May/2018: Population update. Data source: KMSS_Lashio
10/May/2018: Population update. Data source: KMSS_Lashio
30/Apr/2018: Population update. Data source: KMSS_Lashio
27 Mar 2018: Population update. Data source: KMSS_Lashio.
5/Mar/2018:  Population update. Data source:KMSS_Lashio
12/Jan/2018: Population update. Data source:KMSS_Lashio
29/Jun/2017: Population update. Data source:KMSS_Lashio
24/Apr/2017: Population update. Data source:KMSS_Lashio
14/Feb/2017: Population update. Data source: KMSS_LSO
10/Jan/2017: Population update. Data source: KMSS_LSO
27/Oct/2016: Population update. Data source: KMSS_Lashio
1/Sep/2016: Population update. Data source: KMSS_LSO
14/Jul/2016: Population update. Data source: KMSS_LSO
28/Jan/2016. Population update. Data source: KMSS_LSO
19-Aug-15 (Population update. Source: KMSS-LSO)
25-Jun-15 (Population update. Source: KMSS-LSO)
New Camp</t>
  </si>
  <si>
    <t>6/Apr/2017: Changed camp status as "closed". Data source: CCCM_UNHCR, comfirmed by partners (KBC)
17-01-2017: New added camp. Missing data will be collected from partners and present in next Report.</t>
  </si>
  <si>
    <t>6/Apr/2017: Changed the camp status as "Closed". Data source: CCCM and comfirmed by partner (KBC). And it was updated since 3/Mar/2014.
Change to Host Families.</t>
  </si>
  <si>
    <t>Camp Closed. Updated on 15 Jun 2016. Data source: Camp Profiling Data from KBC (Our NSS KBC-ERC team confirmed that Munekoe Pa camp has been closed regarding to their request. )
12/May/2016. Population update. Data source: KBC
28/Jan/2016. Population update. Data source: KBC (mail by maran)
2/Dec/2015. Population update. Data source: KBC
25-Jun-15 Population update. Source: KBC
Update population. Source: Camp Profile.</t>
  </si>
  <si>
    <t>6/April/2017: Changed the camp stutas as "Closed". Data source CCCM and comfirmed by partner (KBC). And it was updated since 3/March/2017
Change to Host Families.</t>
  </si>
  <si>
    <t>31/July/2018: Population update. Data source: KBC
30/June/2018: Population update. Data source: KBC,
31/May/2018: Population update. Data source: KBC
30/Apr/2018: Population update. Data source: KBC
27/Mar/2018: Population update. Data source: KBC
5/Mar/2018: Population update. Data source: KBC
3/Jul/2017: Population update. Data source: KBC
2/June/2017: Population update. Data source: KBC
3/May/2017: Population update. Data source: KBC
24/Apr/2017: Population update. Data source: KBC and CCCM unit
15/Mar/2017: Population update. Data Source: KBC
24/Feb/2017: Population update. Data source: KBC
10/Jan/2017: Population update. Data source: KBC
21/Oct/2016: Population update. Data soure: KBC
9/Sep/2016. Population update. Data source:KBC.
18/Jul/2016: Population updte. Data source: KBC
15/Jun/2016: Population update. Data source: monthly report by KBC
12/May/2016. Population update. Data source: KBC
28/Jan/2016. Population update. Data source: KBC 
2/Dec/2015. Population update. Data source: KBC
25-Jun-15 Population update. Source: KBC
New camp.</t>
  </si>
  <si>
    <t>31/July/2018: Population update. Data source: KMSS_Lashio
30/June/2018: Population update. Data source: KMSS_Lashio
31/May/2018: Population update. Data source: KMSS_Lashio
10/May/2018: Population update. Data source: KMSS_Lashio
30/Apr/2018: Population update. Data source: KMSS_Lashio
27 Mar 2018: Population update. Data source: KMSS_Lashio.
5/Mar/2018:  Population update. Data source:KMSS_Lashio
12/Jan/2018: Population update. Data source:KMSS_Lashio
29/Jun/2017: Population update. Data source:KMSS_Lashio
24/Apr/2017: Population update. Data source:KMSS_Lashio
14/Feb/2017: Population update. Data source: KMSS_LSO
10/Jan/2017: Population update. Data source: KMSS_LSO
27/Oct/2016: Population update. Data source: KMSS_Lashio
1/Sep/2016: Population update. Data source: KMSS_LSO
14/Jul/2016: Population update. Data source: KMSS_LSO
28/Jan/2016. Population update. Data source: KMSS_LSO
19-Aug-15 (Population update. Source: MKSS-LSO)
25-Jun-15 (Population update. Source: KMSS-LSO)
Population Update. Source: Save The Children.</t>
  </si>
  <si>
    <t>Closed as of 1st of September 2017</t>
  </si>
  <si>
    <t>31/July/2018: Data Source (UNHCR-LSH)
5/Jun/2018: Population update. Data source: DRC, SCI
2/Jun/2017: Population update. Data source: WASH cluster.
25/Jul/2016: Added as new camp according to KBC data. Data was given by Jade</t>
  </si>
  <si>
    <t>2/June/2017: Changed camp status as "Closed". Data source: UNOCHA and confirmed by CCCM unit.
25/Jul/2016: Added as new camp according to KBC data. Data was given by Jade</t>
  </si>
  <si>
    <t>31/July/2018: Population update. Data source: KBC
30/June/2018: Population update. Data source: KBC,
31/May/2018: Population update. Data source: KBC
30/Apr/2018: Population update. Data source: KBC
27/Mar/2018: Population update. Data source: KBC
5/Mar/2018: Population update. Data source: KBC
12/Jan/2018: Population update. Data source: KBC &amp; OCHA Lashio 
3/Jul/2017: Population update. Data source: KBC
2/June/2017: Population update. Data source: KBC
3/May/2017: Population update. Data source: KBC
24/Apr/2017: Population update. Data source: KBC and CCCM unit
15/Mar/2017: Population update. Data Source: KBC
24/Feb/2017: Population update. Data source: KBC
10/Jan/2017: Population update. Data source: KBC
21/Oct/2016: Population update. Data soure: KBC
9/Sep/2016. Population update. Data source:KBC.
18/Jul/2016: Population updte. Data source: KBC
15/Jun/2016: Population update. Data source: monthly report by KBC
12/May/2016. Population update. Data source: KBC
28/Jan/2016. Population update. Data source: KBC
2/Dec/2015. Population update. Data source: KBC
25-Jun-15 Population update. Source: KBC
Population Update. Source: Save The Children.</t>
  </si>
  <si>
    <t>31/July/2018: Population update. Data source: KBC
30/June/2018: Population update. Data source: KBC,
31/May/2018: Population update. Data source: KBC
27/Mar/2018: Population update. Data source: KBC
5/Mar/2018: Population update. Data source: KBC
12/Jan/2018: Population update. Data source: KBC
3/Jul/2017: Population update. Data source: KBC
2/June/2017: Population update. Data source: KBC
3/May/2017: Population update. Data source: KBC
24/Apr/2017: Population update. Data source: KBC and CCCM unit
15/Mar/2017: Population update. Data Source: KBC
24/Feb/2017: Population update. Data source: KBC
10/Jan/2017: Population update. Data source: KBC
21/Oct/2016: Population update. Data soure: KBC
9/Sep/2016. Population update. Data source:KBC.
18/Jul/2016: Population updte. Data source: KBC
15/Jun/2016: Population update. Data source: monthly report by KBC
12/May/2016. Population update. Data source: KBC
28/Jan/2016. Population update. Data source: KBC
2/Dec/2015. Population update. Data source: KBC
25-Jun-15 Population update. Source: KBC
Population Update. Source: Save The Children.</t>
  </si>
  <si>
    <t>31/July/2018: Population update. Data source: KBC
30/June/2018: Population update. Data source: KBC,
31/May/2018: Population update. Data source: KBC
30/Apr/2018: Population update. Data source: KBC
27/Mar/2018: Population update. Data source: KBC
5/Mar/2018: Population update. Data source: KBC
3/Jul/2017: Population update. Data source: KBC
2/June/2017: Population update. Data source: KBC
3/May/2017: Population update. Data source: KBC
24/Apr/2017: Population update. Data source: KBC and CCCM unit
15/Mar/2017: Population update. Data Source: KBC
24/Feb/2017: Population update. Data source: KBC
10/Jan/2017: Population update. Data source: KBC
21/Oct/2016: Population update. Data soure: KBC
9/Sep/2016. Population update. Data source:KBC.
18/Jul/2016: Population updte. Data source: KBC
15/Jun/2016: Population update. Data source: monthly report by KBC
12/May/2016. Population update. Data source: KBC
28/Jan/2016. Population update. Data source: KBC
2/Dec/2015. Population update. Data source: KBC
25-Jun-15 Population update. Source: KBC
Population Update. Source: Save The Children.</t>
  </si>
  <si>
    <t>31/July/2018: Population update. Data source: KMSS_Lashio
30/June/2018: Population update. Data source: KMSS_Lashio
31/May/2018: Population update. Data source: KMSS_Lashio
10/May/2018: Population update. Data source: KMSS_Lashio
30/Apr/2018: Population update. Data source: KMSS_Lashio
27 Mar 2018: Population update. Data source: KMSS_Lashio.
5/Mar/2018:  Population update. Data source:KMSS_Lashio
12/Jan/2018: Population update. Data source:KMSS_Lashio
29/Jun/2017: Population update. Data source:KMSS_Lashio
24/Apr/2017: Population update. Data source:KMSS_Lashio
14/Feb/2017: Population update. Data source: KMSS_LSO
10/Jan/2017: Population update. Data source: KMSS_LSO
27/Oct/2016: Population update. Data source: KMSS_Lashio
1/Sep/2016: Population update. Data source: KMSS_LSO
14/Jul/2016: Population update. Data source: KMSS_LSO
28/Jan/2016. Population update. Data source: KMSS_LSO
19-Aug-15 (Population update. Source: KMSS-LSO)
25-Jun-15 (Population update. Source: KMSS-LSO)
Population update. Changed NGCA to GCA. Source: CCCM Unit</t>
  </si>
  <si>
    <t>Closed. Same with (Nam Hkam Catholic Church  St. Thomas II)</t>
  </si>
  <si>
    <t>31/July/2018: Population update. Data source: KBC
30/June/2018: Population update. Data source: KBC,
31/May/2018: Population update. Data source: KBC
30/Apr/2018: Population update. Data source: KBC
27/Mar/2018: Population update. Data source: KBC
5/Mar/2018: Population update. Data source: KBC
12/Jan/2018: Population update. Data source: KBC &amp; OCHA Lashio 
3/Jul/2017: Population update. Data source: KBC
2/June/2017: Population update. Data source: KBC
3/May/2017: Population update. Data source: KBC
24/Apr/2017: Population update. Data source: KBC and CCCM unit
15/Mar/2017: Population update. Data Source: KBC
24/Feb/2017: Population update. Data source: KBC
10/Jan/2017: Population update. Data source: KBC
21/Oct/2016: Population update. Data soure: KBC
9/Sep/2016. Population update. Data source:KBC.
18/Jul/2016: Population updte. Data source: KBC
15/Jun/2016: Population update. Data source: monthly report by KBC
15/Jun/2016: Population update. Data source: monthly report by KBC
12/May/2016. Population update. Data source: KBC
28/Jan/2016. Population update. Data source: KBC
2/Dec/2015. Population update. Data source: KBC
25-Jun-15 Population update. Source: KBC
Population Update. Source: Save The Children.</t>
  </si>
  <si>
    <t>31/July/2018: Population update. Data source: KMSS_Lashio
30/June/2018: Population update. Data source: KMSS_Lashio
31/May/2018: Population update. Data source: KMSS_Lashio
10/May/2018: Population update. Data source: KMSS_Lashio
30/Apr/2018: Population update. Data source: KMSS_Lashio
27 Mar 2018: Population update. Data source: KMSS_Lashio.
5/Mar/2018:  Population update. Data source:KMSS_Lashio
12/Jan/2018: Population update. Data source:KMSS_Lashio
CCCM activities start in july 2017</t>
  </si>
  <si>
    <t>31/July/2018: Population update. Data source: KBC
30/June/2018: Population update. Data source: KBC,
31/May/2018: Population update. Data source: KBC
30/Apr/2018: Population update. Data source: KBC
27/Mar/2018: Population update. Data source: KBC
5/Mar/2018: Population update. Data source: KBC
12/Jan/2018: Population update. Data source: KBC
3/Jul/2017: Namtu KBC 1(MMR015CMP230) and Namtu KBC 2 (MMR015CMP231) are already integrated into the old camp ( Nam Tu Baptist (MMR015CMP014)
2/June/2017: Population update. Data source: KBC
3/May/2017: Population update. Data source: KBC
24/Apr/2017: Population update. Data source: KBC and CCCM unit
15/Mar/2017: Population update. Data Source: KBC
24/Feb/2017: Population update. Data source: KBC
10/Jan/2017: Population update. Data source: KBC
21/Oct/2016: Population update. Data soure: KBC
9/Sep/2016. Population update. Data source:KBC.
18/Jul/2016: Population updte. Data source: KBC
15/Jun/2016: Population update. Data source: monthly report by KBC
12/May/2016. Population update. Data source: KBC
28/Jan/2016. Population update. Data source: KBC
2/Dec/2015. Population update. Data source: KBC
25-Jun-15 Population update. Source: KBC
Update population. Source: Camp Profile.</t>
  </si>
  <si>
    <t>18th - 19th May joint assessment of OCHA and UNHCR, population returned to place of origin. Location is closed. Change to Host Families. Source: Programme Unit.</t>
  </si>
  <si>
    <t>31/July/2018: Data Source (UNHCR-LSH)
6/June/2018: Data source ( DRC- NSS)
25/Jul/2016: Added as new camp according to KBC data.</t>
  </si>
  <si>
    <t>2/June/2017: Changed camp status as "Closed" according to UNHCR_Lashio information.
17-01-2017: New added camp. Missing data will be collected from partners and present in next Report.</t>
  </si>
  <si>
    <t>Comments form CCCM</t>
  </si>
  <si>
    <t>New camp June</t>
  </si>
  <si>
    <t>V41</t>
  </si>
  <si>
    <t>in active camps</t>
  </si>
  <si>
    <t>Ah Lay Yaw / Kar Di (Ah Le)</t>
  </si>
  <si>
    <t>Pyar</t>
  </si>
  <si>
    <t>Kar Di Har Yar</t>
  </si>
  <si>
    <t xml:space="preserve">Nga Saung Bet </t>
  </si>
  <si>
    <t>San Pay Hla</t>
  </si>
  <si>
    <t>San Thit Pyin</t>
  </si>
  <si>
    <t xml:space="preserve">Thin Ga Net </t>
  </si>
  <si>
    <t>Ponn Nar</t>
  </si>
  <si>
    <t>Kar Di (Middle)</t>
  </si>
  <si>
    <t>Kar Di Ha Yar</t>
  </si>
  <si>
    <t>Ngar Saung Bet</t>
  </si>
  <si>
    <t>Sabei Hla</t>
  </si>
  <si>
    <t>San Thar Pyin</t>
  </si>
  <si>
    <t>Thin Ga Net</t>
  </si>
  <si>
    <t>Pon Nar</t>
  </si>
  <si>
    <t>Mee Pho Kone</t>
  </si>
  <si>
    <t>1/Nov/2018: Population update. Data source: KMSS_Myitkyina
1/October/2018: Population update. Data source: KMSS_Myitkyina
31/August/2018: Population update. Data source: KMSS_Myitkyina
1/Aug/2018: Type of accommodation change from " Camp Like Setting to Camp". The camp will be managed by KMSS-M from August, 2018. The camp name also change from "Tanai RC Church - Kinsa Ra" to St. Joseph Tanai RC camp. 
31/July /2018: Population update. Data source: KMSS M
 30/June/2018: Population update. Data source: UNHCR/Cluster partners
30/May/2018: Population update. Data source: UNHCR/Cluster partners</t>
  </si>
  <si>
    <t xml:space="preserve">St. Joseph Tanai RC camp </t>
  </si>
  <si>
    <t>Information received from UNHCR PU remote monitoring tool that all the IDPs moved to nearby location ; Yartikaun; camp like setting changed from Opened to Closed on the date of 31 Aust 2018</t>
  </si>
  <si>
    <t>Closed_cccm2018Oct</t>
  </si>
  <si>
    <t>Galeng (Palaung) &amp; Kone Khem</t>
  </si>
  <si>
    <t>MMR015CMP212</t>
  </si>
  <si>
    <t>Galeng</t>
  </si>
  <si>
    <t>Q4_2018</t>
  </si>
  <si>
    <t>new camp added in 1/11/18</t>
  </si>
  <si>
    <t>1/Nov/2018: Changed camp status as "reopen", Data source: NSS Cluster Partners: Reopen as per NSS Cluster Partners confirm that the IDPs are staying in the location during Cluster Meeting. 
Close: Duplicate Camp (MMR015CMP015 - Kone Khem Camp) 21-Jan-14</t>
  </si>
  <si>
    <t>Hu Hku &amp; Ho Hko</t>
  </si>
  <si>
    <t>MMR015CMP250</t>
  </si>
  <si>
    <t>Pang Kai Pang Lawt</t>
  </si>
  <si>
    <t>new cam added in 1/11/2018. opening date is 20/4/2018 at CCCM</t>
  </si>
  <si>
    <t>closed_CCCM2018Oct</t>
  </si>
  <si>
    <t>No agency has visited since Jul/2016, KBC to follow up.
25/Jul/2016: Added as new camp according to KBC data/ all the hh stayed temporarily and returned to VoO in 2016; source of information: cluster meeting 15 Aug 2018. Lashio, by Metta, KBC, KMSS-L</t>
  </si>
  <si>
    <t xml:space="preserve">1/Nov/2018: Changed camp status as "reopen", Data source: NSS Cluster Partners: Reopen as per NSS Cluster Partners confirm that the IDPs are staying in the location during Cluster Meeting. 
Close: Duplicate Camp (MMR015CMP015 - Kone Khem Camp) 21-Jan-14.1/November/2018: Data Source: UNHCR-LSH and Partners
IDPs relocated from  Mai Yu Lay New (Ta'ang) ( MMR015CMP220) </t>
  </si>
  <si>
    <t>1/Nov/2018: Population update. Data source: KBC
1/October/2018: Population update. Data source: KBC
31/August/2018: Population update. Data source: KBC
31/July/2018: Population update. Data source: KBC
30/June/2018: Population update. Data source: KBC,
31/May/2018: Population update. Data source: KBC
30/Apr/2018: Population update. Data source: KBC
27/Mar/2018: Population update. Data source: KBC
5/Mar/2018: Population update. Data source: KBC
3/Jul/2017: Population update. Data source: KBC
2/June/2017: Population update. Data source: KBC
3/May/2017: Population update. Data source: KBC
24/Apr/2017: Population update. Data source: KBC and CCCM unit
15/Mar/2017: Population update. Data Source: KBC
24/Feb/2017: Population update. Data source: KBC
10/Jan/2017: Population update. Data source: KBC
21/Oct/2016: Population update. Data soure: KBC
9/Sep/2016. Population update. Data source:KBC.
18/Jul/2016: Population updte. Data source: KBC
15/Jun/2016: Population update. Data source: monthly report by KBC
12/May/2016. Population update. Data source: KBC
28/Jan/2016. Population update. Data source: KBC 
2/Dec/2015. Population update. Data source: KBC.
25-Jun-2015 Update population. Data Source: KBC
Population update: Source: Camp Profile Round 2.</t>
  </si>
  <si>
    <t>1/Nov/2018: Population update. Data source: KBC
1/October/2018: Population update. Data source: KBC
31/August/2018: Population update. Data source: KBC
31/July/2018: Population update. Data source: KBC
30/June/2018: Population update. Data source: KBC,
31/May/2018: Population update. Data source: KBC
30/Apr/2018: Population update. Data source: KBC
27/Mar/2018: Population update. Data source: KBC
5/Mar/2018: Population update. Data source: KBC
3/Jul/2017: Population update. Data source: KBC
2/June/2017: Population update. Data source: KBC
3/May/2017: Population update. Data source: KBC
24/Apr/2017: Population update. Data source: KBC and CCCM unit
15/Mar/2017: Population update. Data Source: KBC
24/Feb/2017: Population update. Data source: KBC
10/Jan/2017: Population update. Data source: KBC
21/Oct/2016: Population update. Data soure: KBC
9/Sep/2016. Population update. Data source:KBC.
18/Jul/2016: Population updte. Data source: KBC
12/May/2016. Population update. Data source: KBC
28/Jan/2016. Population update. Data source: KBC
2/Dec/2015. Population update. Data source: KBC
25-Jun-2015 Update population. Data Source: KBC
Update population according to KBC data</t>
  </si>
  <si>
    <t>1/Nov/2018: Population update. Data source: KMSS_Myitkyina
1/October/2018: Population update. Data source: KMSS_Myitkyina
31/August/2018: Population update. Data source: KMSS_Myitkyina
1/Aug/2018: Type of accommodation change from " Camp Like Setting to Camp". The camp will be managed by KMSS-M from August, 2018.
30/June /2018: Population update. Data source: UNHCR/Cluster partners
30/May/2018: Population update. Data source: UNHCR/Cluster partners
30/May/2018: Added as new camp</t>
  </si>
  <si>
    <t>1/Nov/2018: Population update. Data source: KMSS_Myitkyina
1/October/2018: Population update. Data source: KMSS_Myitkyina
31/August/2018: Population update. Data source: KMSS_Myitkyina
1/Aug/2018: Type of accommodation change from " Camp Like Setting to Camp". The camp will be managed by KMSS-M from August, 2018.
31/July /2018: Population update. Data source: KMSS M
30/June /2018: Population update. Data source: UNHCR/Cluster partners
30/May/2018: Population update. Data source: UNHCR/Cluster partners
30/May/2018: Added as new camp</t>
  </si>
  <si>
    <t>1/Nov/2018: Population update. Data source: KBC
1/October/2018: Population update. Data source: KBC
31/August/2018: Population update. Data source: KBC
31/July/2018: Population update. Data source: KBC
30/June/2018: Population update. Data source: KBC,
31/May/2018: Population update. Data source: KBC
30/Apr/2018: Population update. Data source: KBC
27/Mar/2018: Population update. Data source: KBC
5/Mar/2018: Population update. Data source: KBC
3/Jul/2017: Population update. Data source: KBC
2/June/2017: Population update. Data source: KBC
3/May/2017: Population update. Data source: KBC
24/Apr/2017: Population update. Data source: KBC and CCCM unit
15/Mar/2017: Population update. Data Source: KBC
24/Feb/2017: Population update. Data source: KBC
10/Jan/2017: Population update. Data source: KBC
21/Oct/2016: Population update. Data soure: KBC
9/Sep/2016. Population update. Data source:KBC.
18/Jul/2016: Population updte. Data source: KBC
15/Jun/2016: Population update. Data source: monthly report by KBC
12/May/2016. Population update. Data source: KBC
28/Jan/2016. Population update. Data source: KBC 
13/Dec/2014. Population update. Data source: Mail by Ko Maran. Reason for Pop changes: Following September 2016 conflict there was sudden increase of IDP pp in Mansi and Mahkawng
2/Dec/2015. Population update. Data source: KBC
2-Oct-14 Population update (New arrival). Data source: NFI distribution list from Bhamo.
19-Aug-15 Population update. Source: KBC.
25-Jun-15 Population update. Source: KBC
Population update: Source: Camp Profile Round 2.</t>
  </si>
  <si>
    <t>31/August /2018: Population update. Data source: KMSS M;Remaining IDPs voluntarily moved to PaMaTi area
30/June /2018: Population update. Data source: UNHCR/Cluster partners
30/May/2018: Population update. Data source: UNHCR/Cluster partners
21/May/2018: Added as new camp. Data source: MIRA (Multi Sector Assessment Team)</t>
  </si>
  <si>
    <t>1/Nov/2018: Population update. Data source: KMSS_Myitkyina
1/October/2018: Population update. Data source: KMSS_Myitkyina
31/August/2018: Population update. Data source: KMSS_Myitkyina
1/Aug/2018: Type of accommodation change from " Camp Like Setting to Camp". The camp will be managed by KMSS-M from August, 2018.
31/July /2018: Population update. Data source: KMSS M
30/June /2018: Population update. Data source: UNHCR/Cluster partners
30/May/2018: Population update. Data source: UNHCR/Cluster partners
21/May/2018: Added as new camp. Data source: MIRA (Multi Sector Assessment Team)</t>
  </si>
  <si>
    <t>1/Nov/2018: Population update. Data source: KBC
1/October/2018: Population update. Data source: KBC
31/August/2018: Population update. Data source: KBC
31/July /2018: Camp Status change to Camp from Camp Like Setting ( KBC covers as CMA from July 2018)
31/July /2018: Population update. Data source: KBC
5/July/2018: The camp name “ Lan Gwa KBC Church) change to Namti Labraw Yang KBC camp)  As per KBC email sent on Thu 7/5/2018 5:47 PM by PC KBC- HDD 
30/June /2018: Population update. Data source: UNHCR/Cluster partners
30/May/2018: Population update. Data source: UNHCR/Cluster partners
21/May/2018: Added as new camp. Data source: MIRA (Multi Sector Assessment Team)</t>
  </si>
  <si>
    <t>1/Nov/2018: Population update. Data source: KBC
1/October/2018: Population update. Data source: KBC
31/August/2018: Population update. Data source: KBC
31/July/2018: Population update. Data source: KBC
30/June/2018: Population update. Data source: KBC,
31/May/2018: Population update. Data source: KBC
30/Apr/2018: Population update. Data source: KBC
27/Mar/2018: Population update. Data source: KBC
5/Mar/2018: Population update. Data source: KBC
3/Jul/2017: Population update. Data source: KBC
2/June/2017: Population update. Data source: KBC
3/May/2017: Population update. Data source: KBC
24/Apr/2017: Population update. Data source: KBC and CCCM unit
15/Mar/2017: Population update. Data Source: KBC
24/Feb/2017: Population update. Data source: KBC
10/Jan/2017: Population update. Data source: KBC
21/Oct/2016: Population update. Data soure: KBC
9/Sep/2016. Population update. Data source:KBC.
18/Jul/2016: Population updte. Data source: KBC
18/Jul/2016: Population updte. Data source: KBC
15/Jun/2016: Population update. Data source: monthly report by KBC
12/May/2016. Population update. Data source: KBC
28/Jan/2016. Population update. Data source: KBC 
2/Dec/2015. Population update. Data source: KBC.
19-Aug-15 Population update. Source: KBC.
25-Jun-15 Population update. Source: KBC
Update population according to KBC data</t>
  </si>
  <si>
    <t>1/Nov/2018: Population update. Data source: KBC
1/October/2018: Population update. Data source: KBC
31/August/2018: Population update. Data source: KBC
31/July /2018: Camp Status change to Camp from Camp Like Setting ( KBC covers as CMA from July 2018)
31/July /2018: Population update. Data source: KBC
5/July/2018: The camp name “Nawng Nan, Jaw Ma Sat KBC Church) change to Jaw Masat Camp)  As per KBC email sent on Thu 7/5/2018 5:47 PM by PC KBC- HDD 
30/June /2018: Population update. Data source: UNHCR/Cluster partners
30/May/2018: Population update. Data source: UNHCR/Cluster partners
30/May/2018: Added as new camp</t>
  </si>
  <si>
    <t xml:space="preserve">1/Nov/2018: Population update. Data source: KMSS_Myitkyina
1/October/2018: Population update. Data source: KMSS_Myitkyina
31/August/2018: Population update. Data source: KMSS_Myitkyina
1/Aug/2018: Type of accommodation change from " Camp Like Setting to Camp". The camp will be managed by KMSS-M from August, 2018.
31/July /2018: Population update. Data source: KMSS M
5/Mar/2018: Population update. Data source:  Camp manager 
New displacement from Tingkawk
</t>
  </si>
  <si>
    <t>1/Nov/2018: Population update. Data source: KBC
1/October/2018: Population update. Data source: KBC
31/August/2018: Population update. Data source: KBC
31/July/2018: Population update. Data source: KBC
30/June/2018: Population update. Data source: KBC,
31/May/2018: Population update. Data source: KBC
30/Apr/2018: Population update. Data source: KBC
27/Mar/2018: Population update. Data source: KBC
27/Mar/2018: Population update. Data source: KBC
5/Mar/2018: Population update. Data source: KBC
3/Jul/2017: Population update. Data source: KBC
2/June/2017: Population update. Data source: KBC
3/May/2017: Population update. Data source: KBC
24/Apr/2017: Population update. Data source: KBC and CCCM unit
15/Mar/2017: Population update. Data Source: KBC
24/Feb/2017: Population update. Data source: KBC
10/Jan/2017: Population update. Data source: KBC
21/Oct/2016: Population update. Data soure: KBC
9/Sep/2016. Population update. Data source:KBC.
18/Jul/2016: Population updte. Data source: KBC
15/Jun/2016: Population update. Data source: monthly report by KBC
12/May/2016. Population update. Data source: KBC
28/Jan/2016. Population update. Data source: KBC
2/Dec/2015. Population update. Data source: KBC.
19-Aug-15 Update population from KBC.
25-Jun-2015 Update population from KBC.
Update population according to KBC data</t>
  </si>
  <si>
    <t>1/Nov/2018: Population update. Data source: KMSS_Myitkyina
1/October/2018: Population update. Data source: KMSS_Myitkyina
31/August/2018: Population update. Data source: KMSS_Myitkyina
1/Aug/2018: Type of accommodation change from " Camp Like Setting to Camp". The camp will be managed by KMSS-M from August, 2018.
31/July /2018: Population update. Data source: KMSS M
6/1/2018: Added as new camp (Camp Like Setting).</t>
  </si>
  <si>
    <t>31/August/2018: Population update. Data source: KMSS_Myitkyina
31/July /2018: Population update. Data source: UNHCR
30/June /2018: Population update. Data source: UNHCR/Cluster partners
30/May/2018: Population update. Data source: UNHCR/Cluster partners
21/May/2018: Added as new camp. Data source: MIRA (Multi Sector Assessment Team)</t>
  </si>
  <si>
    <t>1/Nov/2018: Population update. Data source: KBC
1/October/2018: Population update. Data source: KBC
31/August/2018: Population update. Data source: KBC
31/July /2018: Camp Status change to Camp from Camp Like Setting ( KBC covers as CMA from July 2018)
31/July /2018: Population update. Data source: KBC
5/July/2018: The camp name “ Trinity KBC Church) change to Trinity camp)  As per KBC email sent on Thu 7/5/2018 5:47 PM by PC KBC- HDD 
30/June /2018: Population update. Data source: UNHCR/Cluster partners
30/May/2018: Population update. Data source: UNHCR/Cluster partners
21/May/2018: Added as new camp. Data source: MIRA (Multi Sector Assessment Team)</t>
  </si>
  <si>
    <t>1/Nov/2018: Population update. Data source: KMSS_Myitkyina
1/October/2018: Population update. Data source: KMSS_Myitkyina
31/August/2018: Population update. Data source: KMSS_Myitkyina
31/July /2018: Population update. Data source: KMSS M</t>
  </si>
  <si>
    <t xml:space="preserve">1/Nov/2018: Population update. Data source: KBC
1/October/2018: Population update. Data source: KBC
31/August/2018: Population update. Data source: KBC
31/July/2018: Population update: Data Source: KBC ( The camp status change to Camp from Camp like setting as KBC covers as CMA from July 2018
5/July/2018: The camp name “ Tanail KBC Church) change to Tanai KBC camp  As per KBC email sent on Thu 7/5/2018 5:47 PM by PC KBC- HDD </t>
  </si>
  <si>
    <t>1/Nov/2018: Population update. Data source: KBC
1/October/2018: Population update. Data source: KBC
31/August/2018: Population update. Data source: KBC
31/July/2018: Population update. Data source: KBC
30/June/2018: Population update. Data source: KBC,
31/May/2018: Population update. Data source: KBC
30/Apr/2018: Population update. Data source: KBC
27/Mar/2018: Population update. Data source: KBC
5/Mar/2018: Population update. Data source: KBC
3/Jul/2017: Population update. Data source: KBC
2/June/2017: Population update. Data source: KBC
3/May/2017: Population update. Data source: KBC
24/Apr/2017: Population update. Data source: KBC and CCCM unit
15/Mar/2017: Population update. Data Source: KBC
24/Feb/2017: Population update. Data source: KBC
10/Jan/2017: Population update. Data source: KBC
21/Oct/2016: Population update. Data soure: KBC
9/Sep/2016. Population update. Data source:KBC.
18/Jul/2016: Population updte. Data source: KBC
15/Jun/2016: Population update. Data source: monthly report by KBC
12/May/2016. Population update. Data source: KBC
28/Jan/2016. Population update. Data source: KBC
2/Dec/2015 (Population update. Data source: Monthly report by KBC).
19-Aug-15 Update population from KBC
25-Jun-2015 Update population. Data Source: KBC
Update population according to KBC data</t>
  </si>
  <si>
    <t>1/Nov/2018: Population update. Data source: KBC
1/October/2018: Population update. Data source: KBC
31/August/2018: Population update. Data source: KBC
31/July/2018: Population update. Data source: KBC
30/June/2018: Population update. Data source: KBC,
31/May/2018: Population update. Data source: KBC
30/Apr/2018: Population update. Data source: KBC
27/Mar/2018: Population update. Data source: KBC
5/Mar/2018: Population update. Data source: KBC
3/Jul/2017: Population update. Data source: KBC
2/June/2017: Population update. Data source: KBC
3/May/2017: Population update. Data source: KBC
24/Apr/2017: Population update. Data source: KBC and CCCM unit
15/Mar/2017: Population update. Data Source: KBC
24/Feb/2017: Population update. Data source: KBC
24/Feb/2017: Population update. Data source: KBC
10/Jan/2017: Population update. Data source: KBC
21/Oct/2016: Population update. Data soure: KBC
9/Sep/2016. Population update. Data source:KBC.
18/Jul/2016: Population updte. Data source: KBC
15/Jun/2016: Population update. Data source: monthly report by KBC
12/May/2016. Population update. Data source: KBC
28/Jan/2016. Population update. Data source: KBC 
2/Dec/2015 (Population update. Data source: Monthly report by KBC).
19-Aug-15 Update population from KBC
25-Jun-2015 Update population. Data Source: KBC
Update population according to KBC data</t>
  </si>
  <si>
    <t>1/Nov/2018: Population update. Data source: KBC
1/October/2018: Population update. Data source: KBC
31/August/2018: Population update. Data source: KBC
31/July/2018: Population update. Data source: KBC
30/June/2018: Population update. Data source: KBC,
31/May/2018: Population update. Data source: KBC
30/Apr/2018: Population update. Data source: KBC
27/Mar/2018: Population update. Data source: KBC
5/Mar/2018: Population update. Data source: KBC
3/Jul/2017: Population update. Data source: KBC
6/June/2017: Added as new camp instead of Zai Awng - Mung Ga Zup camp because of the conflict on Dec, 2016. So IDPs ( from Zai Awng - Mung Ga Zup ) flew to Lung Byen. They stay awhile at Lung Byen and then they moved to Shait Yang on 17 Jan 2017. Changed the camp name as "Shait Yan</t>
  </si>
  <si>
    <t>1/Nov/2018: Population update. Data source: KBC
1/October/2018: Population update. Data source: KBC
31/August/2018: Population update. Data source: KBC
31/July/2018: Population update. Data source: KBC
30/June/2018: Population update. Data source: KBC,
31/May/2018: Population update. Data source: KBC
30/Apr/2018: Population update. Data source: KBC
27/Mar/2018: Population update. Data source: KBC
5/Mar/2018: Population update. Data source: KBC
3/Jul/2017: Population update. Data source: KBC
2/June/2017: Population update. Data source: KBC
3/May/2017: Population update. Data source: KBC
24/Apr/2017: Population update. Data source: KBC and CCCM unit
15/Mar/2017: Population update. Data Source: KBC
24/Feb/2017: Population update. Data source: KBC
10/Jan/2017: Population update. Data source: KBC
21/Oct/2016: Population update. Data soure: KBC
9/Sep/2016. Population update. Data source:KBC.
18/Jul/2016: Population updte. Data source: KBC
15/Jun/2016: Population update. Data source: monthly report by KBC
12/May/2016. Population update. Data source: KBC
28/Jan/2016. Population update. Data source: KBC 
25-Jun-2015 Update population. Data Source: KBC
Changed NGCA to GCA. Source: Programme Unit.</t>
  </si>
  <si>
    <t>1/Nov/2018: Population update. Data source: KBC
1/October/2018: Population update. Data source: KBC
31/August/2018: Population update. Data source: KBC
31/July /2018: Camp Status change to Camp from Camp Like Setting ( KBC covers as CMA from July 2018)
31/July /2018: Population update. Data source: KBC
5/July/2018: The camp name change Bethela KBC church to  Waimaw Baptist Zonal Offie 2 As per KBC email sent on Thu 7/5/2018 5:47 PM by PC KBC- HDD 
30/June /2018: Population update. Data source: UNHCR/Cluster partners
30/May/2018: Population update. Data source: UNHCR/Cluster partners
30/May/2018: Added as new camp</t>
  </si>
  <si>
    <t>1/Nov/2018: Population update. Data source: KMSS_Myitkyina
1/October/2018: Population update. Data source: KMSS_Myitkyina
31/August/2018: Population update. Data source: KMSS_Myitkyina ( Number of household and population was increase in July ( +9HHs/45pax ). Living in host community. This families came from Maga Yang and Sha It Yang along with their children who have to attend the high School in Laiza which is nearby Woi Chyai) 
31/July/2018: Population update. Data source: KMSS_Myitkyina
30/June/2018: Population update. Data source: KMSS_Myitkyina
31/May/2018: Population update. Data source: KMSS_Myitkyina
10/May/2018: Population update. Data source: KMSS_Myitkyina
30/Apr/2018: Population update. Data source: KMSS_Myitkyina
27/Mar/2018: Population update. Data source: KMSS_Myitkyina
12/Jan/2018: Pop update. Data source: KMSS_Myitkyina
29/June/2017: Pop update. Data source: KMSS_Myitkyina
2/June/2017: Pop update. Data source: KMSS_Myitkyina
3/May/2017: Pop update. Data source: KMSS_Myitkyina
24/Apr/2017: Pop update. Data source: KMSS_Myitkyina
14/Feb/2017: Population update. Data source: KMSS_Myitkyina
10/Jan/2017: Population update. Data source: KMSS_Myitkyina
21/Oct/2016: Population update. Data source: KMSS_Myitkyina
1/Sep/2016: population update. Data source: KMSS_Myitkyina
14/Jul/2016: Population update. Data Source:KMSS_Myitkyina
16/Jun/2016. Population update. Data source: monthly report from KMSS_MYT
10/May/2016. Population update. Data source:KMSS
16/Feb/2016. HH and Pop correction
28/Jan/2016. Population update. Data source: KBC 
2/Dec/2015 (Population update. Data source: Monthly report by KMSS_MYT). Reason for pop changes; Travelling from the camp for daily work.
23-Oct-15 (Population update. Data sorce: Monthly report by KMSS-MYT). Reason for changes; Arrived from daily work.
2-Oct-15 (Population update. Data Source: Monthly report by KMSS-MYT)
19-Aug-15 (Population update: Data Source: KMSS-MYT)
25-Jun-15 (Population update. Source: IRRC)
Population Update. Source: KMSS-MYT</t>
  </si>
  <si>
    <t>ECHO, OFDA, MHF</t>
  </si>
  <si>
    <t>CDA</t>
  </si>
  <si>
    <t>Pyin Hpyu Maw</t>
  </si>
  <si>
    <t>newly added in Q4 2018</t>
  </si>
  <si>
    <t>Ba laung Chaung</t>
  </si>
  <si>
    <t>Thin Pyin</t>
  </si>
  <si>
    <t>Kauk Kyaing</t>
  </si>
  <si>
    <t>Pone Sar</t>
  </si>
  <si>
    <t>Aung Zay Ya</t>
  </si>
  <si>
    <t>Pyeing Chaung</t>
  </si>
  <si>
    <t>CDN - newly added in Q4</t>
  </si>
  <si>
    <t>Than Pyin</t>
  </si>
  <si>
    <t>Kauk Kyit</t>
  </si>
  <si>
    <t>Pon Sar</t>
  </si>
  <si>
    <t>OXSI (Oxfam)</t>
  </si>
  <si>
    <t>OXSI (SI)</t>
  </si>
  <si>
    <t>Khaung Doke Khar 1</t>
  </si>
  <si>
    <t>Khaung Doke Khar 2 (Hmanzi)</t>
  </si>
  <si>
    <t>Phwe Yar Kone (Say Tha Mar Gyi)</t>
  </si>
  <si>
    <t>CCCM_2018Dec</t>
  </si>
  <si>
    <t>4W Activities (2019)</t>
  </si>
  <si>
    <t>Activity
Measurement</t>
  </si>
  <si>
    <t>Output
Measurement</t>
  </si>
  <si>
    <t>State
(Rakhine, Kachin-Shan, All)</t>
  </si>
  <si>
    <t>Reporting period</t>
  </si>
  <si>
    <t>All</t>
  </si>
  <si>
    <t>WASH project agency</t>
  </si>
  <si>
    <t>Name of WASH program agency (program agency and implementing agency may be the same)</t>
  </si>
  <si>
    <t>WASH implementing agency</t>
  </si>
  <si>
    <t>Name of WASH implementing agency (program agency and implementing agency may be the same)</t>
  </si>
  <si>
    <t>Donors</t>
  </si>
  <si>
    <t>Named from Myanmar national naming conventions</t>
  </si>
  <si>
    <t>Site type (camp or village)</t>
  </si>
  <si>
    <t>The site may be either a CCCM registered camp or a village</t>
  </si>
  <si>
    <t xml:space="preserve">Site name </t>
  </si>
  <si>
    <t>All camp names need to be aligned with CCCM naming conventions</t>
  </si>
  <si>
    <t>Project start date</t>
  </si>
  <si>
    <t>Current project start date</t>
  </si>
  <si>
    <t>Project end date</t>
  </si>
  <si>
    <t>Current project end date</t>
  </si>
  <si>
    <t>Person work days lost due to access restrictions to the site</t>
  </si>
  <si>
    <t>Is there a WASH focal point/team included in the camp management structure?</t>
  </si>
  <si>
    <t>drop down
(Yes, No)</t>
  </si>
  <si>
    <t>Number of men on camp WASH team</t>
  </si>
  <si>
    <t>Number of women on camp WASH team</t>
  </si>
  <si>
    <t>Estimate liters/person/day</t>
  </si>
  <si>
    <t>HRP1: Percentage of women, men, boys and girls benefitting from safe/improved drinking water, meeting demand for domestic purposes, at minimum/agreed standards</t>
  </si>
  <si>
    <t>HRP 1 (unimproved sources)</t>
  </si>
  <si>
    <t>HRP  (unimproved sources)</t>
  </si>
  <si>
    <t>HRP 2 (latrine X 20 ppl)</t>
  </si>
  <si>
    <t>HRP 2 (latrine X 6 ppl)</t>
  </si>
  <si>
    <t xml:space="preserve">HRP2: Percentage of targeted women, men, boys and girls benefitting from a functional excreta disposal system, reducing safety/public health/environmental risks
</t>
  </si>
  <si>
    <t>V42</t>
  </si>
  <si>
    <t>V43</t>
  </si>
  <si>
    <t>V44</t>
  </si>
  <si>
    <t>V45</t>
  </si>
  <si>
    <t>HRP 2 (Latrine X 20 ppl)</t>
  </si>
  <si>
    <t>V46</t>
  </si>
  <si>
    <t>V47</t>
  </si>
  <si>
    <t>V48</t>
  </si>
  <si>
    <t>V49</t>
  </si>
  <si>
    <t>V50</t>
  </si>
  <si>
    <t>V51</t>
  </si>
  <si>
    <t>V52</t>
  </si>
  <si>
    <t>V53</t>
  </si>
  <si>
    <t>V54</t>
  </si>
  <si>
    <t>V55</t>
  </si>
  <si>
    <t>V56</t>
  </si>
  <si>
    <t>V57</t>
  </si>
  <si>
    <t>HRP 3 (1:100 HHs)</t>
  </si>
  <si>
    <t>HRP35 (1:100 HHs)</t>
  </si>
  <si>
    <t>HRP3: Percentage of targeted women, men, boys and girls benefitting from timely/adequate/tailored personal hygiene items and receiving appropriate/ community tailored messages that enable health seeking behavior</t>
  </si>
  <si>
    <t>V58</t>
  </si>
  <si>
    <t>V59</t>
  </si>
  <si>
    <t>HRP 3 (11ks / HH / Qtr)</t>
  </si>
  <si>
    <t>V60</t>
  </si>
  <si>
    <t>HRP 3 (45 sanitary pads / menstrating age female / HH / quater)</t>
  </si>
  <si>
    <t>V61</t>
  </si>
  <si>
    <t>V62</t>
  </si>
  <si>
    <t>V63</t>
  </si>
  <si>
    <t>2019 HRP Calculation</t>
  </si>
  <si>
    <t xml:space="preserve">HRP 2019 Indicators </t>
  </si>
  <si>
    <t>Percentage of women, men, boys and girls benefitting from safe/improved drinking water, meeting demand for domestic purposes, at minimum/agreed standards</t>
  </si>
  <si>
    <t>Percentage of people per safe/improved water source</t>
  </si>
  <si>
    <t>Percentage of targeted women, men, boys and girls benefitting from a functional excreta disposal system, reducing safety/public health/environmental risks</t>
  </si>
  <si>
    <t>#_ paid camp based WASH skilled labor</t>
  </si>
  <si>
    <t>#_paid camp based unskilled WASH unskilled labor</t>
  </si>
  <si>
    <t>#_men on camp WASH team</t>
  </si>
  <si>
    <t>#_women on camp WASH team</t>
  </si>
  <si>
    <t>Camp figures is needed to align with CCCM</t>
  </si>
  <si>
    <t>Site information</t>
  </si>
  <si>
    <t>Project Duration</t>
  </si>
  <si>
    <t>WASH Partner &amp; Donor information</t>
  </si>
  <si>
    <t>2019_Q1</t>
  </si>
  <si>
    <t>2019_Q2</t>
  </si>
  <si>
    <t>2019_Q3</t>
  </si>
  <si>
    <t>2019_Q4</t>
  </si>
  <si>
    <t>2019 HRP Indicators</t>
  </si>
  <si>
    <t>Number of students with equitable access to functioing school latrines</t>
  </si>
  <si>
    <t>အစီရင္ခံစာ ေပးပို႔သည္႔ကာလ</t>
  </si>
  <si>
    <t xml:space="preserve">အဖြဲ႔အစည္းအမည္ </t>
  </si>
  <si>
    <t>စခန္းတြင္သြားေရာက္ ေထာက္ပံ႔ေသာ အဖြဲ႔အစည္းအမည္</t>
  </si>
  <si>
    <t>အလွဴရွင္ အမည္</t>
  </si>
  <si>
    <t xml:space="preserve">ျပည္နယ္ </t>
  </si>
  <si>
    <t>ျမိဳ႔နယ္</t>
  </si>
  <si>
    <t>စခန္း အမ်ိဳးအစား ( ယာယီ စခန္း ၊ ယာယီမဟုတ္ေသာ စခန္း )</t>
  </si>
  <si>
    <t>စခန္းအမည္ ( စခန္းစီမံခန္႔ခြဲေရးေကာ္မတီမွ ေပးေသာ နာမည္ )</t>
  </si>
  <si>
    <t>စီမံကိန္းစတင္သည္႔ေန႔</t>
  </si>
  <si>
    <t>စီမံကိန္း ျပီးဆံုးမည္႔ေန႔</t>
  </si>
  <si>
    <t>စခန္းအတြင္း WASH ႏွင့္ သက္ဆိုင္ေသာ လုပ္ငန္းမ်ားလုပ္ေဆာင္ရန္ အဖြဲ႕အစည္းမွ အခေၾကးေငြျဖင့္ခန္႔ထားေသာ (က်ြမ္းက်င္)၀န္ထမ္း  အေရအတြက္</t>
  </si>
  <si>
    <t>စခန္းအတြင္း အဖြဲ႕အစည္းမွ အခေၾကးေငြျဖင့္ခန္႔ထားေသာ (အေထြေထြလုပ္သား) WASH ၀န္ထမ္း အေရအတြက္</t>
  </si>
  <si>
    <t>စခန္းအတြင္း WASH ႏွင့္ သက္ဆိုင္ေသာ လုပ္ငန္းမ်ားလုပ္ေဆာင္ရန္ အဖြဲ႕အစည္းမွ အခေၾကးေငြျဖင့္ခန္႔ထားေသာ (အေထြေထြလုပ္သား)၀န္ထမ္း  အေရအတြက္</t>
  </si>
  <si>
    <t>သြားလာခြင့္ အကန္႔အသတ္မ်ားေၾကာင့္ လုပ္ငန္း ရပ္တန္႔ေနေသာ ရက္မ်ား</t>
  </si>
  <si>
    <t>သြားလာခြင့္ အကန္႔အသတ္မ်ားေၾကာင့္အလုပ္သမားမ်ား  လုပ္ငန္း ရပ္တန္႔ေနေသာ ရက္မ်ား ( စုစုေပါင္းအလုပ္နားရက္)</t>
  </si>
  <si>
    <t>WASH ေကာ္မတီသည္ စခန္းဧ။္  စီမံခန္႔ခြဲမွု အဖြဲ႔တြင္ပါ၀င္မွုရွိသလား</t>
  </si>
  <si>
    <t>စခန္း ဧ။္ WASH အဖြဲ႔တြင္ ပါ၀င္ေသာ အမ်ိဴးသား ဦးေရ</t>
  </si>
  <si>
    <t>စခန္း ဧ။္ WASH အဖြဲ႔တြင္ ပါ၀င္ေသာ အမ်ိဴးသမီး ဦးေရ</t>
  </si>
  <si>
    <t>ေရ သယ္ယူေထာက္ပံ႔ျခင္းလုပ္ငန္း ( ကားျဖင္႔ (သို႔မဟုတ္) ေလွျဖင္႔ )</t>
  </si>
  <si>
    <t xml:space="preserve">ေရျပတ္လပ္ေသာလ တြင္ စံခ်ိန္ စံညြန္း ႏွင္႔ အညီ ေထာက္ပံ႔ ေပးခဲ႔ ေသာ ေရ လီတာေပါင္း ( လူတစ္ဦး အတြက္ တစ္ရက္လွ်င္ အနည္းဆံုး ၇.၅ လီတာ ခန္႔ ) </t>
  </si>
  <si>
    <t>e.coli ပိုးရွိ မရွိ စစ္ေဆးထားေသာ္လဲ ေျမေရစစ္အိုးျဖင္႔ မေသာက္သံုးပါ က ကာရံထားေသာ ေရ ကန္ ၊ ေရအိုင္မွေရအား သန္႔ရွင္းေသာ ေသာက္သံုးေရ ဟုမဆိုနိုင္ပါ။</t>
  </si>
  <si>
    <t>ေရႏွင္႔ ပါတ္သက္ျပီး ထပ္မံျဖည္႔စြက္လိုေသာ အေၾကာင္းအရာရွိပါက ျဖည္႔ရန္</t>
  </si>
  <si>
    <t>မိသားစု မ်ားမွ မိမိတို႔ကိုယ္တိုင္ စီမံခန္႔ခြဲ ႏိုင္ေသာ အိမ္သာအျဖစ္ လံုးဝလြဲေျပာင္းျပီးေသာ အိမ္သာ အေရအတြက္</t>
  </si>
  <si>
    <t>ေကာင္းမြန္ေသာ စံမံခန္႔ခြဲမႈရွိေသာ အမိႈက္သိမ္းစနစ္ ရွိပါသလား ( အမိႈက္မီးရွိဳ႕ စက္ ၊ အမိႈက္ကားျဖင္႔ သိမ္းစနစ္ ၊ လူထုမွ ကိုယ္တိုင္သန္႔ရွင္းေရးစနစ္ )</t>
  </si>
  <si>
    <t>ေကာင္းမြန္ေသာ စံမံခန္႔ခြဲမႈရွိေသာ အမိႈက္သိမ္းစနစ္ ရွိပါသလား ( အမိႈက္မီးရွိဳ႕ စက္ ၊ အမိႈက္ကားျဖင္႔ သိမ္းစနစ္ ၊ လူထုမွ အမိႈက္ပံုးမ်ားျဖင္႔  ကိုယ္တိုင္သန္႔ရွင္းေရးစနစ္ )</t>
  </si>
  <si>
    <t>ေကာင္းမြန္ေသာ ေရဆိုးထုတ္ ေျမာင္းစနစ္ ရွိပါသလား ( စခန္းအတြင္းေရအိုင္မ်ားမရွိျခင္း ၊ ျခင္ေပါက္ပြားမႈမရွိျခင္း၊  ေရဆိုးမ်ားပိတ္ဆို႔မႈမရွိဘဲ အၿမဲစီးဆင္းေနေသာ ေရေျမာင္းစနစ္အားဆိုလိုပါသည္။ )</t>
  </si>
  <si>
    <t xml:space="preserve">ကေလးသံုးအိမ္သာ အေရအတြက္ </t>
  </si>
  <si>
    <t>ကေလးသံုး အိမ္သာစုစုေပါင္း ( တံခါး အေရအတြက္အတိုင္း ေကာက္ယူပါမည္)</t>
  </si>
  <si>
    <t>မသန္စြမ္း ႏွင္႔ သက္ၾကီးရြယ္အိုမ်ားအသံုးျပဳႏိုင္ေသာ အိမ္သာ အေရအတြက္</t>
  </si>
  <si>
    <t>မသန္စြမ္း ႏွင္႔ သက္ၾကီးရြယ္အိုမ်ားအသံုးျပဳႏိုင္ေသာ အိမ္သာစုစုေပါင္း (  တံခါး အေရအတြက္အတိုင္း ေကာက္ယူပါမည္)</t>
  </si>
  <si>
    <t>မိလႅာသန္႔ရွင္းႏွင္႔ပါတ္သက္ျပီး ထပ္မံျဖည္႔စြက္လိုေသာ အေၾကာင္းအရာရွိပါက ျဖည္႔ရန္</t>
  </si>
  <si>
    <t>ထပ္မံျဖည္႔စြက္လိုေသာ အေၾကာင္းအရာရွိပါက ျဖည္႔ရန္</t>
  </si>
  <si>
    <t>စခန္းအတြင္းရွိ လက္ေဆးစင္ အေရအတြက္</t>
  </si>
  <si>
    <t>စခန္းအတြင္းရွိအသံုးျပဳရေသာ ( ေရႏွင္႔ ဆပ္ျပာရွိျပီး ပိုက္ေခါင္းမ်ား ေကာင္းေသာ) လက္ေဆးစင္ အေရအတြက္</t>
  </si>
  <si>
    <t>စခန္းအတြင္းရွိ မိသားစုသံုး သီးသန္႔ ေရခ်ိဳးခန္း အေရအတြက္</t>
  </si>
  <si>
    <t>စခန္းအတြင္အမ်ိဳးသမီး အမ်ိဳးသားခြဲထားေသာေကာင္းမြန္ေသာ အမ်ားသံုး ေရခ်ိဳးခန္း အေရအတြက္</t>
  </si>
  <si>
    <t>စခန္းအတြင္အမ်ိဳးသမီး အမ်ိဳးသားခြဲထားေသာ အမ်ားသံုး ေရခ်ိဳးခန္း အေရအတြက္ ( တံခါးမ်ားေကာင္းမြန္ျခင္း ၊ လံုျခံဳစိတ္ခ်မႈ႔ရွိျခင္း ၊ ေရစီးေရလာေကာင္းမြန္ျခင္း )</t>
  </si>
  <si>
    <t>စခန္းအတြင္းရွိ က်န္းမာေရး ၊ သန္႔ရွင္းေရး ျမွင္႔တင္ေရး လုပ္အားေပးဝန္ထမ္း-အမ်ိဳးသမီး  ( အဖြဲ႔အစည္းမ်ားမွ လုပ္အားဂုဏ္ျပဳေငြသို႔မဟုတ္ ၊ အေထာက္အပ႔ံ ရရွိေသာသူ) အေရအတြက္</t>
  </si>
  <si>
    <t>တစ္လလွ်င္ လူတစ္ဦး ရသင္႔ေသာ စံခ်ိန္စံညြန္းအတိုင္း ဆပ္ျပာ ရရွိေသာ အိမ္ေထာင္စု</t>
  </si>
  <si>
    <t>တစ္လလွ်င္ လူတစ္ဦး ရသင္႔ေသာ စံခ်ိန္စံညြန္းအတိုင္း အမ်ိဳးသမီးလစဥ္သံုး ပစၥည္း ရရွိေသာ အိမ္ေထာင္စု</t>
  </si>
  <si>
    <t>ယာယီစာသင္ေက်ာင္းေဆာင္တြင္ လက္ေဆးရန္လိုအပ္ေသာ ဆပ္ျပာရွိပါသလား ( ရွိ ၊ မရွိ ) သာေျဖရန္</t>
  </si>
  <si>
    <t>တကိုယ္ရည္သန္႔ရွင္းေရးျမွင္႔ တင္ျခင္းလုပ္ငန္းႏွင္႔ပါတ္သက္ျပီးထပ္မံျဖည္႔စြက္လိုပါက ထပ္ထည္႔ရန္</t>
  </si>
  <si>
    <t xml:space="preserve">စခန္းအတြင္းရွိ အဝီစီတြင္း ( တြင္းတိမ္ / တြင္းနက္ ) ႏွင္႔ လက္နိွပ္တံုကင္မ်ား သည္ အျခားေသာ ပုဂၢလိ က အဖြဲ႔အစည္းမ်ားမွ လွဴထားျပီး အစီရင္ခံ သည္႔ စာရင္းတြင္ မပါ ရွိေသာ အေရအတြက္ </t>
  </si>
  <si>
    <t>သဘာဝ ေရစီးဆင္းမႈစနစ္ျဖင္႔ တည္ေဆာက္ထားေသာ ေရသြယ္တန္းမႈစနစ္ ၊ ပိုက္လိုင္း ၊ သိုေလွာင္ကန္ အေရ အတြက္</t>
  </si>
  <si>
    <t xml:space="preserve">ေကာင္းမြန္ေသာ ေရဆိုးထုတ္ ေျမာင္းစနစ္ ရွိပါသလား </t>
  </si>
  <si>
    <t>စခန္းအတြင္းရွိ (အမ်ိဳးသား) က်န္းမာေရး ၊ သန္႔ရွင္းေရး  ျမွင္႔တင္ေရး လုပ္အားေပးဝန္ထမ္း</t>
  </si>
  <si>
    <t>အစီရင္ခံသည္႔ကာလ အတြင္း စခန္းအတြင္းရွိ က်န္းမာေရး ၊ သန္႔ရွင္းေရး ျမွင္႔တင္ေရး လုပ္အားေပးဝန္ထမ္း-အမ်ိဳးသား  ( အဖြဲ႔အစည္းမ်ားမွ လုပ္အားဂုဏ္ျပဳေငြသို႔မဟုတ္ ၊ အေထာက္အပ႔ံ ရရွိေသာသူ) အေရအတြက္</t>
  </si>
  <si>
    <t>စခန္းအတြင္းရွိ (အမ်ိဳးသမီး) က်န္းမာေရး ၊ သန္႔ရွင္းေရး  ျမွင္႔တင္ေရး လုပ္အားေပးဝန္ထမ္း</t>
  </si>
  <si>
    <t>စုစုေပါင္း လူဦးေရ အေရအတြက္</t>
  </si>
  <si>
    <t>စုစုေပါင္းအိမ္ေထာင္စု အေရအတြက္</t>
  </si>
  <si>
    <t># Liters/person/day</t>
  </si>
  <si>
    <t>drop down (Yes,No)</t>
  </si>
  <si>
    <t>Dropdown (Functional,Not_Functional,No,NA)</t>
  </si>
  <si>
    <t>Dropdown (Yes,No)</t>
  </si>
  <si>
    <t>အစီရင္ခံစာ ေပးပို႔သည္႔ကာလအတြင္း ေကာင္းမြန္စြာ အသံုးမျပဳႏိုင္ေသာ ဖံုးကာထားသည့္ ေရတြင္း အေရအတြက္</t>
  </si>
  <si>
    <t>အစီရင္ခံစာ ေပးပို႔သည္႔ကာလအတြင္း လက္ယက္ေရတြင္း စီမံခန္႔ခြဲျခင္း ႏွင္႔ ျပဳျပင္ထိမ္းသိမ္းျခင္း</t>
  </si>
  <si>
    <t>အစီရင္ခံစာ ေပးပို႔သည္႔ကာလအတြင္း စခန္းအတြင္း ရွိ္လက္ယက္ေရတြင္း မ်ား  စီမံခန္႔ခြဲျခင္း ႏွင္႔ ျပဳျပင္ထိမ္းသိမ္းျခင္း ျပဳလုပ္ေသာ အေရအတြက္</t>
  </si>
  <si>
    <r>
      <t>အစီရင္ခံစာ ေပးပို႔သည္႔ကာလအတြင္း သဘာ၀ ေရစီးဆင္းမွုစနစ္ျဖင္႔ တည္ေဆာက္ထားျပီး အသံုးျပဳ</t>
    </r>
    <r>
      <rPr>
        <sz val="10"/>
        <rFont val="Zawgyi-One"/>
        <family val="2"/>
      </rPr>
      <t>၍</t>
    </r>
    <r>
      <rPr>
        <sz val="9"/>
        <rFont val="zawgyi1"/>
        <family val="2"/>
      </rPr>
      <t xml:space="preserve"> မရေသာ </t>
    </r>
    <r>
      <rPr>
        <sz val="10"/>
        <rFont val="zawgyi1"/>
        <family val="2"/>
      </rPr>
      <t xml:space="preserve"> ေရသြယ္တန္းမႈ စနစ္ ၊ ပိုက္လိုင္း ၊ သိုေလွာင္ကန္ အေရ အတြက္ </t>
    </r>
  </si>
  <si>
    <r>
      <t xml:space="preserve">အစီရင္ခံစာ ေပးပို႔သည္႔ကာလအတြင္း ျပဳျပင္ထိမ္းသိမ္းမႈ႔ ျပဳလုပ္ေသာ  သဘာဝ ေရစီးဆင္းမႈ႔စနစ္ျဖင္႔ တည္ေဆာက္ထားျပီး </t>
    </r>
    <r>
      <rPr>
        <sz val="9"/>
        <rFont val="zawgyi1"/>
        <family val="2"/>
      </rPr>
      <t xml:space="preserve"> </t>
    </r>
    <r>
      <rPr>
        <sz val="10"/>
        <rFont val="zawgyi1"/>
        <family val="2"/>
      </rPr>
      <t xml:space="preserve"> ေရသြယ္တန္းမႈ႕ စနစ္ ၊ ပိုက္လိုင္း ၊ သိုေလွာင္ကန္ တုိ႔ အေရတြက္</t>
    </r>
  </si>
  <si>
    <t>အစီရင္ခံစာ ေပးပို႔သည္႔ကာလအတြင္း ေရထြက္ပင္ရင္းအားေရစမ္းသပ္ျပီးေနာက္ ကလိုရင္းေဆး ျဖင္႔ပိုးသတ္ျခင္းျပဳလုပ္သည္႔အေရအတြက္</t>
  </si>
  <si>
    <t>အစီရင္ခံစာ ေပးပို႔သည္႔ကာလအတြင္း ေရထြက္ပင္ရင္းမွ ေရနမူနာယူျပီး ေရစမ္းသပ္ျခင္း</t>
  </si>
  <si>
    <t>အစီရင္ခံစာ ေပးပို႔သည္႔ကာလအတြင္း ေရထြက္ပင္ရင္းမွ ေရနမူနာယူျပီး ေရစမ္းသပ္ျခင္း ျပဳလုပ္ေသာ နမူအေရအတြက္</t>
  </si>
  <si>
    <t>အစီရင္ခံစာ ေပးပို႔သည္႔ကာလအတြင္း မိသားစုသံုး ေသာက္ေရမွ ေရနမူနာယူျပီး ေရစမ္းသပ္ျခင္း ျပဳလုပ္ျပီးစီးသည္႔ အေရအတြက္</t>
  </si>
  <si>
    <t xml:space="preserve">အစီရင္ခံစာ ေပးပို႔သည္႔ကာလအတြင္း ေသာက္သံုးေရတြင္ ပိုးပါေသာ အိမ္ေထာင္စုမ်ားအားျပဳလုပ္ေသာေနာက္ဆက္တြဲ လုပ္ငန္းစဥ္ အၾကိမ္ အေရအတြက္ ( တကိုယ္ေရသန္႔ရွင္းေရး ေသာက္သံုးေရသန္႔ရွင္းေရးပညာေပး၊ ကလိုရင္းေဆးခတ္ျခင္း ) </t>
  </si>
  <si>
    <t>အစီရင္ခံစာ ေပးပို႔သည္႔ကာလအတြင္း မိသားစုသံုး ေသာက္ေရမွ ေရနမူနာယူျပီး ေရစမ္းသပ္ျခင္း</t>
  </si>
  <si>
    <t>အစီရင္ခံစာ ေပးပို႔သည္႔ကာလအတြင္း ေသာက္သံုးေရတြင္ ပိုးပါေသာ အိမ္ေထာင္စုမ်ားအားျပဳလုပ္ေသာေနာက္ဆက္တြဲ လုပ္ငန္းစဥ္</t>
  </si>
  <si>
    <t>အစီရင္ခံစာ ေပးပို႔သည္႔ကာလအတြင္း  မိလႅာစုပ္ထုတ္ခဲ႔ေသာ က်င္းအေရအတြက္</t>
  </si>
  <si>
    <t>အစီရင္ခံစာ ေပးပို႔သည္႔ကာလအတြင္း မိလႅာစုပ္ထုတ္ခဲ႔ေသာ က်င္းအေရအတြက္ ( အိမ္သာခန္းအေရအတြက္ ျဖင္႔ေကာက္ယူရန္  )</t>
  </si>
  <si>
    <t>အစီရင္ခံစာ ေပးပို႔သည္႔ကာလအတြင္း မိလႅာစုပ္ထုတ္ခဲ႔ေသာထုထည္ ပမာဏ ( ကုဗ မိတာ) - အလ်ား x အနံ x အျမင္႔  ( ၁၀၀ စီတီမိတာ = ၁ မိတာ ) မိတာျဖင္႔တိုင္းတာရန္</t>
  </si>
  <si>
    <t>အစီရင္ခံစာ ေပးပို႔သည္႔ကာလအတြင္း မိလႅာစုပ္ထုတ္ခဲ႔ေသာထုထည္ ပမာဏ</t>
  </si>
  <si>
    <t>မိသားစုသံုး အိမ္သာအျဖစ္  လံုးဝလြဲေျပာင္းျပီးေသာ အိမ္သာ အေရအတြက္</t>
  </si>
  <si>
    <t>လက္ရွိ ကာရံ ဖံုးအုပ္ထားေသာ ေရကန္၊ ေရအိုင္ အေရအတြက္</t>
  </si>
  <si>
    <r>
      <t>စခန္းအတြင္းရွိ လက္ရွိအိမ္သာအေရအတြင္း  ( ယာယီတိမ္းေရွာင္စခန္း တြင္ အေရးေပၚကာလသံုး ဒီဇိုင္း(သို႔) ယာယီမဟုတ္ေသာ တိ္မ္းေရွာင္စခန္း မ်ားတြင္စံခ်ိန္စံညြန္းႏွင္႔အညီေဆာက္လုပ္ျခင္း ) ႏွင္႔ အသံုးျပဳ</t>
    </r>
    <r>
      <rPr>
        <sz val="10"/>
        <rFont val="Zawgyi-One"/>
        <family val="2"/>
      </rPr>
      <t>၍</t>
    </r>
    <r>
      <rPr>
        <sz val="9"/>
        <rFont val="zawgyi1"/>
        <family val="2"/>
      </rPr>
      <t>ရေသာ အိမ္သာဆိုသည္မွာ ( က်င္း ေကာင္းမြန္ျခင္း၊ မိလႅာမ်ားျပည္႔မေနျခင္း ၊ လံု (၃) လံုႏွင္႔ျပ္ည္႔စံုျခင္း၊ အတြင္း တံခါး ၊ ေသာ႔မ်ား ၊ ၾကမ္းခင္းမ်ား ေကာင္းမြန္ျခင္း) တို႔ႏွင္ျပည္႔စံုရမည္။</t>
    </r>
  </si>
  <si>
    <t>Storage Capacity - meters cube</t>
  </si>
  <si>
    <t>Rakhine/Kachin</t>
  </si>
  <si>
    <t>site A</t>
  </si>
  <si>
    <t>auto calculation</t>
  </si>
  <si>
    <t>ေကာင္းမြန္စြာ အသံုးျပဳႏိုင္ေသာ ဖံုးကာထားသည္ စခန္းအတြင္းရွိ ေရတြင္း အေရအတြက္</t>
  </si>
  <si>
    <t>WASH အဖြဲ႔အစည္းမွ စခန္းေန လူထု အတြက္ လံုေလာက္ေသာ ပမာဏ အား ေန႔စဥ္ ထုတ္ေပးနိုင္ေသာ အသံုးျပဳေနဆဲ အဝီစီတြင္း ( တြင္းတိမ္ / တြင္းနက္ ) ႏွင္႔ လက္ႏိုပ္တံုကင္မ်ား အေရအတြက္</t>
  </si>
  <si>
    <t>ပုဂၢလိက/အျခားအလွဴရွင္မ်ား/အဖြဲ့အစည္းမ်ားမွ လွဴထားေသာ  အဝီစီတြင္း ( တြင္းတိမ္ / တြင္းနက္ ) ႏွင္႔ လက္နိွပ္တံုကင္မ်ား အေရအတြက္</t>
  </si>
  <si>
    <t>V64</t>
  </si>
  <si>
    <t>V65</t>
  </si>
  <si>
    <t>Donors should be filled WASH program agency's donor if WASH project agency and WASH implementing agency is different.</t>
  </si>
  <si>
    <t>အကယ္၍ V2 ႏွင့္ v3 မတူေနလွ်င္ အလွဴရွင္ အမည္သည္ v2 ၏ အလွဴရွင္ အမည္ျဖစ္သင့္သည္။</t>
  </si>
  <si>
    <t xml:space="preserve">စီမံကိန္းကို ဦးေဆာင္ေသာ အဖြဲ႔အစည္းအမည္ </t>
  </si>
  <si>
    <t>စခန္းတြင္းရွိ စုစုေပါင္းအိမ္ေထာင္စု အေရအတြက္</t>
  </si>
  <si>
    <t>စခန္းတြင္းရွိ  စုစုေပါင္း လူဦးေရ အေရအတြက္</t>
  </si>
  <si>
    <t>WASH အဖြဲ႔သည္ စခန္းစီမံ ခန္႔ခြဲမႈ နွင္႔ ခ်ိတ္ဆက္မႈရွိျပီး သတင္းအခ်က္အလက္မ်ားမ်ွေဝျခင္း (ရွိ ၊ မရွိ)</t>
  </si>
  <si>
    <t>စခန္းအတြင္း WASH အဖြဲ႔တြင္  ပါ၀င္ေသာ အမ်ိဳးသမီးဦးေရ</t>
  </si>
  <si>
    <t>စခန္းအတြင္း WASH အဖြဲ႔တြင္  ပါ၀င္ေသာ အမ်ိဳးသားဦးေရ</t>
  </si>
  <si>
    <t>ေကာင္းမြန္စြာ အသံုးျပဳႏိုင္ေသာ ဖံုးကာထားသည့္ စခန္းအတြင္းရွိ ေရတြင္း အေရအတြက္။ တစ္ေန့လံုး ေသာက္ေရ၊သံူးေရ အျဖစ္ သံုးစြဲလို႔ရသည္။</t>
  </si>
  <si>
    <t>သဘာ၀ ေရစီးဆင္းမွုစနစ္ျဖင္႔ တည္ေဆာက္ထားေသာ ေရသြယ္တန္းမႈစနစ္ ၊ ပိုက္လိုင္း ၊ သိုေလွာင္ကန္ အေရ အတြက္</t>
  </si>
  <si>
    <t>( WASH အဖြဲ႔အစည္းမွ ပံ့ပိုးထားေသာ) စခန္းအတြင္းရွိ  လက္ရွိအိမ္သာအေရအတြင္း ( ယာယီတိမ္းေရွာင္စခန္း တြင္ အေရးေပၚကာလသံုး ဒီဇိုင္း(သို႔) ယာယီမဟုတ္ေသာ တိ္မ္းေရွာင္စခန္း မ်ားတြင္စံခ်ိန္စံညြန္းႏွင္႔အညီေဆာက္လုပ္ျခင္း )</t>
  </si>
  <si>
    <t>WASH အစုအဖြဲ႔သို႔ သတင္းေပးပို႔ရာတြင္ မပါဝင္ေသာ ပုဂၢလိက/အျခားအလွဴရွင္မ်ား/အဖြဲ့အစည္းမ်ားမွ လွဴထားေသာ   အိမ္သာမ်ား အေရအတြက္</t>
  </si>
  <si>
    <t>အစီရင္ခံစာ ေပးပို႔သည္႔ကာလအတြင္း အသံုးျပဳမရေသာ လက္ေဆးစင္ အေရအတြက္</t>
  </si>
  <si>
    <t>အစီရင္ခံစာ ေပးပို႔သည္႔ကာလအတြင္း အသံုးျပဳမရေသာ င္အမ်ိဳးသမီး အမ်ိဳးသားခြဲထားေသာ အမ်ားသံုး ေရခ်ိဳးခန္း အေရအတြက္</t>
  </si>
  <si>
    <t>အစီရင္ခံစာ ေပးပို႔သည္႔ကာလအတြင္း သဘာဝ ေရစီးဆင္းမွုစနစ္ျဖင္႔ တည္ေဆာက္ထားျပီး အသံုးျပဳ၍ မရေသာ  ေရသြယ္တန္းမႈစနစ္ ၊ ပိုက္လိုင္း ၊ သိုေလွာင္ကန္ အေရ အတြက္</t>
  </si>
  <si>
    <t>WASH Focal in camp management structure?</t>
  </si>
  <si>
    <t>#of students in TLS (Temporary Learning Space) and CFS (Child Frendly Space)</t>
  </si>
  <si>
    <t>How many camp based skilled WASH labor employed ?
(monthly paid labour)</t>
  </si>
  <si>
    <r>
      <t xml:space="preserve">How many camp based unskilled WASH labor employed ?
(monthly paid labour)
</t>
    </r>
    <r>
      <rPr>
        <b/>
        <u/>
        <sz val="10"/>
        <color rgb="FFFF0000"/>
        <rFont val="Corbel"/>
        <family val="2"/>
      </rPr>
      <t/>
    </r>
  </si>
  <si>
    <t>Number of person days</t>
  </si>
  <si>
    <r>
      <rPr>
        <b/>
        <sz val="10"/>
        <rFont val="Corbel"/>
        <family val="2"/>
      </rPr>
      <t>Example:</t>
    </r>
    <r>
      <rPr>
        <sz val="10"/>
        <rFont val="Corbel"/>
        <family val="2"/>
      </rPr>
      <t xml:space="preserve"> If one paid employee could not access the site for 3 days and one paid employee could not access for 1 day due to access restrictions, total = 4 days lost (not 2 people)</t>
    </r>
  </si>
  <si>
    <t>Request information from CCCM if not available from WASH implementing agency</t>
  </si>
  <si>
    <t>To collect from WASH implementing agency</t>
  </si>
  <si>
    <t>#cubic meters</t>
  </si>
  <si>
    <t>Estimate liters/person/day (cubic meters)</t>
  </si>
  <si>
    <t>Kachin/Shan</t>
  </si>
  <si>
    <t>V66</t>
  </si>
  <si>
    <t>V67</t>
  </si>
  <si>
    <t>V68</t>
  </si>
  <si>
    <t>ယာယီ ေက်ာင္းေဆာင္မ်ား နွင့္ ကေလးေပ်ာ္ေနရာမ်ား တြင္တက္ေရာက္ေနေသာ ေက်ာင္းသားဦးေရ</t>
  </si>
  <si>
    <t>WASH အဖြဲ႔အစည္းမွ ပံ့ပိုးထားေသာ အဝီစီတြင္း ( တြင္းတိမ္ / တြင္းနက္ ) ႏွင္႔ လက္နိွပ္တံုကင္မ်ား အေရအတြက္</t>
  </si>
  <si>
    <t>အစီရင္ခံစာ ေပးပို႔သည္႔ကာလအတြင္း  ေကာင္းမြန္စြာ အသံုးမျပဳႏိုင္ေသာ အဝီစီတြင္း ( တြင္းတိမ္ / တြင္းနက္ ) ႏွင္႔  လက္နိွပ္တံုကင္မ်ား အေရအတြက္ (ပုဂၢလိက/အျခားအလွဴရွင္မ်ား/အဖြဲ့အစည္းမ်ားမွ လွဴဒါန္းမွုမ်ားအပါအ၀င္)</t>
  </si>
  <si>
    <t>အစီရင္ခံစာ ေပးပို႔သည္႔ကာလအတြင္း စီမံခန္႔ခြဲျခင္း ႏွင္႔ ျပဳျပင္ထိမ္းသိမ္းျခင္း ျပဳလုပ္ရေသာ အဝီစီတြင္း ( တြင္းတိမ္ / တြင္းနက္ ) ႏွင့္ လက္နိွပ္တံုကင္မ်ား အေရအတြက္ (ပုဂၢလိက/အျခားအလွဴရွင္မ်ား/အဖြဲ့အစည္းမ်ားမွ လွဴဒါန္းမွုမ်ားအပါအ၀င္)</t>
  </si>
  <si>
    <t>အစီရင္ခံစာ ေပးပို႔သည္႔ကာလအတြင္း ျပဳျပင္ထိမ္းသိမ္းမႈ ျပဳလုပ္ျပီးစီးေသာ  (သဘာဝ ေရစီးဆင္းမႈ႔စနစ္ျဖင္႔ တည္ေဆာက္ထားျပီး) ေရသြယ္တန္းမႈ႕ စနစ္ ၊ ပိုက္လိုင္း ၊ သိုေလွာင္ကန္ တုိ႔ အေရတြက္</t>
  </si>
  <si>
    <t>လက္ရွိ တည္ေဆာက္အသံုးျပဳေနေသာ ေရ အရင္းအျမစ္ ( ျမစ္ေခ်ာင္း) မွ တဆင္ ့ ေရျဖန္႔ျဖဴးေသာ စနစ္</t>
  </si>
  <si>
    <t>လက္ရွိ တည္ေဆာက္အသံုးျပဳေနေသာ ေရ အရင္းအျမစ္ ( ျမစ္ေခ်ာင္း) မွ ေန႔စဥ္ထုတ္ယူ အသံုးျပဳႏိုင္ေသာ ေရပမာဏ</t>
  </si>
  <si>
    <t>စခန္းတြင္းေနထိုင္သူမ်ားသို႔ လႊဲေျပာင္းေပးျပီးေသာ ေရထြက္ပင္ရင္းေနရာမ်ားအား ျပဳျပင္ထိန္းသိမ္းျခင္း သင္တန္းရရွိျပီးေသာ က်ြမ္းက်င္သူအေရအတြက္</t>
  </si>
  <si>
    <t>စခန္းေန ျပည္သူသို႔ အျပည္မဝ လႊဲေျပာင္းေပးျပီးေသာ ေရထြက္ပင္ရင္းေနရာမ်ား ( စခန္းေနထိုင္သူမ်ားမွ စီမံခန္႔ခြဲၿပီး WASH ေကာ္မတီမွ ျပဳျပင္ထိန္းသိမ္းျခင္း )</t>
  </si>
  <si>
    <t>စခန္းေန ျပည္သူသို႔ အျပည္မဝ   လႊဲေျပာင္းေပးျပီးေသာ ေရထြက္ပင္ရင္းေနရာမ်ား ၏ အေရအတြက္ ( စခန္းေနထိုင္သူမ်ားမွ စီမံခန္႔ခြဲၿပီး WASH ေကာ္မတီမွ ျပဳျပင္ထိန္းသိမ္းျခင္း )</t>
  </si>
  <si>
    <t>ယာယီ ေက်ာင္းေဆာင္မ်ား ႏွင့္ ကေလးေပ်ာ္ေနရာမ်ား တြင္ ရွိေသာ လက္ေဆးစင္ အေရအတြက္</t>
  </si>
  <si>
    <t>ယာယီ ေက်ာင္းေဆာင္မ်ား နွင့္ ကေလးေပ်ာ္ေနရာမ်ားတြင္ ေဆာက္လုပ္ၿပီးစီးသည္႔ လက္ေဆးစင္ အေရအတြက္</t>
  </si>
  <si>
    <t>ယာယီ ေက်ာင္းေဆာင္မ်ား နွင့္ ကေလးေပ်ာ္ေနရာမ်ားတြင္ ေဆာက္လုပ္ထားေသာ ေရထြက္ပင္ရင္း ေရသံုးရန္ ေနရာ</t>
  </si>
  <si>
    <t>ယာယီ ေက်ာင္းေဆာင္မ်ား နွင့္ ကေလးေပ်ာ္ေနရာမ်ားတြင္ ေဆာက္လုပ္ထားေသာ ေရထြက္ပင္ရင္း ေရသံုးရန္ ေနရာ ေဆာက္လုပ္ျပီးစီးသည္႔ အေရအတြက္ (သို႔) ျပဳျပင္ေပးသည္႔ အေရအတြက္</t>
  </si>
  <si>
    <t>ပုဂၢလိက/အျခားအလွဴရွင္မ်ား/အဖြဲ့အစည္းမ်ားမွ လွဴထားေသာ   အိမ္သာအေရအတြက္</t>
  </si>
  <si>
    <r>
      <t>အိမ္သာလွဴထားေသာ ပုဂၢလိက/အျခားအလွဴရွင္မ်ား/အဖြဲ့အစည္းမ်ား</t>
    </r>
    <r>
      <rPr>
        <sz val="10"/>
        <rFont val="zawgyi1"/>
        <family val="2"/>
      </rPr>
      <t>၏</t>
    </r>
    <r>
      <rPr>
        <sz val="10"/>
        <rFont val="Zawgyi-One"/>
        <family val="2"/>
      </rPr>
      <t xml:space="preserve"> အမည္</t>
    </r>
  </si>
  <si>
    <t>အိမ္သာလွဴထားေသာ ပုဂၢလိက/အျခားအလွဴရွင္မ်ား/အဖြဲ့အစည္းမ်ား၏ အမည္</t>
  </si>
  <si>
    <t>အစီရင္ခံစာ ေပးပို႔သည္႔ကာလအတြင္း အသံုးျပဳမရေသာ အိမ္သာမ်ား အေရအတြက္ (ပုဂၢလိက/အျခားအလွဴရွင္မ်ား/အဖြဲ့အစည္းမ်ားမွ လွဴဒါန္းမွုမ်ားအပါအ၀င္)</t>
  </si>
  <si>
    <t>အစီရင္ခံစာ ေပးပို႔သည္႔ကာလအတြင္း အသံုး ျပဳမရေသာ အိမ္သာ အေရအတြက္ (ပုဂၢလိက/အျခားအလွဴရွင္မ်ား/အဖြဲ့အစည္းမ်ားမွ လွဴဒါန္းမွုမ်ားအပါအ၀င္)</t>
  </si>
  <si>
    <t>အစီရင္ခံစာ ေပးပို႔သည္႔ကာလအတြင္း အၾကီးစားျပင္ဆင္ရန္လိုအပ္ေသာ အိမ္သာ ( အသံုးျပဳမရေသာ အေျခအေန) (ပုဂၢလိက/အျခားအလွဴရွင္မ်ား/အဖြဲ့အစည္းမ်ားမွ လွဴဒါန္းမွုမ်ားအပါအ၀င္)</t>
  </si>
  <si>
    <t>အၾကီးစားျပင္ဆင္ရန္လိုအပ္ေသာ အေျခအေန ဆိုသည္မွာ ( မိလႅာက်င္းဖံုး မရွိျခင္း ၊ ပ်က္စီးျခင္း၊ အမိုး အကာ မ်ားပ်က္စီးျခင္း ၊ ၾကမ္းခင္းမ်ားပ်က္စီးျခင္း ၊ အတက္အဆင္းေလွကားထစ္ မရွိျခင္း ပ်က္စီးျခင္း ၊ ပိုက္ ခြက္မ်ား ပ်က္စီးျခင္း ၊ ပိုက္လိုင္းမ်ားပ်က္စီးျခင္းတို႔ပါဝင္သည္။) (ပုဂၢလိက/အျခားအလွဴရွင္မ်ား/အဖြဲ့အစည္းမ်ားမွ လွဴဒါန္းမွုမ်ားအပါအ၀င္)</t>
  </si>
  <si>
    <t xml:space="preserve">စခန္းတြင္းရွိ ယာယီစာသင္ေက်ာင္းမ်ား နွင့္ ကေလးေပ်ာ္ေနရာမ်ား တြင္ရွိေသာ အိမ္သာအေရအတြက္ </t>
  </si>
  <si>
    <t>စခန္းတြင္းရွိ ယာယီစာသင္ေက်ာင္းမ်ား နွင့္ ကေလးေပ်ာ္ေနရာမ်ား တြင္ရွိေသာ အိမ္သာ  အေရအတြက္ (  တံခါး အေရအတြက္အတိုင္း ေကာက္ယူပါမည္)</t>
  </si>
  <si>
    <t>ယာယီစာသင္ေက်ာင္းေဆာင္မ်ား နွင့္ ကေလးေပ်ာ္ေနရာမ်ားတြင္ တကိုယ္ရည္သန္႔ရွင္းေရးပညာေပးအစီအစဥ္  
( အၾကိမ္အေရတြက္ ) သာေျဖရန္</t>
  </si>
  <si>
    <t>တကိုယ္ရည္သန္႔ရွင္းေရးပညာေပးအစီအစဥ္မ်ား ရရွိေသာ ေက်ာင္းသား ရာခိုင္နွိုင္း</t>
  </si>
  <si>
    <t>Percentage of targeted women, men, boys and girls benefitting from timely/adequate/tailored personal hygiene items and receiving appropriate/ community tailored messages that enable health seeking behavior</t>
  </si>
  <si>
    <t>#_students at TLS_CFS</t>
  </si>
  <si>
    <t>Warter quality test done</t>
  </si>
  <si>
    <t>Safe drinking water</t>
  </si>
  <si>
    <t># people with equitable and continuous access to sufficient quantity of safe drinking water</t>
  </si>
  <si>
    <t>Number of women, men, boys and girls benefitting from safe/improved drinking water, meeting demand for domestic purposes, at minimum/agreed standards</t>
  </si>
  <si>
    <t># people needs equitable and continuous access to sufficient quantity of safe drinking and domestic water GAP</t>
  </si>
  <si>
    <t>water point gap</t>
  </si>
  <si>
    <r>
      <t>WATER GAP</t>
    </r>
    <r>
      <rPr>
        <b/>
        <sz val="12"/>
        <color rgb="FFFF0000"/>
        <rFont val="Corbel"/>
        <family val="2"/>
      </rPr>
      <t/>
    </r>
  </si>
  <si>
    <t># students access to functioning school latrines</t>
  </si>
  <si>
    <t>Number of  targeted women, men, boys and girls benefitting from a functional excreta disposal system, reducing safety/public health/environmental risks</t>
  </si>
  <si>
    <t>HRP2</t>
  </si>
  <si>
    <t># people needs equitable and continuous access to sufficient quantity of safe drinking and domestic water -GAP</t>
  </si>
  <si>
    <t>HRP3</t>
  </si>
  <si>
    <t>HRP 3a</t>
  </si>
  <si>
    <t>HRP 3b</t>
  </si>
  <si>
    <t xml:space="preserve"> # of women, men, boys and girls benefitting from timely/adequate/tailored personal hygiene items and receiving appropriate/ community tailored messages that enable health seeking behavior</t>
  </si>
  <si>
    <t xml:space="preserve"> HRP1</t>
  </si>
  <si>
    <t xml:space="preserve"> HRP2</t>
  </si>
  <si>
    <t xml:space="preserve"> HRP3</t>
  </si>
  <si>
    <t>Number of  women, men, boys and girls benefitting from safe/improved drinking water, meeting demand for domestic purposes, at minimum/agreed standards</t>
  </si>
  <si>
    <t>Number of targeted women, men, boys and girls benefitting from a functional excreta disposal system, reducing safety/public health/environmental risks</t>
  </si>
  <si>
    <t>Number of targeted women, men, boys and girls benefitting from timely/adequate/tailored personal hygiene items and receiving appropriate/ community tailored messages that enable health seeking behavior</t>
  </si>
  <si>
    <t>benefitting from timely/adequate/tailored personal hygiene items and receiving appropriate/ community tailored messages that enable health seeking behavior</t>
  </si>
  <si>
    <t>benefitting from a functional excreta disposal system, reducing safety/public health/environmental risks</t>
  </si>
  <si>
    <t>benefitting from safe/improved drinking water, meeting demand for domestic purposes, at minimum/agreed standards</t>
  </si>
  <si>
    <t>PIN</t>
  </si>
  <si>
    <t>Htan Shauk Khan</t>
  </si>
  <si>
    <t>Ah Twin Hnget Thay</t>
  </si>
  <si>
    <t>Pyar Pin Yin</t>
  </si>
  <si>
    <t>Ward (1)</t>
  </si>
  <si>
    <t>Sha Kay Ywa</t>
  </si>
  <si>
    <t>Tha Yet Pyin (Rakhine)</t>
  </si>
  <si>
    <t>Tha Bauk Chaung</t>
  </si>
  <si>
    <t>Baw Li (Rakhine)</t>
  </si>
  <si>
    <t>Baw Li (Muslim)</t>
  </si>
  <si>
    <t>Gwa Sone (Muslim)</t>
  </si>
  <si>
    <t>Gwa Sone (Rakhine)</t>
  </si>
  <si>
    <t>Thay Kan (Muslim)</t>
  </si>
  <si>
    <t>Thay Kan (Rakhine)</t>
  </si>
  <si>
    <t>Na Nwin Ku</t>
  </si>
  <si>
    <t>Kyauk Yant (Rakhine)</t>
  </si>
  <si>
    <t>Than Chay (Rakhine)</t>
  </si>
  <si>
    <t>Kyauk Yit (Rakhine)</t>
  </si>
  <si>
    <t>Shwe Baho</t>
  </si>
  <si>
    <t>Wai Thar Li</t>
  </si>
  <si>
    <t>Ar Kya</t>
  </si>
  <si>
    <t>Ka Yin</t>
  </si>
  <si>
    <t>Ka Yin Taw</t>
  </si>
  <si>
    <t>Gyin Chaung</t>
  </si>
  <si>
    <t>Wa  Lan</t>
  </si>
  <si>
    <t>Wa Lan Kone</t>
  </si>
  <si>
    <t>Na Htoe Pyin</t>
  </si>
  <si>
    <t>Yar Taik</t>
  </si>
  <si>
    <t>Ku Lar Thein</t>
  </si>
  <si>
    <t>Yae Hnyin Chaung</t>
  </si>
  <si>
    <t>Kyu Yaw Chaing</t>
  </si>
  <si>
    <t>Ku Lar Te</t>
  </si>
  <si>
    <t>Auk Thin Pone Than/ Phar Kywe</t>
  </si>
  <si>
    <t> A Htet Myat Lay</t>
  </si>
  <si>
    <t>Tha Lu Chaung</t>
  </si>
  <si>
    <t xml:space="preserve"> Zay Ywar </t>
  </si>
  <si>
    <t>Nga Pha Yone</t>
  </si>
  <si>
    <t xml:space="preserve">Wah Net Yone </t>
  </si>
  <si>
    <t>Kar Hpi Chaung</t>
  </si>
  <si>
    <t>U Gar Hton</t>
  </si>
  <si>
    <t>Ma La Kyun</t>
  </si>
  <si>
    <t>Dway Cha</t>
  </si>
  <si>
    <t>MHF,EU</t>
  </si>
  <si>
    <t>1-March-2019
1-March-2019</t>
  </si>
  <si>
    <t>31-July-2019
31-Oct-2019</t>
  </si>
  <si>
    <t>YinYeKan</t>
  </si>
  <si>
    <t>OhnHnanChaung</t>
  </si>
  <si>
    <t>ThonePetChaing</t>
  </si>
  <si>
    <t>MiGyaungTet</t>
  </si>
  <si>
    <t>KaLarChaung</t>
  </si>
  <si>
    <t>PyunTo</t>
  </si>
  <si>
    <t>Sar Pyin</t>
  </si>
  <si>
    <t>Nga Khu Chaung</t>
  </si>
  <si>
    <t>Tha Yet Cho</t>
  </si>
  <si>
    <t>Tha Yet</t>
  </si>
  <si>
    <t>NgweTwinDway</t>
  </si>
  <si>
    <t>NgaWetSway</t>
  </si>
  <si>
    <t>HlaKhaing</t>
  </si>
  <si>
    <t>MinPauk</t>
  </si>
  <si>
    <t>MRCS</t>
  </si>
  <si>
    <t>Town</t>
  </si>
  <si>
    <t>Shit Thaung Monastery</t>
  </si>
  <si>
    <t>Shaw Me (Primary School)</t>
  </si>
  <si>
    <t>Mya Ta Saung Monastery</t>
  </si>
  <si>
    <t>Let Kauk Zay Monastery</t>
  </si>
  <si>
    <t>Phayapaw Phayathein</t>
  </si>
  <si>
    <t>Tin Nyo (Primary School)</t>
  </si>
  <si>
    <t>Out Thar Kan Monastery</t>
  </si>
  <si>
    <t>Shwe Taung Monastery</t>
  </si>
  <si>
    <t>Payar Por Thain Taw Gyi Monastery</t>
  </si>
  <si>
    <t>Myat Yeik Kyun Monastery</t>
  </si>
  <si>
    <t>Chaung Thit Monastery</t>
  </si>
  <si>
    <t>Sin Kae (High School)</t>
  </si>
  <si>
    <t>Sin Khing Baw (Primary School)</t>
  </si>
  <si>
    <t>Chaung New Min Gan</t>
  </si>
  <si>
    <t>Kan Pyin Ywa Haung</t>
  </si>
  <si>
    <t>Kan Pyin Ywar Thit</t>
  </si>
  <si>
    <t>Thone Saung</t>
  </si>
  <si>
    <t>Kyauk Tan Gyi</t>
  </si>
  <si>
    <t>Kyauk Tan Chay</t>
  </si>
  <si>
    <t>Kyar Ma Thauk</t>
  </si>
  <si>
    <t>Done Pyin (North)</t>
  </si>
  <si>
    <t>Done Pyin (South)</t>
  </si>
  <si>
    <t>Maung Ni Pyin</t>
  </si>
  <si>
    <t>Pyar Lay Chaung Ywar Haung</t>
  </si>
  <si>
    <t>Ohn Ye Paw</t>
  </si>
  <si>
    <t>Pyin Shey Ku lar</t>
  </si>
  <si>
    <t>Bu May Ohn Daw Chay</t>
  </si>
  <si>
    <t>Dar Paing Ywar Haung</t>
  </si>
  <si>
    <t>Sa Ma Nya Village</t>
  </si>
  <si>
    <t>Koe Saung (1) village</t>
  </si>
  <si>
    <t>Koe Song (2) Village</t>
  </si>
  <si>
    <t>Thet Kay Pyin</t>
  </si>
  <si>
    <t>Kyan Taik</t>
  </si>
  <si>
    <t>Sat Yon Maw (Rakhine)</t>
  </si>
  <si>
    <t>Ann Thar</t>
  </si>
  <si>
    <t>Naw Naw(Rakhine)</t>
  </si>
  <si>
    <t>Naw Naw(Ku Lar)</t>
  </si>
  <si>
    <t>Ah Pyin Done Chaung</t>
  </si>
  <si>
    <t>Thin Ga Zar</t>
  </si>
  <si>
    <t>Than Shin Ywar Thit</t>
  </si>
  <si>
    <t>Tan Seik</t>
  </si>
  <si>
    <t>Sat Kyar</t>
  </si>
  <si>
    <t>Let Taw Ri</t>
  </si>
  <si>
    <t>Har Ra Paing</t>
  </si>
  <si>
    <t>Kan Hpay</t>
  </si>
  <si>
    <t>Thin Khaung Maw</t>
  </si>
  <si>
    <t>Beik Taung</t>
  </si>
  <si>
    <t>Taw Tan</t>
  </si>
  <si>
    <t>Sin Seik</t>
  </si>
  <si>
    <t>Ta Khun Taing</t>
  </si>
  <si>
    <t>Done Thar</t>
  </si>
  <si>
    <t>War Taung</t>
  </si>
  <si>
    <t>Athay Kar La</t>
  </si>
  <si>
    <t>Myin Kan Seik</t>
  </si>
  <si>
    <t>Seik Ta Ra</t>
  </si>
  <si>
    <t>Gwa Sone Chin</t>
  </si>
  <si>
    <t>Taung Poke Kay</t>
  </si>
  <si>
    <t>Shwe Zin Yaw</t>
  </si>
  <si>
    <t>28/02/2018 and 28/02/2019, 01/07/2018, 01/10/2018</t>
  </si>
  <si>
    <t>28/02/2019 and 28/02/2020, 30/06/2019, 30/09/2019</t>
  </si>
  <si>
    <t xml:space="preserve"> -   </t>
  </si>
  <si>
    <t>Temporary location</t>
  </si>
  <si>
    <t>Kyar Nyo Pyin</t>
  </si>
  <si>
    <t>Mro/ Kha Mee</t>
  </si>
  <si>
    <t>1/Nov/2018: Population update. Data source: KBC
1/October/2018: Population update. Data source: KBC
31/August/2018: Population update. Data source: KBC
31/July/2018: Population update. Data source: KBC
30/June/2018: Population update. Data source: KBC,
31/May/2018: Population update. Data source: KBC
30/Apr/2018: Population update. Data source: KBC
27/Mar/2018: Population update. Data source: KBC
5/Mar/2018: Population update. Data source: KBC
3/Jul/2017: Added New camp. 
As per mail from KBC-HDD, we have to close two camps (5 Ward Baptist Church( Lon Khin- MMR001CMP179, and Ku Day Maw KBC- MMR001CMP231) and open new camp as Lawng Hkang Shait Yang Camp ( Lel Pyin) under Hpakant Township. So technically, the mentioned two camp will be combine into one camp as Lawng Hkang Shait Yang Camp ( Lel Pyin) More over  19/12/2017:  Sai Nai Baptish Church, Maw Shan Vil., Seki Mu (Closed the camp. The camp combine atLawng Hkang Shait Yang Camp? ( Lel Pyin)? </t>
  </si>
  <si>
    <t>3/Jul/2017: Population update. Data source: KBC
3/Jul/2017: Population update. Data source: KBC
19/12/2017: Closed the camp. The camp combine atLawng Hkang Shait Yang Camp? ( Lel Pyin)? 
2/June/2017: Population update. Data source: KBC
3/May/2017: Population update. Data source: KBC
24/Apr/2017: Population update. Data source: KBC and CCCM unit
15/Mar/2017: Population update. Data Source: KBC
24/Feb/2017: Population update. Data source: KBC
10/Jan/2017: Population update. Data source: KBC
21/Oct/2016: Population update. Data soure: KBC
9/Sep/2016. Population update. Data source:KBC.
18/Jul/2016: Population updte. Data source: KBC
15/Jun/2016: Population update. Data source: monthly report by KBC
12/May/2016. Population update. Data source: KBC
28/Jan/2016. Population update. Data source: KBC
14-Oct-15 Population update. Soruce; Hpakant Mission Report_WFP
25-Jun-15 Population update. Source: KBC
2-Apr-15 (Population update, Source: UNHCR CCCM Mission)
Update population according to KBC data</t>
  </si>
  <si>
    <t>Q1_2019</t>
  </si>
  <si>
    <t>Hpon Nyo Leik</t>
  </si>
  <si>
    <t>Tha Yet Pyin</t>
  </si>
  <si>
    <t>Wet Ma Kya (a) Zay Di Taung</t>
  </si>
  <si>
    <t>Thay Kan Gwa Son</t>
  </si>
  <si>
    <t>Kyauk Hpyu Thar Thay Kan</t>
  </si>
  <si>
    <t>Kyauk Yant</t>
  </si>
  <si>
    <t>Nan Yar Kone</t>
  </si>
  <si>
    <t>San Goe Taung</t>
  </si>
  <si>
    <t>Kyee Kan Pyin</t>
  </si>
  <si>
    <t>Gaw Du Tha Yah</t>
  </si>
  <si>
    <t>Myo Thu Gyi</t>
  </si>
  <si>
    <t>KhaMi</t>
  </si>
  <si>
    <t>Pyein Chaung (Ngwe Twin Dway tract)</t>
  </si>
  <si>
    <t>Metta, KMSS</t>
  </si>
  <si>
    <t>Boe Taw monastery</t>
  </si>
  <si>
    <t>Man Li</t>
  </si>
  <si>
    <t>Sasana 2500 monastery</t>
  </si>
  <si>
    <t>Baw Du Pha Village (IDP in host families)</t>
  </si>
  <si>
    <t>UMCOR</t>
  </si>
  <si>
    <t>NiDin</t>
  </si>
  <si>
    <t>OXSI (OXFAM)</t>
  </si>
  <si>
    <t>IDP only</t>
  </si>
  <si>
    <t>IDP camp</t>
  </si>
  <si>
    <t>Northern Rakhine</t>
  </si>
  <si>
    <t>Central Rakhine</t>
  </si>
  <si>
    <t>Central Rakhine Total</t>
  </si>
  <si>
    <t xml:space="preserve"> #_students at TLS_CFS</t>
  </si>
  <si>
    <t xml:space="preserve"> # People received regular supply of hygiene items</t>
  </si>
  <si>
    <t>Targeted population provided with sanitation or hygiene kits or key hygiene items</t>
  </si>
  <si>
    <t>Targeted population in humanitarian situations accessing appropriate hygiene education in schools, temporary learning spaces and other child friendly spaces</t>
  </si>
  <si>
    <t xml:space="preserve"> # people reached by regular dedicated hygiene promotion</t>
  </si>
  <si>
    <t>Temporary location_Town</t>
  </si>
  <si>
    <t>New Temporary Site</t>
  </si>
  <si>
    <t>Count of Warter quality test done</t>
  </si>
  <si>
    <t>% Access to unimproved water points</t>
  </si>
  <si>
    <t>Operation &amp; maintenance</t>
  </si>
  <si>
    <t>it is included non-functioning latrines</t>
  </si>
  <si>
    <t>functioning latrines</t>
  </si>
  <si>
    <t># Operation &amp; maintenance</t>
  </si>
  <si>
    <t>Closed_cccm2019Apr</t>
  </si>
  <si>
    <t xml:space="preserve">Hka Garan Yang </t>
  </si>
  <si>
    <t>MMR001CMP272</t>
  </si>
  <si>
    <t>KBC-BMO</t>
  </si>
  <si>
    <t>KBC-MYT</t>
  </si>
  <si>
    <t>KBC-NSS</t>
  </si>
  <si>
    <t>Opeing date: 1/6/2017 and updated date in CCCM list: 29/6/2017;not yet updated in Q3 4W. Closed in  31 Aust 2018 in CCCM list but KMSS covered still Q4 2018. in Q1 2019, no report from KMSS</t>
  </si>
  <si>
    <t>KMSS covered till Q4 2018. No report from KMSS in Q1 2019.
6/Apr/2017: Change camp status as "Open". Data source: Protection team and comfirmed by camp manager.
2/feb/2017: Closed Camp
10/Jan/2017: Population update. Data source: KMSS_Myitkyina
21/Oct/2016: Population update. Data source: KMSS_Myitkyina
14/Jul/2016: Population update. Data Source:KMSS_Myitkyina
9/Nov/15. Accomodation changes from Host families to Camp. Data source: CCCM
19-Aug-15 (Population Udate. Data Source: KMSS-MYT)
25-Jun-2015 (New host families. Source: RRD)</t>
  </si>
  <si>
    <t>NSS WASH Cluster comments:Metta distributed hygiene kit in Apr'17 but no assessment done for other WASH needs. Security concern is high to travel.
SCI covered till Q4 2018. No report from SCI in Q1 2019</t>
  </si>
  <si>
    <t>Number of people with equitable and continuous access to sufficient quantity of domestic water</t>
  </si>
  <si>
    <t>Number of people with equitable and continuous access to safe sanitation facilities</t>
  </si>
  <si>
    <t>Number of People adopt basic personal and community hygiene practices</t>
  </si>
  <si>
    <t>Kin Taung</t>
  </si>
  <si>
    <t>Tha Win Chaung</t>
  </si>
  <si>
    <t>UNICEF response through WFP</t>
  </si>
  <si>
    <t>Thein Tan (Ku Lar)</t>
  </si>
  <si>
    <t>Hpa Yar Pyin Thein Tan</t>
  </si>
  <si>
    <t>Ah Lel Chaung</t>
  </si>
  <si>
    <t>Zay Di Taung</t>
  </si>
  <si>
    <t>Ka Kyet Bet Kan Pyin</t>
  </si>
  <si>
    <t>Kin Taung (a) Kyar Nyo Pyin</t>
  </si>
  <si>
    <t>Aung Tha Pyay</t>
  </si>
  <si>
    <t>Kar Lar Day Hpet</t>
  </si>
  <si>
    <t>Yae Nauk Ngar Thar</t>
  </si>
  <si>
    <t>Kha Maung Seik</t>
  </si>
  <si>
    <t>Wet Kyein</t>
  </si>
  <si>
    <t>Ah Lel Than Kyaw</t>
  </si>
  <si>
    <t>Tha Win Chaung (Kan Pyo)</t>
  </si>
  <si>
    <t>WFP</t>
  </si>
  <si>
    <t>Ba Da Nar Ku Lar</t>
  </si>
  <si>
    <t>Thar Yar Kone (Rakhine)</t>
  </si>
  <si>
    <t>Thar Yar Kone (Dyine Net)</t>
  </si>
  <si>
    <t>Hpon Thar Wa</t>
  </si>
  <si>
    <t>Done Gyi</t>
  </si>
  <si>
    <t>Min Zi</t>
  </si>
  <si>
    <t>Chaung Wa</t>
  </si>
  <si>
    <t>Pan Hpaw Pyin</t>
  </si>
  <si>
    <t>Pyein Taw</t>
  </si>
  <si>
    <t>Pyin Shey (Sa Hpo Kyun)</t>
  </si>
  <si>
    <t>Chaung Nwe</t>
  </si>
  <si>
    <t>A Lei Ywar (Rakhine)</t>
  </si>
  <si>
    <t>A Lei Ywar (Ma Ya Ma Gyi)</t>
  </si>
  <si>
    <t>Myauk Ywar (Rakhine)</t>
  </si>
  <si>
    <t>Myauk Ywar (Hindu)</t>
  </si>
  <si>
    <t>Thin Baw Hla (Dyine Net) (Thar Yar Gone)</t>
  </si>
  <si>
    <t>Baw Ya Bar</t>
  </si>
  <si>
    <t>Kha Tin Paik Gyi</t>
  </si>
  <si>
    <t>KBC, KMSS, Metta, WPN</t>
  </si>
  <si>
    <t>KBC, Metta, KMSS, SI, WPN</t>
  </si>
  <si>
    <t>KBC, KMSS, SCI, Metta</t>
  </si>
  <si>
    <t>KMSS, SCI, Metta</t>
  </si>
  <si>
    <t>SCI, SI</t>
  </si>
  <si>
    <t>DRC,OXSI (SI),OXSI(Oxfam), MA_UK</t>
  </si>
  <si>
    <t>MHDO, Unicef</t>
  </si>
  <si>
    <t>GIZ, SCI, SI</t>
  </si>
  <si>
    <t>ACF, OXSI (Oxfam), OXSI (SI)</t>
  </si>
  <si>
    <t>MHDO, Unicef, WFP</t>
  </si>
  <si>
    <t># of People adopt basic personal and community hygiene practices</t>
  </si>
  <si>
    <t># of people access to functioning  sanitation facilities</t>
  </si>
  <si>
    <t># of people Equitable and continuous access to sufficient quantity of domestic water</t>
  </si>
  <si>
    <t>Sites with TLS</t>
  </si>
  <si>
    <t>Count of Sites with TLS</t>
  </si>
  <si>
    <t>remove from db, ipds moved to lawa rc church</t>
  </si>
  <si>
    <t>HH
(Rakhine-CCCM as of 31st Jan 2019)
(Kachin/Shan-CCCM as of 31st March 2019)</t>
  </si>
  <si>
    <t>Pop
(Rakhine-CCCM as of 31st Jan 2019)
(Kachin/Shan-CCCM as of 31st March 2019)</t>
  </si>
  <si>
    <t>CCCM_2019Jan</t>
  </si>
  <si>
    <t>Percentage of people per latrine</t>
  </si>
  <si>
    <t xml:space="preserve">Site_DB: if partners have a new site, this needs to be added/edited here (camp, village). Otherwise, no need for partners input as it's already linked with the core Database. WC IMO updated HHs and Pop figures based on updated CCCM's camp list </t>
  </si>
  <si>
    <t>HRP report: linked with 2019 WASH Cluster HRP report and outcome of quarterly WASH Cluster 4 W</t>
  </si>
  <si>
    <t>Ah Htet Thin Pone Tan</t>
  </si>
  <si>
    <t>Yoe Ta Yote</t>
  </si>
  <si>
    <t>Sin Thi Pein Hne Taw (Sin Tae)</t>
  </si>
  <si>
    <t>Kan Sauk</t>
  </si>
  <si>
    <t>Taung Min Ku Lar</t>
  </si>
  <si>
    <t>Kyun Taw</t>
  </si>
  <si>
    <t>Say Oe Kya ( Host+ Displaced)</t>
  </si>
  <si>
    <t>Thay Kan Gwa Sone ( Host)</t>
  </si>
  <si>
    <t>Zay Di Taung  ( Host + Displaced)</t>
  </si>
  <si>
    <t>Pan Myaung (Aung Mingalar Monastery)</t>
  </si>
  <si>
    <t>Gye Kyaung</t>
  </si>
  <si>
    <t>Win Zar</t>
  </si>
  <si>
    <t>Tin Nyo Thit Monastery</t>
  </si>
  <si>
    <t>Thu Yiya Yaung Chi Monastery</t>
  </si>
  <si>
    <t>Ywar Thit Kay Monastery</t>
  </si>
  <si>
    <t>Tin Htein Kan Monastery</t>
  </si>
  <si>
    <t>Thin Pan Kaing</t>
  </si>
  <si>
    <t>Wet Hla Middle School</t>
  </si>
  <si>
    <t>Taung Myint</t>
  </si>
  <si>
    <t>Pi Pin Yin Monastery</t>
  </si>
  <si>
    <t>Aung Tat Ward (Aung Mingalar Monastery)</t>
  </si>
  <si>
    <t>Aung Tat Ward (Aung Zaydi Hpayar Thin)</t>
  </si>
  <si>
    <t>Aung Tat Ward (Dein Kyi Monastery)</t>
  </si>
  <si>
    <t>Aung Tat Ward (Myo Thit Monastery)</t>
  </si>
  <si>
    <t>Aung Tat Ward (Naratsar Hpayar Thin)</t>
  </si>
  <si>
    <t>Myet Yeik Kyun Monastery</t>
  </si>
  <si>
    <t>Tein Nyo</t>
  </si>
  <si>
    <t>Kyauk Reik Kay Monastery</t>
  </si>
  <si>
    <t>Nyaung Bin Hla Village</t>
  </si>
  <si>
    <t>Mya Yaike Kyun</t>
  </si>
  <si>
    <t>Ywar Thit Monastery/Pan Myaung</t>
  </si>
  <si>
    <t>Hpar Kywe Wa</t>
  </si>
  <si>
    <t>Kun Taung</t>
  </si>
  <si>
    <t>Taung Yin School Compound</t>
  </si>
  <si>
    <t>Ban Bwee</t>
  </si>
  <si>
    <t>Auk Myat Lay</t>
  </si>
  <si>
    <t>Let Wea Myan</t>
  </si>
  <si>
    <t>Nga/Pyauk Se</t>
  </si>
  <si>
    <t>Be Kho</t>
  </si>
  <si>
    <t>Nga Sin Rine Kine Primary School</t>
  </si>
  <si>
    <t>Hnget Pyaw Chaung</t>
  </si>
  <si>
    <t>Doke Kan Chaung Monastery</t>
  </si>
  <si>
    <t>Myo Thit Ward</t>
  </si>
  <si>
    <t>Paik Thei Ward</t>
  </si>
  <si>
    <t>Bo Min Monastery</t>
  </si>
  <si>
    <t>Aung Zay Ya Monastery</t>
  </si>
  <si>
    <t>Ba Ra War Monastery</t>
  </si>
  <si>
    <t>Kyar Nin Kan Monastery</t>
  </si>
  <si>
    <t>Zin Khar Chay Monastery</t>
  </si>
  <si>
    <t>Min Hla Kaing</t>
  </si>
  <si>
    <t>Zedi Pyin</t>
  </si>
  <si>
    <t>Yay Myet</t>
  </si>
  <si>
    <t>Phat Lake</t>
  </si>
  <si>
    <t>Aung Si Kone</t>
  </si>
  <si>
    <t>Ah Shae Myauk Quarter</t>
  </si>
  <si>
    <t>Tha Mee Hla</t>
  </si>
  <si>
    <t>Ray Zar Chaung</t>
  </si>
  <si>
    <t>Sin Khone Taing</t>
  </si>
  <si>
    <t>Gan Kya</t>
  </si>
  <si>
    <t>Ba Wan Chaung Wa Su Ward / Monastery</t>
  </si>
  <si>
    <t xml:space="preserve"> % Water GAP</t>
  </si>
  <si>
    <t xml:space="preserve"> % Sanitation GAP</t>
  </si>
  <si>
    <t xml:space="preserve"> % Hygiene Gap</t>
  </si>
  <si>
    <t xml:space="preserve">  % Hygiene Gap</t>
  </si>
  <si>
    <t xml:space="preserve"> % Water Coverage</t>
  </si>
  <si>
    <t xml:space="preserve">  % Latrine Coverage</t>
  </si>
  <si>
    <t xml:space="preserve">  % Latrine GAP</t>
  </si>
  <si>
    <t xml:space="preserve">  % Hygiene Coverage</t>
  </si>
  <si>
    <t xml:space="preserve">Shwe Thee </t>
  </si>
  <si>
    <t>BUT_Sa Par Htar</t>
  </si>
  <si>
    <t>War Taung Camp</t>
  </si>
  <si>
    <t>MMR012004701502</t>
  </si>
  <si>
    <t>MMR012004701505</t>
  </si>
  <si>
    <t>Auk Thar Kan</t>
  </si>
  <si>
    <t>MMR012003701505</t>
  </si>
  <si>
    <t>Htan Ma Rit (Kwet Thit)</t>
  </si>
  <si>
    <t>Mra_Zay Di Taung</t>
  </si>
  <si>
    <t>Sin Baw Kaing (Monastery)</t>
  </si>
  <si>
    <t>Sin Baw Kaing (School)</t>
  </si>
  <si>
    <t>Thit Pok Chaung</t>
  </si>
  <si>
    <t>Kyu Taw Chaing</t>
  </si>
  <si>
    <t>MMR012007701505</t>
  </si>
  <si>
    <t>Ah Htet Myat Hle</t>
  </si>
  <si>
    <t>Auk Myat Hle</t>
  </si>
  <si>
    <t>Yoe Ta Yoke</t>
  </si>
  <si>
    <t>Sin Thi Pein Hne Taw</t>
  </si>
  <si>
    <t>RAT_Zay Di Pyin</t>
  </si>
  <si>
    <t>Hpet Leik</t>
  </si>
  <si>
    <t>Aung Zay Kone</t>
  </si>
  <si>
    <t>Ah Shey (North) Ward</t>
  </si>
  <si>
    <t>MMR012008701503</t>
  </si>
  <si>
    <t>KAT_Nyaung Chaung</t>
  </si>
  <si>
    <t xml:space="preserve">Sum of Total PoP </t>
  </si>
  <si>
    <t>Ywa Thit</t>
  </si>
  <si>
    <t>Teik Tu Pauk</t>
  </si>
  <si>
    <t>Kan Thar Yar</t>
  </si>
  <si>
    <t>Shwe Baho+Sein P M</t>
  </si>
  <si>
    <t>Tat U Chaung (West)</t>
  </si>
  <si>
    <t>WVI</t>
  </si>
  <si>
    <t>Zay Di Taung (Rakhine)</t>
  </si>
  <si>
    <t>Bar Ri Zar</t>
  </si>
  <si>
    <t>Tat U Chaung</t>
  </si>
  <si>
    <t>Pyar Pyin Thein Tan</t>
  </si>
  <si>
    <t># Tested</t>
  </si>
  <si>
    <t>No test</t>
  </si>
  <si>
    <t xml:space="preserve"> # Tested</t>
  </si>
  <si>
    <t>cccm_2019May</t>
  </si>
  <si>
    <t>MMR001CMP273</t>
  </si>
  <si>
    <t>30/April/19: Camp Created as Open Camp like setting. KBC Bhamo implemented WASH,Education and Food assistance  as an emergency since 2016 collaboration and coordination with IRRC and some other agencies such as SI,KMSS,NRC and Metta Foundation at Pang Hkawn Yang Camp(7 different divided area).Pang Hkawn Yang is located between four Township(Shwegu,Hopin ,Myo Hla and Myitkyina)and closed to shwegu Town. 
fled in early of 2012 because of Arm Clashed between KIO and Burmese Millitary.They are still at the forest area of near their origin village as the mobile IDPs until now</t>
  </si>
  <si>
    <t>6-Miles</t>
  </si>
  <si>
    <t>Q2_2019</t>
  </si>
  <si>
    <t>Enai (Man Pyein)</t>
  </si>
  <si>
    <t>Frequency</t>
  </si>
  <si>
    <t>Quarterly</t>
  </si>
  <si>
    <t>Q2 (Pauktaw and Myebon only)</t>
  </si>
  <si>
    <t>Q1+Q2+Q3+Q4 (Pauktaw and Myebon only)</t>
  </si>
  <si>
    <t>Yearly (Q3)</t>
  </si>
  <si>
    <t xml:space="preserve">Litres of water currently stored/avaialble in ponds + complemented by emergency water supply (added to # litres of water available in ponds?) </t>
  </si>
  <si>
    <t># of latrines in TLS/CFS</t>
  </si>
  <si>
    <r>
      <t xml:space="preserve"># of </t>
    </r>
    <r>
      <rPr>
        <b/>
        <u/>
        <sz val="10"/>
        <rFont val="Corbel"/>
        <family val="2"/>
      </rPr>
      <t>functional</t>
    </r>
    <r>
      <rPr>
        <sz val="10"/>
        <rFont val="Corbel"/>
        <family val="2"/>
      </rPr>
      <t xml:space="preserve"> improved water sources in the site operating at the </t>
    </r>
    <r>
      <rPr>
        <b/>
        <u/>
        <sz val="10"/>
        <rFont val="Corbel"/>
        <family val="2"/>
      </rPr>
      <t>end of the reporting period</t>
    </r>
  </si>
  <si>
    <r>
      <t xml:space="preserve"># of households receiving </t>
    </r>
    <r>
      <rPr>
        <b/>
        <u/>
        <sz val="10"/>
        <rFont val="Corbel"/>
        <family val="2"/>
      </rPr>
      <t>household water storage items</t>
    </r>
  </si>
  <si>
    <t>Include in revised PDM</t>
  </si>
  <si>
    <t>% of complaints received that result in timely, corrective action and feedback to the community</t>
  </si>
  <si>
    <t>Include in revised PDM (also check if CCCM collects)</t>
  </si>
  <si>
    <t>Diarrhoea rate per 10,000 ppl, average over past 3 months (extracted from EpiWeek data from health)</t>
  </si>
  <si>
    <t>Have any groups been excluded from access to WASH facilities because of the handover?</t>
  </si>
  <si>
    <t>What are IDP's primary concerns on WASH related to camp closure?</t>
  </si>
  <si>
    <t>Do you know who is responsible to maintain and repair WASH facilities?</t>
  </si>
  <si>
    <t xml:space="preserve">WASH Cluster to use Health cluster data and include per camp. </t>
  </si>
  <si>
    <r>
      <rPr>
        <b/>
        <u/>
        <sz val="10"/>
        <rFont val="Corbel"/>
        <family val="2"/>
      </rPr>
      <t>Avg repair time</t>
    </r>
    <r>
      <rPr>
        <sz val="10"/>
        <rFont val="Corbel"/>
        <family val="2"/>
      </rPr>
      <t xml:space="preserve"> for water points (</t>
    </r>
    <r>
      <rPr>
        <b/>
        <u/>
        <sz val="10"/>
        <rFont val="Corbel"/>
        <family val="2"/>
      </rPr>
      <t># days</t>
    </r>
    <r>
      <rPr>
        <sz val="10"/>
        <rFont val="Corbel"/>
        <family val="2"/>
      </rPr>
      <t xml:space="preserve">) </t>
    </r>
    <r>
      <rPr>
        <b/>
        <u/>
        <sz val="10"/>
        <rFont val="Corbel"/>
        <family val="2"/>
      </rPr>
      <t>during reporting period</t>
    </r>
  </si>
  <si>
    <r>
      <rPr>
        <b/>
        <u/>
        <sz val="10"/>
        <rFont val="Corbel"/>
        <family val="2"/>
      </rPr>
      <t># of existing</t>
    </r>
    <r>
      <rPr>
        <sz val="10"/>
        <rFont val="Corbel"/>
        <family val="2"/>
      </rPr>
      <t xml:space="preserve"> improved water sources in the site (functional + non-functional)</t>
    </r>
  </si>
  <si>
    <t>WATER Comments                                         
(If you have gaps or questions)</t>
  </si>
  <si>
    <t>SANITATION Comments                                               
(If you have gaps or questions)</t>
  </si>
  <si>
    <t>HYGIENE Comments                                                               
(If you have gaps or questions)</t>
  </si>
  <si>
    <t xml:space="preserve">#_litres_of_water_supplied_by_existing_water_boating/trucking </t>
  </si>
  <si>
    <t>#_Functional_improved_water_source</t>
  </si>
  <si>
    <t>#_Existing_improved_water_source</t>
  </si>
  <si>
    <t>#_Water samples _passed_at_water source</t>
  </si>
  <si>
    <t>#_Water samples_Tested_at_water_source</t>
  </si>
  <si>
    <t>#_Water samples_Tested_at_HH</t>
  </si>
  <si>
    <t>#_Water samples _passed_at_HH</t>
  </si>
  <si>
    <t>#_HH_receiving_HH_water_storage items</t>
  </si>
  <si>
    <t>Avg_repair_time for_water_points_# days</t>
  </si>
  <si>
    <t>#_Functional_water_point_at_TLS/CFS</t>
  </si>
  <si>
    <r>
      <t>#_F</t>
    </r>
    <r>
      <rPr>
        <sz val="9"/>
        <rFont val="Crobel"/>
      </rPr>
      <t>unctional_adult_latrines</t>
    </r>
  </si>
  <si>
    <t>#_Existing_latrines</t>
  </si>
  <si>
    <t>#_latrines_repaired</t>
  </si>
  <si>
    <t>%_of_OD_within_15ft_of_latrines</t>
  </si>
  <si>
    <r>
      <t>#_m3_of_</t>
    </r>
    <r>
      <rPr>
        <sz val="9"/>
        <rFont val="Crobel"/>
      </rPr>
      <t>faecal_sludge_removed_from_camp</t>
    </r>
  </si>
  <si>
    <t>%_of_Men_that_feel_safe_to_use_latrines_when_they_need_to_(or_at_day/night)'?</t>
  </si>
  <si>
    <t>%_of_Women_that_feel_safe_to_use_latrines_when_they_need_to_(or_at_day/night)?</t>
  </si>
  <si>
    <t>%_of_Girlss_that_feel_safe_to_use_latrines_when_they_need_to_(or_at_day/night)?</t>
  </si>
  <si>
    <t>%_of_Boys_that_feel_safe_to_use_latrines_when_they_need_to_(or_at_day/night)?</t>
  </si>
  <si>
    <t>#_of_functional_children_latrines</t>
  </si>
  <si>
    <t>#_of_PWD_with_adapted_sanitation_option</t>
  </si>
  <si>
    <t>#_of_latrines_in_TLS/CFS</t>
  </si>
  <si>
    <t>Is_there_an_effective_solid_waste_management_system_in_place?</t>
  </si>
  <si>
    <t xml:space="preserve">SANITATION Comments </t>
  </si>
  <si>
    <t>WATER Comment</t>
  </si>
  <si>
    <t>%_of_affected_people_who_report_handwashing_at_key_times</t>
  </si>
  <si>
    <t>%_of_women_and_girls_who_report_that_they_have_an_adequate_system_for_disposing_of_used_sanitary_pads</t>
  </si>
  <si>
    <t>_#_of_Men_receiving_consultation_hygiene_promotion_messages_and_sessions</t>
  </si>
  <si>
    <t>_#_of_Women_receiving_consultation_hygiene_promotion_messages_and_sessions</t>
  </si>
  <si>
    <t>_#_of_Boys_receiving_consultation_hygiene_promotion_messages_and_sessions</t>
  </si>
  <si>
    <t>_#_of_Girls_receiving_consultation_hygiene_promotion_messages_and_sessions</t>
  </si>
  <si>
    <t>#_of_affected_households_receiving_a_sufficient_quantity_of_soap</t>
  </si>
  <si>
    <t>#_of_affected_women_and_girls_receiving_a_sufficient_quantity_of_sanitary_pads</t>
  </si>
  <si>
    <t>%_of_TLS/CFS_with_a_designated_place_for_children_to_wash_hands_where_soap_is_available</t>
  </si>
  <si>
    <t>%_of_affected_people_surveyed_who_report_feeling_satistfied_with_the_water_point_design_and_water_service</t>
  </si>
  <si>
    <t>#_of_affected_people_surveyed_who_report_feeling_informed_about_the_different_WASH_services_available_to_them</t>
  </si>
  <si>
    <t>Diarrhoea_rate_per_10,000_ppl,_average_over_past_3_months_(extracted_from_EpiWeek_data_from_health)</t>
  </si>
  <si>
    <t>Have_any_groups_been_excluded_from_access_to_WASH_facilities_because_of_the_handover?</t>
  </si>
  <si>
    <t>What_are_IDP's_primary_concerns_on_WASH_related_to_camp_closure?</t>
  </si>
  <si>
    <t>Do_you_know_who_is_responsible_to_maintain_and_repair_WASH_facilities?</t>
  </si>
  <si>
    <t>%_of_affected_people_surveyed_who_report_feeling_satistfied_with_the_latrine_design_and_sanitation_service</t>
  </si>
  <si>
    <t>%_of_complaints_received_that_result_in_timely_corrective_action_and_feedback_to_the_community</t>
  </si>
  <si>
    <r>
      <t># of Water samples</t>
    </r>
    <r>
      <rPr>
        <b/>
        <u/>
        <sz val="10"/>
        <rFont val="Corbel"/>
        <family val="2"/>
      </rPr>
      <t xml:space="preserve"> tested</t>
    </r>
    <r>
      <rPr>
        <sz val="10"/>
        <rFont val="Corbel"/>
        <family val="2"/>
      </rPr>
      <t xml:space="preserve"> for fecal coliform  (@ water source) during reporting period</t>
    </r>
  </si>
  <si>
    <r>
      <t xml:space="preserve"># of Water samples which </t>
    </r>
    <r>
      <rPr>
        <b/>
        <u/>
        <sz val="10"/>
        <rFont val="Corbel"/>
        <family val="2"/>
      </rPr>
      <t>passed</t>
    </r>
    <r>
      <rPr>
        <sz val="10"/>
        <rFont val="Corbel"/>
        <family val="2"/>
      </rPr>
      <t xml:space="preserve"> the fecal coliform test  (@ water source) during reporting period</t>
    </r>
  </si>
  <si>
    <r>
      <t># of Water samples</t>
    </r>
    <r>
      <rPr>
        <b/>
        <u/>
        <sz val="10"/>
        <rFont val="Corbel"/>
        <family val="2"/>
      </rPr>
      <t xml:space="preserve"> tested </t>
    </r>
    <r>
      <rPr>
        <sz val="10"/>
        <rFont val="Corbel"/>
        <family val="2"/>
      </rPr>
      <t>for fecal coliform (@ HH level) during reporting period</t>
    </r>
  </si>
  <si>
    <r>
      <t xml:space="preserve"># of Water samples which </t>
    </r>
    <r>
      <rPr>
        <b/>
        <u/>
        <sz val="10"/>
        <rFont val="Corbel"/>
        <family val="2"/>
      </rPr>
      <t>passed</t>
    </r>
    <r>
      <rPr>
        <sz val="10"/>
        <rFont val="Corbel"/>
        <family val="2"/>
      </rPr>
      <t xml:space="preserve"> the fecal coliform test (@ HH level) during reporting period</t>
    </r>
  </si>
  <si>
    <r>
      <t xml:space="preserve"># functional </t>
    </r>
    <r>
      <rPr>
        <b/>
        <u/>
        <sz val="10"/>
        <rFont val="Corbel"/>
        <family val="2"/>
      </rPr>
      <t xml:space="preserve">water point at TLS/CFS </t>
    </r>
    <r>
      <rPr>
        <b/>
        <sz val="10"/>
        <rFont val="Corbel"/>
        <family val="2"/>
      </rPr>
      <t>during reporting period</t>
    </r>
  </si>
  <si>
    <r>
      <t xml:space="preserve"># of </t>
    </r>
    <r>
      <rPr>
        <b/>
        <u/>
        <sz val="10"/>
        <rFont val="Corbel"/>
        <family val="2"/>
      </rPr>
      <t>functional adult latrines</t>
    </r>
    <r>
      <rPr>
        <sz val="10"/>
        <rFont val="Corbel"/>
        <family val="2"/>
      </rPr>
      <t xml:space="preserve"> that meet </t>
    </r>
    <r>
      <rPr>
        <b/>
        <u/>
        <sz val="10"/>
        <rFont val="Corbel"/>
        <family val="2"/>
      </rPr>
      <t>design requirements</t>
    </r>
    <r>
      <rPr>
        <sz val="10"/>
        <rFont val="Corbel"/>
        <family val="2"/>
      </rPr>
      <t xml:space="preserve"> in </t>
    </r>
    <r>
      <rPr>
        <b/>
        <u/>
        <sz val="10"/>
        <rFont val="Corbel"/>
        <family val="2"/>
      </rPr>
      <t>the site</t>
    </r>
    <r>
      <rPr>
        <sz val="10"/>
        <rFont val="Corbel"/>
        <family val="2"/>
      </rPr>
      <t xml:space="preserve"> operating </t>
    </r>
    <r>
      <rPr>
        <b/>
        <u/>
        <sz val="10"/>
        <rFont val="Corbel"/>
        <family val="2"/>
      </rPr>
      <t>during reporting period</t>
    </r>
    <r>
      <rPr>
        <sz val="10"/>
        <rFont val="Corbel"/>
        <family val="2"/>
      </rPr>
      <t xml:space="preserve"> </t>
    </r>
  </si>
  <si>
    <r>
      <rPr>
        <b/>
        <u/>
        <sz val="10"/>
        <rFont val="Corbel"/>
        <family val="2"/>
      </rPr>
      <t># of existing</t>
    </r>
    <r>
      <rPr>
        <b/>
        <sz val="10"/>
        <rFont val="Corbel"/>
        <family val="2"/>
      </rPr>
      <t xml:space="preserve"> latrines that meet design requirements </t>
    </r>
    <r>
      <rPr>
        <sz val="10"/>
        <rFont val="Corbel"/>
        <family val="2"/>
      </rPr>
      <t xml:space="preserve"> in the site (functional + non-functional)</t>
    </r>
  </si>
  <si>
    <r>
      <rPr>
        <b/>
        <u/>
        <sz val="10"/>
        <rFont val="Corbel"/>
        <family val="2"/>
      </rPr>
      <t xml:space="preserve"># of latrines repaired </t>
    </r>
    <r>
      <rPr>
        <sz val="10"/>
        <rFont val="Corbel"/>
        <family val="2"/>
      </rPr>
      <t xml:space="preserve">during the reporting period </t>
    </r>
  </si>
  <si>
    <r>
      <rPr>
        <b/>
        <sz val="10"/>
        <rFont val="Corbel"/>
        <family val="2"/>
      </rPr>
      <t xml:space="preserve">% of </t>
    </r>
    <r>
      <rPr>
        <b/>
        <u/>
        <sz val="10"/>
        <rFont val="Corbel"/>
        <family val="2"/>
      </rPr>
      <t>Open Defecation within 15ft of latrines</t>
    </r>
    <r>
      <rPr>
        <b/>
        <sz val="10"/>
        <rFont val="Corbel"/>
        <family val="2"/>
      </rPr>
      <t xml:space="preserve"> </t>
    </r>
    <r>
      <rPr>
        <sz val="10"/>
        <rFont val="Corbel"/>
        <family val="2"/>
      </rPr>
      <t>in this site</t>
    </r>
  </si>
  <si>
    <r>
      <t xml:space="preserve"># m3 of </t>
    </r>
    <r>
      <rPr>
        <b/>
        <u/>
        <sz val="10"/>
        <rFont val="Corbel"/>
        <family val="2"/>
      </rPr>
      <t>faecal sludge</t>
    </r>
    <r>
      <rPr>
        <sz val="10"/>
        <rFont val="Corbel"/>
        <family val="2"/>
      </rPr>
      <t xml:space="preserve"> removed from camp (sludge transported, treated and disposed safely)</t>
    </r>
  </si>
  <si>
    <r>
      <t xml:space="preserve">% of </t>
    </r>
    <r>
      <rPr>
        <b/>
        <u/>
        <sz val="10"/>
        <rFont val="Corbel"/>
        <family val="2"/>
      </rPr>
      <t>people (men) that feel safe</t>
    </r>
    <r>
      <rPr>
        <sz val="10"/>
        <rFont val="Corbel"/>
        <family val="2"/>
      </rPr>
      <t xml:space="preserve"> to use latrines when they need to (or at day/night)'? </t>
    </r>
  </si>
  <si>
    <r>
      <t xml:space="preserve">% of </t>
    </r>
    <r>
      <rPr>
        <b/>
        <u/>
        <sz val="10"/>
        <rFont val="Corbel"/>
        <family val="2"/>
      </rPr>
      <t>people (women) that feel safe</t>
    </r>
    <r>
      <rPr>
        <sz val="10"/>
        <rFont val="Corbel"/>
        <family val="2"/>
      </rPr>
      <t xml:space="preserve"> to use latrines when they need to (or at day/night)'? </t>
    </r>
  </si>
  <si>
    <r>
      <t xml:space="preserve">% of </t>
    </r>
    <r>
      <rPr>
        <b/>
        <u/>
        <sz val="10"/>
        <rFont val="Corbel"/>
        <family val="2"/>
      </rPr>
      <t>people (boys) that feel safe</t>
    </r>
    <r>
      <rPr>
        <sz val="10"/>
        <rFont val="Corbel"/>
        <family val="2"/>
      </rPr>
      <t xml:space="preserve"> to use latrines when they need to (or at day/night)'? </t>
    </r>
  </si>
  <si>
    <r>
      <t xml:space="preserve">% of </t>
    </r>
    <r>
      <rPr>
        <b/>
        <u/>
        <sz val="10"/>
        <rFont val="Corbel"/>
        <family val="2"/>
      </rPr>
      <t>people (girls) that feel safe</t>
    </r>
    <r>
      <rPr>
        <sz val="10"/>
        <rFont val="Corbel"/>
        <family val="2"/>
      </rPr>
      <t xml:space="preserve"> to use latrines when they need to (or at day/night)'? </t>
    </r>
  </si>
  <si>
    <r>
      <t xml:space="preserve"># of functional </t>
    </r>
    <r>
      <rPr>
        <b/>
        <u/>
        <sz val="10"/>
        <rFont val="Corbel"/>
        <family val="2"/>
      </rPr>
      <t>children latrines</t>
    </r>
    <r>
      <rPr>
        <sz val="10"/>
        <rFont val="Corbel"/>
        <family val="2"/>
      </rPr>
      <t xml:space="preserve"> that meet design requirements in the site operating during reporting period</t>
    </r>
  </si>
  <si>
    <r>
      <t>#</t>
    </r>
    <r>
      <rPr>
        <b/>
        <u/>
        <sz val="10"/>
        <rFont val="Corbel"/>
        <family val="2"/>
      </rPr>
      <t xml:space="preserve"> of persons with disabilities with adapted sanitation option</t>
    </r>
    <r>
      <rPr>
        <sz val="10"/>
        <rFont val="Corbel"/>
        <family val="2"/>
      </rPr>
      <t xml:space="preserve"> </t>
    </r>
  </si>
  <si>
    <r>
      <t xml:space="preserve">Is there </t>
    </r>
    <r>
      <rPr>
        <b/>
        <u/>
        <sz val="10"/>
        <rFont val="Corbel"/>
        <family val="2"/>
      </rPr>
      <t>an effective solid waste management system</t>
    </r>
    <r>
      <rPr>
        <b/>
        <sz val="10"/>
        <rFont val="Corbel"/>
        <family val="2"/>
      </rPr>
      <t xml:space="preserve"> </t>
    </r>
    <r>
      <rPr>
        <sz val="10"/>
        <rFont val="Corbel"/>
        <family val="2"/>
      </rPr>
      <t>in place (i.e. incinerator, community-led management system)</t>
    </r>
  </si>
  <si>
    <r>
      <t xml:space="preserve"> </t>
    </r>
    <r>
      <rPr>
        <b/>
        <u/>
        <sz val="10"/>
        <rFont val="Corbel"/>
        <family val="2"/>
      </rPr>
      <t># of people</t>
    </r>
    <r>
      <rPr>
        <sz val="10"/>
        <rFont val="Corbel"/>
        <family val="2"/>
      </rPr>
      <t xml:space="preserve"> </t>
    </r>
    <r>
      <rPr>
        <b/>
        <u/>
        <sz val="10"/>
        <rFont val="Corbel"/>
        <family val="2"/>
      </rPr>
      <t>(men)</t>
    </r>
    <r>
      <rPr>
        <sz val="10"/>
        <rFont val="Corbel"/>
        <family val="2"/>
      </rPr>
      <t xml:space="preserve"> receiving </t>
    </r>
    <r>
      <rPr>
        <b/>
        <u/>
        <sz val="10"/>
        <rFont val="Corbel"/>
        <family val="2"/>
      </rPr>
      <t>consultation, hygiene promotion messages and sessions</t>
    </r>
    <r>
      <rPr>
        <sz val="10"/>
        <rFont val="Corbel"/>
        <family val="2"/>
      </rPr>
      <t xml:space="preserve"> during reporting period</t>
    </r>
  </si>
  <si>
    <r>
      <t xml:space="preserve"> </t>
    </r>
    <r>
      <rPr>
        <b/>
        <u/>
        <sz val="10"/>
        <rFont val="Corbel"/>
        <family val="2"/>
      </rPr>
      <t># of people</t>
    </r>
    <r>
      <rPr>
        <sz val="10"/>
        <rFont val="Corbel"/>
        <family val="2"/>
      </rPr>
      <t xml:space="preserve"> </t>
    </r>
    <r>
      <rPr>
        <b/>
        <u/>
        <sz val="10"/>
        <rFont val="Corbel"/>
        <family val="2"/>
      </rPr>
      <t>(women)</t>
    </r>
    <r>
      <rPr>
        <sz val="10"/>
        <rFont val="Corbel"/>
        <family val="2"/>
      </rPr>
      <t xml:space="preserve"> receiving </t>
    </r>
    <r>
      <rPr>
        <b/>
        <u/>
        <sz val="10"/>
        <rFont val="Corbel"/>
        <family val="2"/>
      </rPr>
      <t>consultation, hygiene promotion messages and sessions</t>
    </r>
    <r>
      <rPr>
        <sz val="10"/>
        <rFont val="Corbel"/>
        <family val="2"/>
      </rPr>
      <t xml:space="preserve"> during reporting period</t>
    </r>
  </si>
  <si>
    <r>
      <t xml:space="preserve"> </t>
    </r>
    <r>
      <rPr>
        <b/>
        <u/>
        <sz val="10"/>
        <rFont val="Corbel"/>
        <family val="2"/>
      </rPr>
      <t xml:space="preserve"># of people (boys) </t>
    </r>
    <r>
      <rPr>
        <sz val="10"/>
        <rFont val="Corbel"/>
        <family val="2"/>
      </rPr>
      <t xml:space="preserve">receiving </t>
    </r>
    <r>
      <rPr>
        <b/>
        <u/>
        <sz val="10"/>
        <rFont val="Corbel"/>
        <family val="2"/>
      </rPr>
      <t>consultation, hygiene promotion messages and sessions</t>
    </r>
    <r>
      <rPr>
        <sz val="10"/>
        <rFont val="Corbel"/>
        <family val="2"/>
      </rPr>
      <t xml:space="preserve"> during reporting period</t>
    </r>
  </si>
  <si>
    <r>
      <t xml:space="preserve"> </t>
    </r>
    <r>
      <rPr>
        <b/>
        <u/>
        <sz val="10"/>
        <rFont val="Corbel"/>
        <family val="2"/>
      </rPr>
      <t># of people</t>
    </r>
    <r>
      <rPr>
        <sz val="10"/>
        <rFont val="Corbel"/>
        <family val="2"/>
      </rPr>
      <t xml:space="preserve"> </t>
    </r>
    <r>
      <rPr>
        <b/>
        <u/>
        <sz val="10"/>
        <rFont val="Corbel"/>
        <family val="2"/>
      </rPr>
      <t>(girls)</t>
    </r>
    <r>
      <rPr>
        <sz val="10"/>
        <rFont val="Corbel"/>
        <family val="2"/>
      </rPr>
      <t xml:space="preserve"> receiving </t>
    </r>
    <r>
      <rPr>
        <b/>
        <u/>
        <sz val="10"/>
        <rFont val="Corbel"/>
        <family val="2"/>
      </rPr>
      <t>consultation, hygiene promotion messages and sessions</t>
    </r>
    <r>
      <rPr>
        <sz val="10"/>
        <rFont val="Corbel"/>
        <family val="2"/>
      </rPr>
      <t xml:space="preserve"> during reporting period</t>
    </r>
  </si>
  <si>
    <r>
      <t xml:space="preserve"># of affected households receiving a </t>
    </r>
    <r>
      <rPr>
        <b/>
        <u/>
        <sz val="10"/>
        <rFont val="Corbel"/>
        <family val="2"/>
      </rPr>
      <t>sufficient quantity</t>
    </r>
    <r>
      <rPr>
        <sz val="10"/>
        <rFont val="Corbel"/>
        <family val="2"/>
      </rPr>
      <t xml:space="preserve"> of </t>
    </r>
    <r>
      <rPr>
        <b/>
        <u/>
        <sz val="10"/>
        <rFont val="Corbel"/>
        <family val="2"/>
      </rPr>
      <t>soap</t>
    </r>
    <r>
      <rPr>
        <sz val="10"/>
        <rFont val="Corbel"/>
        <family val="2"/>
      </rPr>
      <t xml:space="preserve"> during the reporting period</t>
    </r>
  </si>
  <si>
    <r>
      <t xml:space="preserve"># of affected women and girls receiving a </t>
    </r>
    <r>
      <rPr>
        <b/>
        <u/>
        <sz val="10"/>
        <rFont val="Corbel"/>
        <family val="2"/>
      </rPr>
      <t>sufficient quantity</t>
    </r>
    <r>
      <rPr>
        <sz val="10"/>
        <rFont val="Corbel"/>
        <family val="2"/>
      </rPr>
      <t xml:space="preserve"> of </t>
    </r>
    <r>
      <rPr>
        <b/>
        <u/>
        <sz val="10"/>
        <rFont val="Corbel"/>
        <family val="2"/>
      </rPr>
      <t>sanitary pads</t>
    </r>
    <r>
      <rPr>
        <sz val="10"/>
        <rFont val="Corbel"/>
        <family val="2"/>
      </rPr>
      <t xml:space="preserve"> during the reporting period</t>
    </r>
  </si>
  <si>
    <r>
      <t>% of women and girls who report that they have an adequate system for</t>
    </r>
    <r>
      <rPr>
        <b/>
        <u/>
        <sz val="10"/>
        <rFont val="Corbel"/>
        <family val="2"/>
      </rPr>
      <t xml:space="preserve"> disposing of used sanitary pads</t>
    </r>
  </si>
  <si>
    <r>
      <rPr>
        <b/>
        <u/>
        <sz val="10"/>
        <rFont val="Corbel"/>
        <family val="2"/>
      </rPr>
      <t>% of TLS/CFS with a designated place for children to wash hands</t>
    </r>
    <r>
      <rPr>
        <sz val="10"/>
        <rFont val="Corbel"/>
        <family val="2"/>
      </rPr>
      <t xml:space="preserve"> where soap is available </t>
    </r>
  </si>
  <si>
    <r>
      <rPr>
        <sz val="10"/>
        <color rgb="FFFF0000"/>
        <rFont val="Corbel"/>
        <family val="2"/>
      </rPr>
      <t xml:space="preserve">Talk to Edu partner </t>
    </r>
    <r>
      <rPr>
        <sz val="10"/>
        <rFont val="Corbel"/>
        <family val="2"/>
      </rPr>
      <t>to report since facility done by them, soap regularly given by WASH partner</t>
    </r>
  </si>
  <si>
    <r>
      <t xml:space="preserve">% of affected people surveyed who report </t>
    </r>
    <r>
      <rPr>
        <b/>
        <u/>
        <sz val="10"/>
        <rFont val="Corbel"/>
        <family val="2"/>
      </rPr>
      <t>feeling satistfied</t>
    </r>
    <r>
      <rPr>
        <sz val="10"/>
        <rFont val="Corbel"/>
        <family val="2"/>
      </rPr>
      <t xml:space="preserve"> with the latrine </t>
    </r>
    <r>
      <rPr>
        <b/>
        <u/>
        <sz val="10"/>
        <rFont val="Corbel"/>
        <family val="2"/>
      </rPr>
      <t xml:space="preserve">design and sanitation service </t>
    </r>
  </si>
  <si>
    <r>
      <t xml:space="preserve">% of affected people surveyed who report </t>
    </r>
    <r>
      <rPr>
        <b/>
        <u/>
        <sz val="10"/>
        <rFont val="Corbel"/>
        <family val="2"/>
      </rPr>
      <t>feeling satistfied</t>
    </r>
    <r>
      <rPr>
        <sz val="10"/>
        <rFont val="Corbel"/>
        <family val="2"/>
      </rPr>
      <t xml:space="preserve"> with the </t>
    </r>
    <r>
      <rPr>
        <b/>
        <u/>
        <sz val="10"/>
        <rFont val="Corbel"/>
        <family val="2"/>
      </rPr>
      <t>water point design</t>
    </r>
    <r>
      <rPr>
        <sz val="10"/>
        <rFont val="Corbel"/>
        <family val="2"/>
      </rPr>
      <t xml:space="preserve"> and </t>
    </r>
    <r>
      <rPr>
        <b/>
        <u/>
        <sz val="10"/>
        <rFont val="Corbel"/>
        <family val="2"/>
      </rPr>
      <t>water service</t>
    </r>
  </si>
  <si>
    <r>
      <t># of affected people surveyed who report</t>
    </r>
    <r>
      <rPr>
        <b/>
        <u/>
        <sz val="10"/>
        <rFont val="Corbel"/>
        <family val="2"/>
      </rPr>
      <t xml:space="preserve"> feeling informe</t>
    </r>
    <r>
      <rPr>
        <sz val="10"/>
        <rFont val="Corbel"/>
        <family val="2"/>
      </rPr>
      <t>d about the different WASH services available to them</t>
    </r>
  </si>
  <si>
    <r>
      <t xml:space="preserve">% of affected people </t>
    </r>
    <r>
      <rPr>
        <b/>
        <u/>
        <sz val="10"/>
        <rFont val="Corbel"/>
        <family val="2"/>
      </rPr>
      <t xml:space="preserve">who report handwashing at key times </t>
    </r>
    <r>
      <rPr>
        <sz val="10"/>
        <rFont val="Corbel"/>
        <family val="2"/>
      </rPr>
      <t>during reporting period</t>
    </r>
  </si>
  <si>
    <r>
      <t>% of Latrine</t>
    </r>
    <r>
      <rPr>
        <b/>
        <sz val="10"/>
        <color theme="5" tint="-0.249977111117893"/>
        <rFont val="Corbel"/>
        <family val="2"/>
      </rPr>
      <t xml:space="preserve"> Gap</t>
    </r>
    <r>
      <rPr>
        <b/>
        <sz val="10"/>
        <color theme="0"/>
        <rFont val="Corbel"/>
        <family val="2"/>
      </rPr>
      <t xml:space="preserve">
</t>
    </r>
    <r>
      <rPr>
        <b/>
        <sz val="10"/>
        <color rgb="FFFF0000"/>
        <rFont val="Corbel"/>
        <family val="2"/>
      </rPr>
      <t>Red &gt;=10%,</t>
    </r>
    <r>
      <rPr>
        <b/>
        <sz val="10"/>
        <color theme="0"/>
        <rFont val="Corbel"/>
        <family val="2"/>
      </rPr>
      <t xml:space="preserve">
</t>
    </r>
    <r>
      <rPr>
        <b/>
        <sz val="10"/>
        <color theme="5"/>
        <rFont val="Corbel"/>
        <family val="2"/>
      </rPr>
      <t>Orange 0%~9%,</t>
    </r>
    <r>
      <rPr>
        <b/>
        <sz val="10"/>
        <color theme="0"/>
        <rFont val="Corbel"/>
        <family val="2"/>
      </rPr>
      <t xml:space="preserve">
</t>
    </r>
    <r>
      <rPr>
        <b/>
        <sz val="10"/>
        <color rgb="FF00B050"/>
        <rFont val="Corbel"/>
        <family val="2"/>
      </rPr>
      <t>Green =0%</t>
    </r>
  </si>
  <si>
    <r>
      <t xml:space="preserve">% Latrines requiring  repairs/maintenance
</t>
    </r>
    <r>
      <rPr>
        <b/>
        <sz val="10"/>
        <color rgb="FFFF0000"/>
        <rFont val="Corbel"/>
        <family val="2"/>
      </rPr>
      <t>Red &gt;=10%,</t>
    </r>
    <r>
      <rPr>
        <b/>
        <sz val="10"/>
        <color theme="0"/>
        <rFont val="Corbel"/>
        <family val="2"/>
      </rPr>
      <t xml:space="preserve">
</t>
    </r>
    <r>
      <rPr>
        <b/>
        <sz val="10"/>
        <color theme="5" tint="-0.249977111117893"/>
        <rFont val="Corbel"/>
        <family val="2"/>
      </rPr>
      <t>Orange 0%~9%,</t>
    </r>
    <r>
      <rPr>
        <b/>
        <sz val="10"/>
        <color theme="0"/>
        <rFont val="Corbel"/>
        <family val="2"/>
      </rPr>
      <t xml:space="preserve">
</t>
    </r>
    <r>
      <rPr>
        <b/>
        <sz val="10"/>
        <color rgb="FF00B050"/>
        <rFont val="Corbel"/>
        <family val="2"/>
      </rPr>
      <t>Green =0%</t>
    </r>
  </si>
  <si>
    <r>
      <t xml:space="preserve">Hygiene Gap %
</t>
    </r>
    <r>
      <rPr>
        <b/>
        <sz val="10"/>
        <color rgb="FFFF0000"/>
        <rFont val="Corbel"/>
        <family val="2"/>
      </rPr>
      <t>Red &gt;=30%,</t>
    </r>
    <r>
      <rPr>
        <b/>
        <sz val="10"/>
        <color theme="0"/>
        <rFont val="Corbel"/>
        <family val="2"/>
      </rPr>
      <t xml:space="preserve">
</t>
    </r>
    <r>
      <rPr>
        <b/>
        <sz val="10"/>
        <color rgb="FFFFC000"/>
        <rFont val="Corbel"/>
        <family val="2"/>
      </rPr>
      <t>Orange 0%~29%,</t>
    </r>
    <r>
      <rPr>
        <b/>
        <sz val="10"/>
        <color theme="0"/>
        <rFont val="Corbel"/>
        <family val="2"/>
      </rPr>
      <t xml:space="preserve"> 
</t>
    </r>
    <r>
      <rPr>
        <b/>
        <sz val="10"/>
        <color theme="9" tint="-0.499984740745262"/>
        <rFont val="Corbel"/>
        <family val="2"/>
      </rPr>
      <t>Green =0%</t>
    </r>
  </si>
  <si>
    <r>
      <t># of litres of water supplied by existing water boating/trucking over90</t>
    </r>
    <r>
      <rPr>
        <b/>
        <u/>
        <sz val="10"/>
        <rFont val="Corbel"/>
        <family val="2"/>
      </rPr>
      <t xml:space="preserve"> days</t>
    </r>
    <r>
      <rPr>
        <sz val="10"/>
        <rFont val="Corbel"/>
        <family val="2"/>
      </rPr>
      <t xml:space="preserve"> to total</t>
    </r>
    <r>
      <rPr>
        <b/>
        <sz val="10"/>
        <rFont val="Corbel"/>
        <family val="2"/>
      </rPr>
      <t xml:space="preserve"> population</t>
    </r>
    <r>
      <rPr>
        <sz val="10"/>
        <rFont val="Corbel"/>
        <family val="2"/>
      </rPr>
      <t xml:space="preserve"> in the site </t>
    </r>
  </si>
  <si>
    <r>
      <t xml:space="preserve">minimum </t>
    </r>
    <r>
      <rPr>
        <b/>
        <u/>
        <sz val="10"/>
        <rFont val="Corbel"/>
        <family val="2"/>
      </rPr>
      <t>volume of water (in Litres) stored in pond</t>
    </r>
    <r>
      <rPr>
        <sz val="10"/>
        <rFont val="Corbel"/>
        <family val="2"/>
      </rPr>
      <t>s during the reporting period</t>
    </r>
  </si>
  <si>
    <t>#_litres_of_water_stored_in_ponds</t>
  </si>
  <si>
    <t>V20, 22, 23, 30</t>
  </si>
  <si>
    <t># of functional improved water sources in the site operating at the end of the reporting period
# of litres of water supplied by existing water boating/trucking over90 days to total population in the site 
minimum volume of water (in Litres) stored in ponds during the reporting period
# functional water point at TLS/CFS during reporting period</t>
  </si>
  <si>
    <r>
      <rPr>
        <b/>
        <sz val="12"/>
        <color rgb="FF2C2C2C"/>
        <rFont val="Gill Sans MT"/>
        <family val="2"/>
      </rPr>
      <t>Improved water sources:</t>
    </r>
    <r>
      <rPr>
        <sz val="12"/>
        <color rgb="FF2C2C2C"/>
        <rFont val="Gill Sans MT"/>
        <family val="2"/>
      </rPr>
      <t xml:space="preserve">Hand dug well </t>
    </r>
    <r>
      <rPr>
        <b/>
        <sz val="12"/>
        <color rgb="FF2C2C2C"/>
        <rFont val="Gill Sans MT"/>
        <family val="2"/>
      </rPr>
      <t>400</t>
    </r>
    <r>
      <rPr>
        <sz val="12"/>
        <color rgb="FF2C2C2C"/>
        <rFont val="Gill Sans MT"/>
        <family val="2"/>
      </rPr>
      <t xml:space="preserve"> PPL, Hand Pump </t>
    </r>
    <r>
      <rPr>
        <b/>
        <sz val="12"/>
        <color rgb="FF2C2C2C"/>
        <rFont val="Gill Sans MT"/>
        <family val="2"/>
      </rPr>
      <t>500</t>
    </r>
    <r>
      <rPr>
        <sz val="12"/>
        <color rgb="FF2C2C2C"/>
        <rFont val="Gill Sans MT"/>
        <family val="2"/>
      </rPr>
      <t xml:space="preserve"> PPL, Tank, Water Boating/Trucking, Distribution System, Pond = 15L/P/D : 8 hr tapstand open, 
</t>
    </r>
    <r>
      <rPr>
        <b/>
        <sz val="12"/>
        <color rgb="FF2C2C2C"/>
        <rFont val="Gill Sans MT"/>
        <family val="2"/>
      </rPr>
      <t/>
    </r>
  </si>
  <si>
    <t>V32, 41, 43</t>
  </si>
  <si>
    <t># of functional adult latrines that meet design requirements in the site operating during reporting period 
# of functional children latrines that meet design requirements in the site operating during reporting period
# of latrines in TLS/CFS</t>
  </si>
  <si>
    <r>
      <t xml:space="preserve">Camp:20PPL:1
</t>
    </r>
    <r>
      <rPr>
        <sz val="12"/>
        <color theme="1"/>
        <rFont val="Gill Sans MT"/>
        <family val="2"/>
      </rPr>
      <t xml:space="preserve">
</t>
    </r>
  </si>
  <si>
    <t>V46, 47, 48, 49, 50, 51</t>
  </si>
  <si>
    <t xml:space="preserve"># of people (men) receiving consultation, hygiene promotion messages and sessions during reporting period
 # of people (women) receiving consultation, hygiene promotion messages and sessions during reporting period
 # of people (boys) receiving consultation, hygiene promotion messages and sessions during reporting period
 # of people (girls) receiving consultation, hygiene promotion messages and sessions during reporting period
# of affected households receiving a sufficient quantity of soap during the reporting period
# of affected women and girls receiving a sufficient quantity of sanitary pads during the reporting period
</t>
  </si>
  <si>
    <t>HYGIENE Comments   
(If you have gaps or questions)</t>
  </si>
  <si>
    <t xml:space="preserve">HYGIENE_Comments  
</t>
  </si>
  <si>
    <t>SANITATION Comments   
(If you have gaps or questions)</t>
  </si>
  <si>
    <t>WATER Comments 
(If you have gaps or questions)</t>
  </si>
  <si>
    <t>% of Water samples which passed the fecal coliform test  (@ water source)</t>
  </si>
  <si>
    <t>% Water samples which passed the fecal coliform test (@ HH level)</t>
  </si>
  <si>
    <t>%of Water samples which passed at water source</t>
  </si>
  <si>
    <t>%Water samples which passed at HH</t>
  </si>
  <si>
    <t>Access to safe/improved water through improved water sources (for Camp)</t>
  </si>
  <si>
    <t>Access to safe/improved water through improved water sources</t>
  </si>
  <si>
    <t>% of women, men, boys and girls benefitting from safe/improved drinking water, meeting demand for domestic purposes, at minimum/agreed standards</t>
  </si>
  <si>
    <t>% HRP1</t>
  </si>
  <si>
    <t>handpump 500ppl, tapstand 250ppl:
Functional: Is able to provide safe water when needed
Improved: A source that by nature of its design and construction has the potential to deliver safe wate (see: https://www.who.int/water_sanitation_health/monitoring/oms_brochure_core_questionsfinal24608.pdf)</t>
  </si>
  <si>
    <t xml:space="preserve">The lowest usable water volume reached by storage ponds in the reporting period (if the water pond has dried during the reportin period, put zero).  </t>
  </si>
  <si>
    <t>Total number of water samples taken from a water source and tested for faecal coliforms during the reporting period (this value should be equal to the number samples that passed + the number that failed)</t>
  </si>
  <si>
    <t xml:space="preserve">The number of water samples taken from a water source that show less than 10 coliform forming units (CFU) per 100ml </t>
  </si>
  <si>
    <t>Total number of water samples taken from a household drinking water container and tested for faecal coliforms during the reporting period (this value should be equal to the number samples that passed + the number that failed)</t>
  </si>
  <si>
    <t xml:space="preserve">The number of water samples taken from a household drinking water container that show less than 10 coliform forming units (CFU) per 100ml </t>
  </si>
  <si>
    <t>This will report only in Q3. from PDM; Household water storage items: To be counted, each family must receive …..</t>
  </si>
  <si>
    <t>Repair time: The number of days that pass between a non-functional water point being identified and repairs being completed.  Exclude non-functional water sources that have been abandonded or decommissioned.</t>
  </si>
  <si>
    <t>The number of child friendly or temporary learning spaces with a functional and improve water point on the premises.
Functional: Is able to provide safe water when needed
Improved: A source that by nature of its design and construction has the potential to deliver safe wate (see: https://www.who.int/water_sanitation_health/monitoring/oms_brochure_core_questionsfinal24608.pdf)</t>
  </si>
  <si>
    <t>The total number of toilet structures in the camp. Regardless of whether partner or Govt built;</t>
  </si>
  <si>
    <t>Functional: A toilet that effectively containts faeces from users and the environment.  The pit must be sealed against flies and water intrusion, with no visible cracks or gaps;  The latrine pit must not be full; The superstructure must provide privacy for users, with a lock that can secure the door from the inside.  Additional desgin requirements may be defined by the cluster in the SOF.  Regardless of whether partner or Govt built, if it does not meet standards, do not count; if it meets starndarsd, then count.</t>
  </si>
  <si>
    <t xml:space="preserve">The number of non-functional latrines that have been repaired to meet the definition of functional (see above).  Each latrine should only be counted once, even if it has been repaired multiple times during the reporting period.  </t>
  </si>
  <si>
    <t>The percentage of total toilet structures where faeces are observed within 15ft (5m) at the end of the reporting period</t>
  </si>
  <si>
    <t>The total volume of faecal sludge removed from latrine pits that is treated and disposed in a controlled and safe way, without risking environmental contamination.</t>
  </si>
  <si>
    <t>The percentage of men who report feeling safe to use latrines during the night and the day</t>
  </si>
  <si>
    <t>The percentage of women who report feeling safe to use latrines during the night and the day</t>
  </si>
  <si>
    <t>The percentage of boys (male &lt;18) who report feeling safe to use latrines during the night and the day</t>
  </si>
  <si>
    <t>The percentage of girls (age &lt;18) who report feeling safe to use latrines during the night and the day</t>
  </si>
  <si>
    <t>Design requirements for childrens latrines: drop hole diameter &lt; Xmm, step height &lt; Xmm…</t>
  </si>
  <si>
    <t># of people with disabilities provided with a way of disposing of their faeces in a safe and acceptable way (i.e. container based sanitation with commode chair or specifically adapted toilet).  This should be reported with the total number of disabled people identified in that site.</t>
  </si>
  <si>
    <t>Minimum number of functional child-friendly toilets for a CLS/TLS: 1:30 girls and 1:60 boys</t>
  </si>
  <si>
    <t>Effective: A planned system that regularly removes solid waste from living areas and disposes it in a way that minimises environmental contamination and the presence of insect and animal disease vectors</t>
  </si>
  <si>
    <t>The number of men who attend focus group sessions, community meetings and hygiene awareness sessions (excluding mass campaigns).  Count unique beneficiaries (each person should only be counted once).</t>
  </si>
  <si>
    <t>The number of women who attend focus group sessions, community meetings and hygiene awareness sessions (excluding mass campaigns).  Count unique beneficiaries (each person should only be counted once).</t>
  </si>
  <si>
    <t>The number of boys (&lt;18) who attend focus group sessions, community meetings and hygiene awareness sessions (excluding mass campaigns).  Count unique beneficiaries (each person should only be counted once).</t>
  </si>
  <si>
    <t>The number of girls (&lt;18) who attend focus group sessions, community meetings and hygiene awareness sessions (excluding mass campaigns).  Count unique beneficiaries (each person should only be counted once).</t>
  </si>
  <si>
    <t>Sufficient quantity: At least 250g / person / month bathing and 200g / person / month laundry soap distributed at least every three months</t>
  </si>
  <si>
    <t>Sufficient quantity: At least 15 pads per female of menstruating age per month, distributed at least once every three months (in addition to at least 6 pairs of underwear per year and 250g soap per month per women / girl)</t>
  </si>
  <si>
    <t>Adequate system: A method for disposing of sanitary pads that is acceptable to users</t>
  </si>
  <si>
    <t>Key times: before touching food (eating, preparing food or feeding a child) and after contact with excreta (after using the toilet or cleaning a child’s bottom)</t>
  </si>
  <si>
    <t>% of households observed with a place to WASH hands with soap present</t>
  </si>
  <si>
    <t>%_of_households_observed_with_a_place_to_WASH_hands_with_soap_present</t>
  </si>
  <si>
    <r>
      <t xml:space="preserve">% of households observed with a place to </t>
    </r>
    <r>
      <rPr>
        <b/>
        <u/>
        <sz val="10"/>
        <rFont val="Corbel"/>
        <family val="2"/>
      </rPr>
      <t>WASH hands with soap present</t>
    </r>
  </si>
  <si>
    <t>% of targeted women, men, boys and girls benefitting from a functional excreta disposal system, reducing safety/public health/environmental risks</t>
  </si>
  <si>
    <t>% HRP2</t>
  </si>
  <si>
    <t>Ah Nauk Ywe Total</t>
  </si>
  <si>
    <t>Basare Total</t>
  </si>
  <si>
    <t>Baw Du Pha 1 Total</t>
  </si>
  <si>
    <t>Baw Du Pha 2 Total</t>
  </si>
  <si>
    <t>Dar Pai Total</t>
  </si>
  <si>
    <t>Dar Pai (IDP in host families) Total</t>
  </si>
  <si>
    <t>Kyauk Ta Lone Total</t>
  </si>
  <si>
    <t>Kyein Ni Pyin Total</t>
  </si>
  <si>
    <t>Maw Ti Ngar Total</t>
  </si>
  <si>
    <t>Nget Chaung 1 Total</t>
  </si>
  <si>
    <t>Nget Chaung 2 Total</t>
  </si>
  <si>
    <t>NiDin Total</t>
  </si>
  <si>
    <t>Ohn Taw Chay Total</t>
  </si>
  <si>
    <t>Ohn Taw Gyi (North) Total</t>
  </si>
  <si>
    <t>Ohn Taw Gyi (South) Total</t>
  </si>
  <si>
    <t>Say Tha Mar Gyi Total</t>
  </si>
  <si>
    <t>Sin Tet Maw Total</t>
  </si>
  <si>
    <t>Taung Paw Total</t>
  </si>
  <si>
    <t>Thae Chaung Total</t>
  </si>
  <si>
    <t>Thet Kae Pyin  Total</t>
  </si>
  <si>
    <t>Thet Kae Pyin Village (IDPs in host family) Total</t>
  </si>
  <si>
    <t>Khaung Doke Khar 2 (Hmanzi) Total</t>
  </si>
  <si>
    <t>Khaung Doke Khar 1 Total</t>
  </si>
  <si>
    <t>Phwe Yar Kone (Say Tha Mar Gyi) Total</t>
  </si>
  <si>
    <t>Baw Du Pha Village (IDP in host families) Total</t>
  </si>
  <si>
    <t>Count of #_Water samples_Tested_at_water_source</t>
  </si>
  <si>
    <t>Sum of #_Water samples_Tested_at_water_source2</t>
  </si>
  <si>
    <t>Sum of #_Water samples _passed_at_water source</t>
  </si>
  <si>
    <t xml:space="preserve"> # Passed</t>
  </si>
  <si>
    <t>Count of #_Water samples_Tested_at_HH</t>
  </si>
  <si>
    <t>Sum of #_Water samples_Tested_at_HH2</t>
  </si>
  <si>
    <t>Count of #_Water samples _passed_at_HH</t>
  </si>
  <si>
    <t>Sum of #_latrines_repaired</t>
  </si>
  <si>
    <t>Sum of #_Existing_latrines</t>
  </si>
  <si>
    <t>Sum of #_Functional_adult_latrines</t>
  </si>
  <si>
    <t>Sum of #_of_PWD_with_adapted_sanitation_option</t>
  </si>
  <si>
    <t>Sum of #_of_functional_children_latrines</t>
  </si>
  <si>
    <t>in this days there is no using water point execting there but distribution from water point.</t>
  </si>
  <si>
    <t>Hand washing with soap activity, to get safe water from mixing with chlorine tablets, personal grooming and hygiene activities, good practice of waste management system</t>
  </si>
  <si>
    <t>Camp Managemtnt Committee members, some Volunteers will maintain and repair WASH facilities.</t>
  </si>
  <si>
    <t>According to the water analysis, 
the contamination of (16%)water source is higher than household level(14%)</t>
  </si>
  <si>
    <t>According to the water analysis, 
the contamination of (16%)water source is less than household level(33%)</t>
  </si>
  <si>
    <t xml:space="preserve">According to the report, 50% of open defecation occurred and emptied of the pits are less than demands. Two of delduging activities were delayed due to the landowner issues faced by partner.
</t>
  </si>
  <si>
    <t xml:space="preserve">According to the report, assuming that emptied of the pits are met demands.
</t>
  </si>
  <si>
    <t>Operation and maintenance</t>
  </si>
  <si>
    <t>DRC,CMCs</t>
  </si>
  <si>
    <t>Their main concern is that INGO/NGO would leave from their camp and they would have no more access to humanitarian live-saving aids after camp closure.</t>
  </si>
  <si>
    <t>WASH committee and sub-group of skilled workers. They however still need capacities to manage WASH services and facilities.</t>
  </si>
  <si>
    <t>Overall HRP reached</t>
  </si>
  <si>
    <t>PWD_Male</t>
  </si>
  <si>
    <t>PWD_Female</t>
  </si>
  <si>
    <t>PWD_Total</t>
  </si>
  <si>
    <t># of Male_People with disabilities</t>
  </si>
  <si>
    <t># of Female_People with disabilities</t>
  </si>
  <si>
    <t># of Total_People with disabilities</t>
  </si>
  <si>
    <t>Average of %_of_Men_that_feel_safe_to_use_latrines_when_they_need_to_(or_at_day/night)'?</t>
  </si>
  <si>
    <t>Average of %_of_Women_that_feel_safe_to_use_latrines_when_they_need_to_(or_at_day/night)?</t>
  </si>
  <si>
    <t>Average of %_of_Boys_that_feel_safe_to_use_latrines_when_they_need_to_(or_at_day/night)?</t>
  </si>
  <si>
    <t>Average of %_of_Girlss_that_feel_safe_to_use_latrines_when_they_need_to_(or_at_day/night)?</t>
  </si>
  <si>
    <t>Safe</t>
  </si>
  <si>
    <t>Unsafe</t>
  </si>
  <si>
    <t>Status</t>
  </si>
  <si>
    <t>Men</t>
  </si>
  <si>
    <t>Women</t>
  </si>
  <si>
    <t>Boys</t>
  </si>
  <si>
    <t>Girls</t>
  </si>
  <si>
    <t>Count of Is_there_an_effective_solid_waste_management_system_in_place?</t>
  </si>
  <si>
    <t>Sum of #_students at TLS_CFS</t>
  </si>
  <si>
    <t>Sum of #_of_latrines_in_TLS/CFS</t>
  </si>
  <si>
    <t>Total Required Latrines</t>
  </si>
  <si>
    <t>Latrine Gap</t>
  </si>
  <si>
    <t>Latrines in TLS/CFS</t>
  </si>
  <si>
    <t>Sum of # of Total_People with disabilities</t>
  </si>
  <si>
    <t># People with disabilities</t>
  </si>
  <si>
    <t>No access to adapted sanitation option</t>
  </si>
  <si>
    <t>Access to adapted sanitation option</t>
  </si>
  <si>
    <t>Sum of #_of_affected_households_receiving_a_sufficient_quantity_of_soap</t>
  </si>
  <si>
    <t>Sum of #_of_affected_women_and_girls_receiving_a_sufficient_quantity_of_sanitary_pads</t>
  </si>
  <si>
    <t>Average of %_of_women_and_girls_who_report_that_they_have_an_adequate_system_for_disposing_of_used_sanitary_pads</t>
  </si>
  <si>
    <t>Average of %_of_affected_people_who_report_handwashing_at_key_times</t>
  </si>
  <si>
    <t>Average of %_of_households_observed_with_a_place_to_WASH_hands_with_soap_present</t>
  </si>
  <si>
    <t xml:space="preserve"> % of women and girls who report that they have an adequate system for disposing of used sanitary pads</t>
  </si>
  <si>
    <t xml:space="preserve"> % of affected people who report handwashing at key times</t>
  </si>
  <si>
    <t xml:space="preserve"> % of households observed with a place to WASH hands with soap present</t>
  </si>
  <si>
    <t>Average of %_of_TLS/CFS_with_a_designated_place_for_children_to_wash_hands_where_soap_is_available</t>
  </si>
  <si>
    <t xml:space="preserve"> # Functional water points in TLS/CFS</t>
  </si>
  <si>
    <t>Average of % of TLS/CFS with a designated place for children to wash hands where soap is available</t>
  </si>
  <si>
    <t>AAP</t>
  </si>
  <si>
    <t>Average of %_of_complaints_received_that_result_in_timely_corrective_action_and_feedback_to_the_community</t>
  </si>
  <si>
    <t>Average of %_of_affected_people_surveyed_who_report_feeling_satistfied_with_the_latrine_design_and_sanitation_service</t>
  </si>
  <si>
    <t>Average of %_of_affected_people_surveyed_who_report_feeling_satistfied_with_the_water_point_design_and_water_service</t>
  </si>
  <si>
    <t>% of affected people surveyed who report feeling satistfied with the latrine design and sanitation service</t>
  </si>
  <si>
    <t>% of affected people surveyed who report feeling satistfied with the water point design and water service</t>
  </si>
  <si>
    <t>% of complaints received that result in timely corrective action and feedback to the community</t>
  </si>
  <si>
    <t>Average of Avg_repair_time for_water_points_# days</t>
  </si>
  <si>
    <t>WATER_17. Water issues/challenges (Community Feedback)</t>
  </si>
  <si>
    <t>General_state</t>
  </si>
  <si>
    <t>Sanitation_23. Sanitation issues/challenges (Community Feedback)</t>
  </si>
  <si>
    <t>Hygiene_29. Hygiene Issues/Challenges (Community Feedback)</t>
  </si>
  <si>
    <t>Average of %_of_OD_within_15ft_of_latrines</t>
  </si>
  <si>
    <t>Sum of #_m3_of_faecal_sludge_removed_from_camp</t>
  </si>
  <si>
    <t>receiving_consultation_hygiene_promotion_messages_and_sessions</t>
  </si>
  <si>
    <t>No reached</t>
  </si>
  <si>
    <t>Reached</t>
  </si>
  <si>
    <t xml:space="preserve"> Total PoP </t>
  </si>
  <si>
    <t>No Reached</t>
  </si>
  <si>
    <t>Sum of #_ paid camp based WASH skilled labor</t>
  </si>
  <si>
    <t>Sum of #_paid camp based unskilled WASH unskilled labor</t>
  </si>
  <si>
    <t>Sum of #_men on camp WASH team</t>
  </si>
  <si>
    <t>Sum of #_women on camp WASH team</t>
  </si>
  <si>
    <t>Total consultations</t>
  </si>
  <si>
    <t>Cases of Acute watery diarrhea</t>
  </si>
  <si>
    <t>Health</t>
  </si>
  <si>
    <t>HEALTH</t>
  </si>
  <si>
    <t xml:space="preserve"> Total consultations</t>
  </si>
  <si>
    <t xml:space="preserve"> Cases of Acute watery diarrhea</t>
  </si>
  <si>
    <t xml:space="preserve"> Proportional mobidity of Acute watery diarrhea </t>
  </si>
  <si>
    <t>Green is 0 up to &lt; 3%</t>
  </si>
  <si>
    <t>Yellow is 3 up to &lt; 5%</t>
  </si>
  <si>
    <t>Red is ≥ 5%  </t>
  </si>
  <si>
    <t># of Sites</t>
  </si>
  <si>
    <t>Deaths of Acute watery diarrhea</t>
  </si>
  <si>
    <t>Sum of Deaths of Acute watery diarrhea</t>
  </si>
  <si>
    <t xml:space="preserve"># of mobile clinic in WASH coverage IDP camps </t>
  </si>
  <si>
    <t>WASH cluster coverage site</t>
  </si>
  <si>
    <t>LWF</t>
  </si>
  <si>
    <t>CCCM_2019June</t>
  </si>
  <si>
    <t>camp rely on ponds water + water treatment chlorination</t>
  </si>
  <si>
    <t xml:space="preserve">CDA implemented (1) time water quality testing in this period because of raining season. 
CDA repaired monthly water points and pipe line activity. Some month was 10 days and some months was more or less.
</t>
  </si>
  <si>
    <t>Child and disable latrines did not have in Kyauk Talone Camp. All people used common latrines in KTL Camp.</t>
  </si>
  <si>
    <t>Camp Management Committee members, some Volunteers will maintain and repair WASH facilities.</t>
  </si>
  <si>
    <t>camp rely on ponds water, pond sand filters + all HHs received water purifiers</t>
  </si>
  <si>
    <t>camp rely on ponds water, all HHs received water purifiers</t>
  </si>
  <si>
    <t>within 1 week</t>
  </si>
  <si>
    <t>According to the water testing, the contamination of household level is higher than the water source.According to the KAP surveys showed that their practices were good but in practical were less what we expected.So, we included one of the activities of awarding to the cleanest household by passing through the criteria of household visit observation scores, interview results as well as the result of water testing with No Risk. The awarded HHs are 45. We renovated most of the water points in Ohn Taw Gyi south including government,IRW as well as others. 48 times of chlorination to the water source were done during this reporting period.</t>
  </si>
  <si>
    <t xml:space="preserve">Emptying of sludge is under demands and the % of feeling safe to use latrine for the women is less and it can be because most of the latrines were repaired and they have to go and use the other part of latrines during the repairing time. 2 incinerators were repaired during this period and  2 times of mass cleaning campaigns were done during this reporting period.
</t>
  </si>
  <si>
    <t>2pcs of family care soap were distributed to the household during this period to include the PDM's feedback.According to the KAP survey, the knowledge is higher than we expact but in practical is less than what we expacted.</t>
  </si>
  <si>
    <t>73% of the respondents said that DRC</t>
  </si>
  <si>
    <t>According to the water testing, the contamination of household level is higher than the water source.According to the KAP surveys showed that their practices were good but in practical were less what we expected.So, we included one of the activities of awarding to the cleanest household by passing through the criteria of household visit observation scores, interview results as well as the result of water testing with No Risk. The awarded HHs are 13.We renovated all the water points of DRC in Phwe Yar Gone camp.40 times of chlorination at water source were done during this reporting period.</t>
  </si>
  <si>
    <t>1 incinerator was repaired during the reporting time of period.
2 times of mass cleaning campaigns were done.</t>
  </si>
  <si>
    <t>93% of the respondents said that DRC</t>
  </si>
  <si>
    <t>Sum of # People received regular supply of hygiene items_6</t>
  </si>
  <si>
    <t>Not_Functioning</t>
  </si>
  <si>
    <t># in camps (20:1)</t>
  </si>
  <si>
    <t>Sum of %_of_TLS/CFS_with_a_designated_place_for_children_to_wash_hands_where_soap_is_available</t>
  </si>
  <si>
    <t>Drikning water is distributed through 8 tap stands after chlorination and there are some hand dug wells and deep tube wells for domestic purposes. There is no significant issue or concern for water.</t>
  </si>
  <si>
    <t>As all ponds are full, there is no report of water issues at the time of visit.</t>
  </si>
  <si>
    <t>Latrines are handed over to small group of families and used by family-shared approach. Some of the latrines have no key and community requested to provide the keys.</t>
  </si>
  <si>
    <t>One hygiene kit includes one sanitary pad and one HH receives only one sanitary pad which is not enough for families with more than one female. Community requested to distribute more sinitary pads.</t>
  </si>
  <si>
    <t>Sanitary pads are not enough and community requested to distribute more sanitary pads.</t>
  </si>
  <si>
    <t>CDA repaired monthly water points and pipe line activity. Some month was 10 days and some months was more or less.</t>
  </si>
  <si>
    <t>Their primary concerns are all WASH activities will be stopped and no more access to humanitarian aids after the camp is declared closed by the government.</t>
  </si>
  <si>
    <t xml:space="preserve">Camp community and local government authorities will have to take responsibility to maintain and repair WASH facilities. But the camp peoples still have very limited access to livelihood opportunities and markets and they still cannot or dare not to move out of the camp freely. The local authorities also have very limited capacity as well as very low interest to respond WASH needs for the camp community. In this given situation, external humanitarian assistances will continue to be very crucial to support WASH needs for the camp peoples minimum two years depending on the improvements of camp closure procedures made by the government even after the camp is declared as closed.   </t>
  </si>
  <si>
    <t>no KAP survey conducted during the period</t>
  </si>
  <si>
    <t>UNICEF, OFDA</t>
  </si>
  <si>
    <t>Data about proctice of handwashing from last KAP done in september 2019</t>
  </si>
  <si>
    <t>YES</t>
  </si>
  <si>
    <t>Rakhine (SRP)</t>
  </si>
  <si>
    <r>
      <t>% of affected people surveyed who report</t>
    </r>
    <r>
      <rPr>
        <b/>
        <u/>
        <sz val="10"/>
        <rFont val="Corbel"/>
        <family val="2"/>
      </rPr>
      <t xml:space="preserve"> feeling informe</t>
    </r>
    <r>
      <rPr>
        <sz val="10"/>
        <rFont val="Corbel"/>
        <family val="2"/>
      </rPr>
      <t>d about the different WASH services available to them</t>
    </r>
  </si>
  <si>
    <t>%_of_affected_people_surveyed_who_report_feeling_informed_about_the_different_WASH_services_available_to_them</t>
  </si>
  <si>
    <t>Average of %_of_affected_people_surveyed_who_report_feeling_informed_about_the_different_WASH_services_available_to_them</t>
  </si>
  <si>
    <t xml:space="preserve"> OXSI (Oxfam), OXSI (SI)</t>
  </si>
  <si>
    <t>% of affected people surveyed who report feeling informed about the different WASH services available to them</t>
  </si>
  <si>
    <t>2019-4th Qtr 4W Camp DASHBOARD</t>
  </si>
  <si>
    <t>Community Feedback (Q4-2019) from Cluster Team Monitoring</t>
  </si>
  <si>
    <t>No drinking water and buying pure water bottles 1000 MMK per 1 Bottle</t>
  </si>
  <si>
    <t>Poor construction of water points by OXFAM and Govt.</t>
  </si>
  <si>
    <t>Nil</t>
  </si>
  <si>
    <t>There was no water quality testing during the last quarter. CDA conducted the water safety plan training there. But the water, is used for both drinking and domestic purposes.</t>
  </si>
  <si>
    <t>Fencing of water pond need and high risk for children</t>
  </si>
  <si>
    <t>SI hires the latrine cleaner once a week and community complainted that it is not enough and requested to increase the frequency for latrine cleaning. Some requested to do the latrine maintenance.</t>
  </si>
  <si>
    <t>Community complainted that SI hires the latrine cleaners once a week and this is not enough. Some latrines also need repair.</t>
  </si>
  <si>
    <t>Both the superstructures and pits are slightly older now, and no there is desludging plan for future after discussion with communities</t>
  </si>
  <si>
    <t>Desludging for HH latrines</t>
  </si>
  <si>
    <t>No extra space for desludging activities</t>
  </si>
  <si>
    <t>It was observed that there is sufficient soap available in the relocations site markets, but not sanitary pads</t>
  </si>
  <si>
    <t>Full Hygiene kits distribution was urgent needed</t>
  </si>
  <si>
    <t>RAKHINE STATE - IDP sites  (2019 - Qtr 4 - 4W Analysis, as of 31 December 2019)_DRAFT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</si>
</sst>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43" formatCode="_(* #,##0.00_);_(* \(#,##0.00\);_(* &quot;-&quot;??_);_(@_)"/>
    <numFmt numFmtId="164" formatCode="_(* #,##0_);_(* \(#,##0\);_(* &quot;-&quot;??_);_(@_)"/>
    <numFmt numFmtId="165" formatCode="[$-409]d\-mmm\-yy;@"/>
    <numFmt numFmtId="166" formatCode="[$-409]d/mmm/yy;@"/>
    <numFmt numFmtId="167" formatCode="yyyy/mm/dd"/>
    <numFmt numFmtId="168" formatCode="[$-409]d\-mmm\-yyyy;@"/>
    <numFmt numFmtId="169" formatCode="0.0%"/>
  </numFmts>
  <fonts count="147">
    <font>
      <sz val="12"/>
      <color theme="1"/>
      <name val="Times New Roman"/>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font>
    <font>
      <sz val="11"/>
      <color theme="1"/>
      <name val="Calibri"/>
      <family val="2"/>
    </font>
    <font>
      <sz val="12"/>
      <color theme="1"/>
      <name val="Times New Roman"/>
      <family val="2"/>
    </font>
    <font>
      <sz val="11"/>
      <color theme="1"/>
      <name val="Calibri"/>
      <family val="2"/>
      <scheme val="minor"/>
    </font>
    <font>
      <b/>
      <sz val="9"/>
      <color indexed="81"/>
      <name val="Tahoma"/>
      <family val="2"/>
    </font>
    <font>
      <sz val="9"/>
      <color indexed="81"/>
      <name val="Tahoma"/>
      <family val="2"/>
    </font>
    <font>
      <b/>
      <sz val="10"/>
      <color rgb="FFFFFFFF"/>
      <name val="Corbel"/>
      <family val="2"/>
    </font>
    <font>
      <sz val="10"/>
      <color rgb="FF2C2C2C"/>
      <name val="Corbel"/>
      <family val="2"/>
    </font>
    <font>
      <b/>
      <sz val="12"/>
      <color theme="1"/>
      <name val="Gill Sans MT"/>
      <family val="2"/>
    </font>
    <font>
      <sz val="12"/>
      <color theme="1"/>
      <name val="Gill Sans MT"/>
      <family val="2"/>
    </font>
    <font>
      <b/>
      <sz val="10"/>
      <color rgb="FF2C2C2C"/>
      <name val="Corbel"/>
      <family val="2"/>
    </font>
    <font>
      <sz val="12"/>
      <color rgb="FF2C2C2C"/>
      <name val="Gill Sans MT"/>
      <family val="2"/>
    </font>
    <font>
      <b/>
      <sz val="11"/>
      <color theme="1"/>
      <name val="Calibri"/>
      <family val="2"/>
      <scheme val="minor"/>
    </font>
    <font>
      <sz val="10"/>
      <color theme="1"/>
      <name val="Corbel"/>
      <family val="2"/>
    </font>
    <font>
      <sz val="10"/>
      <name val="Corbel"/>
      <family val="2"/>
    </font>
    <font>
      <sz val="10"/>
      <color theme="1"/>
      <name val="Calibri"/>
      <family val="2"/>
      <scheme val="minor"/>
    </font>
    <font>
      <b/>
      <sz val="10"/>
      <name val="Corbel"/>
      <family val="2"/>
    </font>
    <font>
      <b/>
      <sz val="14"/>
      <color theme="0"/>
      <name val="Corbel"/>
      <family val="2"/>
    </font>
    <font>
      <sz val="12"/>
      <color theme="1"/>
      <name val="Corbel"/>
      <family val="2"/>
    </font>
    <font>
      <b/>
      <sz val="18"/>
      <color theme="0"/>
      <name val="Calibri"/>
      <family val="2"/>
      <scheme val="minor"/>
    </font>
    <font>
      <sz val="18"/>
      <color theme="0"/>
      <name val="Calibri"/>
      <family val="2"/>
    </font>
    <font>
      <b/>
      <sz val="18"/>
      <color theme="0"/>
      <name val="Calibri"/>
      <family val="2"/>
    </font>
    <font>
      <b/>
      <sz val="12"/>
      <color theme="0"/>
      <name val="Corbel"/>
      <family val="2"/>
    </font>
    <font>
      <sz val="12"/>
      <color theme="0"/>
      <name val="Corbel"/>
      <family val="2"/>
    </font>
    <font>
      <b/>
      <sz val="10"/>
      <color rgb="FFFF0000"/>
      <name val="Corbel"/>
      <family val="2"/>
    </font>
    <font>
      <b/>
      <sz val="11"/>
      <color theme="0"/>
      <name val="Corbel"/>
      <family val="2"/>
    </font>
    <font>
      <b/>
      <sz val="11"/>
      <color rgb="FFFF0000"/>
      <name val="Corbel"/>
      <family val="2"/>
    </font>
    <font>
      <b/>
      <sz val="12"/>
      <color theme="1"/>
      <name val="Times New Roman"/>
      <family val="1"/>
    </font>
    <font>
      <b/>
      <sz val="11"/>
      <color theme="9" tint="-0.499984740745262"/>
      <name val="Corbel"/>
      <family val="2"/>
    </font>
    <font>
      <sz val="10"/>
      <color indexed="8"/>
      <name val="Arial"/>
      <family val="2"/>
    </font>
    <font>
      <sz val="10"/>
      <color rgb="FF2C2C2C"/>
      <name val="Calibri"/>
      <family val="2"/>
      <scheme val="minor"/>
    </font>
    <font>
      <sz val="10"/>
      <color indexed="8"/>
      <name val="Calibri"/>
      <family val="2"/>
      <scheme val="minor"/>
    </font>
    <font>
      <b/>
      <sz val="10"/>
      <color theme="0" tint="-0.249977111117893"/>
      <name val="Corbel"/>
      <family val="2"/>
    </font>
    <font>
      <sz val="10"/>
      <color theme="0" tint="-0.249977111117893"/>
      <name val="Corbel"/>
      <family val="2"/>
    </font>
    <font>
      <sz val="11"/>
      <color rgb="FF006100"/>
      <name val="Calibri"/>
      <family val="2"/>
    </font>
    <font>
      <sz val="11"/>
      <color rgb="FF9C0006"/>
      <name val="Calibri"/>
      <family val="2"/>
    </font>
    <font>
      <b/>
      <sz val="11"/>
      <color rgb="FF006100"/>
      <name val="Calibri"/>
      <family val="2"/>
      <scheme val="minor"/>
    </font>
    <font>
      <b/>
      <sz val="11"/>
      <color rgb="FF9C0006"/>
      <name val="Calibri"/>
      <family val="2"/>
      <scheme val="minor"/>
    </font>
    <font>
      <b/>
      <sz val="15"/>
      <color theme="0"/>
      <name val="Corbel"/>
      <family val="2"/>
    </font>
    <font>
      <sz val="10"/>
      <color theme="4" tint="0.59999389629810485"/>
      <name val="Corbel"/>
      <family val="2"/>
    </font>
    <font>
      <sz val="10"/>
      <color theme="5" tint="0.79998168889431442"/>
      <name val="Corbel"/>
      <family val="2"/>
    </font>
    <font>
      <sz val="10"/>
      <color rgb="FF92D050"/>
      <name val="Corbel"/>
      <family val="2"/>
    </font>
    <font>
      <sz val="11"/>
      <color theme="4" tint="0.79998168889431442"/>
      <name val="Calibri"/>
      <family val="2"/>
      <scheme val="minor"/>
    </font>
    <font>
      <sz val="10"/>
      <color rgb="FFFF0000"/>
      <name val="Corbel"/>
      <family val="2"/>
    </font>
    <font>
      <sz val="11"/>
      <color theme="5" tint="0.79998168889431442"/>
      <name val="Calibri"/>
      <family val="2"/>
      <scheme val="minor"/>
    </font>
    <font>
      <sz val="11"/>
      <color theme="9" tint="0.79998168889431442"/>
      <name val="Calibri"/>
      <family val="2"/>
      <scheme val="minor"/>
    </font>
    <font>
      <sz val="9"/>
      <color theme="1"/>
      <name val="Corbel"/>
      <family val="2"/>
    </font>
    <font>
      <sz val="9"/>
      <color rgb="FF2C2C2C"/>
      <name val="Corbel"/>
      <family val="2"/>
    </font>
    <font>
      <sz val="9"/>
      <name val="Corbel"/>
      <family val="2"/>
    </font>
    <font>
      <sz val="12"/>
      <color theme="1"/>
      <name val="Calibri"/>
      <family val="2"/>
      <scheme val="minor"/>
    </font>
    <font>
      <b/>
      <sz val="12"/>
      <color theme="1"/>
      <name val="Calibri"/>
      <family val="2"/>
      <scheme val="minor"/>
    </font>
    <font>
      <b/>
      <sz val="15"/>
      <color theme="3"/>
      <name val="Calibri"/>
      <family val="2"/>
      <scheme val="minor"/>
    </font>
    <font>
      <sz val="14"/>
      <color theme="1"/>
      <name val="Calibri"/>
      <family val="2"/>
      <scheme val="minor"/>
    </font>
    <font>
      <b/>
      <sz val="20"/>
      <color theme="0"/>
      <name val="Corbel"/>
      <family val="2"/>
    </font>
    <font>
      <sz val="10"/>
      <name val="Calibri"/>
      <family val="2"/>
      <scheme val="minor"/>
    </font>
    <font>
      <sz val="12"/>
      <color theme="0"/>
      <name val="Calibri"/>
      <family val="2"/>
      <scheme val="minor"/>
    </font>
    <font>
      <sz val="12"/>
      <color rgb="FF2C2C2C"/>
      <name val="Calibri"/>
      <family val="2"/>
      <scheme val="minor"/>
    </font>
    <font>
      <b/>
      <sz val="12"/>
      <color rgb="FF000000"/>
      <name val="Calibri"/>
      <family val="2"/>
      <scheme val="minor"/>
    </font>
    <font>
      <b/>
      <sz val="12"/>
      <color rgb="FFFF0000"/>
      <name val="Calibri"/>
      <family val="2"/>
      <scheme val="minor"/>
    </font>
    <font>
      <b/>
      <sz val="14"/>
      <color theme="1"/>
      <name val="Calibri"/>
      <family val="2"/>
      <scheme val="minor"/>
    </font>
    <font>
      <b/>
      <sz val="20"/>
      <color theme="0"/>
      <name val="Calibri"/>
      <family val="2"/>
      <scheme val="minor"/>
    </font>
    <font>
      <b/>
      <sz val="14"/>
      <color theme="0"/>
      <name val="Calibri"/>
      <family val="2"/>
      <scheme val="minor"/>
    </font>
    <font>
      <b/>
      <sz val="11"/>
      <color theme="0"/>
      <name val="Calibri"/>
      <family val="2"/>
      <scheme val="minor"/>
    </font>
    <font>
      <sz val="11"/>
      <color theme="1"/>
      <name val="Times New Roman"/>
      <family val="2"/>
    </font>
    <font>
      <sz val="11"/>
      <color theme="4" tint="-0.249977111117893"/>
      <name val="Calibri"/>
      <family val="2"/>
      <scheme val="minor"/>
    </font>
    <font>
      <sz val="11"/>
      <color theme="5" tint="-0.249977111117893"/>
      <name val="Calibri"/>
      <family val="2"/>
      <scheme val="minor"/>
    </font>
    <font>
      <sz val="11"/>
      <color theme="0"/>
      <name val="Calibri"/>
      <family val="2"/>
      <scheme val="minor"/>
    </font>
    <font>
      <b/>
      <i/>
      <sz val="11"/>
      <color theme="1"/>
      <name val="Calibri"/>
      <family val="2"/>
      <scheme val="minor"/>
    </font>
    <font>
      <b/>
      <sz val="12"/>
      <color theme="0"/>
      <name val="Calibri"/>
      <family val="2"/>
      <scheme val="minor"/>
    </font>
    <font>
      <sz val="10"/>
      <color theme="1"/>
      <name val="Calibri"/>
      <family val="2"/>
      <scheme val="minor"/>
    </font>
    <font>
      <sz val="11"/>
      <color indexed="8"/>
      <name val="Calibri"/>
      <family val="2"/>
      <scheme val="minor"/>
    </font>
    <font>
      <b/>
      <sz val="12"/>
      <color rgb="FFFF0000"/>
      <name val="Corbel"/>
      <family val="2"/>
    </font>
    <font>
      <b/>
      <sz val="11"/>
      <color theme="5"/>
      <name val="Corbel"/>
      <family val="2"/>
    </font>
    <font>
      <b/>
      <sz val="12"/>
      <color theme="1"/>
      <name val="Times New Roman"/>
      <family val="2"/>
    </font>
    <font>
      <b/>
      <sz val="16"/>
      <color theme="0"/>
      <name val="Calibri"/>
      <family val="2"/>
      <scheme val="minor"/>
    </font>
    <font>
      <sz val="11"/>
      <name val="Calibri"/>
      <family val="2"/>
      <scheme val="minor"/>
    </font>
    <font>
      <b/>
      <i/>
      <u/>
      <sz val="11"/>
      <color theme="1"/>
      <name val="Calibri"/>
      <family val="2"/>
      <scheme val="minor"/>
    </font>
    <font>
      <sz val="10"/>
      <color theme="1"/>
      <name val="Calibri"/>
      <family val="2"/>
      <scheme val="minor"/>
    </font>
    <font>
      <sz val="10"/>
      <color theme="1"/>
      <name val="Calibri"/>
      <family val="2"/>
      <scheme val="minor"/>
    </font>
    <font>
      <b/>
      <u/>
      <sz val="10"/>
      <color rgb="FFFF0000"/>
      <name val="Corbel"/>
      <family val="2"/>
    </font>
    <font>
      <b/>
      <sz val="12"/>
      <color rgb="FF2C2C2C"/>
      <name val="Gill Sans MT"/>
      <family val="2"/>
    </font>
    <font>
      <sz val="9"/>
      <name val="zawgyi1"/>
      <family val="2"/>
    </font>
    <font>
      <sz val="9"/>
      <color theme="0"/>
      <name val="Corbel"/>
      <family val="2"/>
    </font>
    <font>
      <b/>
      <sz val="12"/>
      <color rgb="FFFFFFFF"/>
      <name val="Corbel"/>
      <family val="2"/>
    </font>
    <font>
      <sz val="10"/>
      <name val="zawgyi1"/>
      <family val="2"/>
    </font>
    <font>
      <sz val="10"/>
      <name val="Zawgyi-One"/>
      <family val="2"/>
    </font>
    <font>
      <sz val="9"/>
      <name val="Zawgyi-One"/>
      <family val="2"/>
    </font>
    <font>
      <b/>
      <sz val="10"/>
      <name val="Zawgyi-One"/>
      <family val="2"/>
    </font>
    <font>
      <sz val="8"/>
      <color theme="1"/>
      <name val="zawgyi1"/>
      <family val="2"/>
    </font>
    <font>
      <b/>
      <sz val="8"/>
      <color theme="0"/>
      <name val="zawgyi1"/>
      <family val="2"/>
    </font>
    <font>
      <b/>
      <sz val="8"/>
      <name val="zawgyi1"/>
      <family val="2"/>
    </font>
    <font>
      <sz val="18"/>
      <name val="Corbel"/>
      <family val="2"/>
    </font>
    <font>
      <sz val="11"/>
      <name val="Calibri"/>
      <family val="2"/>
    </font>
    <font>
      <sz val="18"/>
      <name val="zawgyi1"/>
      <family val="2"/>
    </font>
    <font>
      <sz val="11"/>
      <name val="zawgyi1"/>
      <family val="2"/>
    </font>
    <font>
      <sz val="8"/>
      <color rgb="FF2C2C2C"/>
      <name val="Zawgyi-One"/>
      <family val="2"/>
    </font>
    <font>
      <sz val="8"/>
      <name val="Zawgyi-One"/>
      <family val="2"/>
    </font>
    <font>
      <sz val="8"/>
      <color theme="1"/>
      <name val="Zawgyi-One"/>
      <family val="2"/>
    </font>
    <font>
      <b/>
      <sz val="10"/>
      <color theme="0"/>
      <name val="Corbel"/>
      <family val="2"/>
    </font>
    <font>
      <b/>
      <sz val="14"/>
      <color theme="0"/>
      <name val="zawgyi1"/>
      <family val="2"/>
    </font>
    <font>
      <b/>
      <sz val="14"/>
      <color rgb="FFFFC000"/>
      <name val="zawgyi1"/>
      <family val="2"/>
    </font>
    <font>
      <sz val="10"/>
      <color rgb="FF2C2C2C"/>
      <name val="Corbel"/>
      <family val="2"/>
    </font>
    <font>
      <sz val="12"/>
      <color theme="0"/>
      <name val="Times New Roman"/>
      <family val="2"/>
    </font>
    <font>
      <sz val="12"/>
      <name val="Calibri"/>
      <family val="2"/>
      <scheme val="minor"/>
    </font>
    <font>
      <b/>
      <sz val="11"/>
      <color theme="0"/>
      <name val="Calibri"/>
      <family val="2"/>
      <scheme val="minor"/>
    </font>
    <font>
      <sz val="11"/>
      <color theme="0"/>
      <name val="Calibri"/>
      <family val="2"/>
      <scheme val="minor"/>
    </font>
    <font>
      <sz val="10"/>
      <color theme="1"/>
      <name val="Calibri"/>
      <family val="2"/>
      <scheme val="minor"/>
    </font>
    <font>
      <sz val="11"/>
      <color theme="1"/>
      <name val="Calibri"/>
      <family val="2"/>
      <scheme val="minor"/>
    </font>
    <font>
      <sz val="10"/>
      <color theme="1"/>
      <name val="Calibri"/>
      <family val="2"/>
      <scheme val="minor"/>
    </font>
    <font>
      <b/>
      <u/>
      <sz val="10"/>
      <name val="Corbel"/>
      <family val="2"/>
    </font>
    <font>
      <sz val="10"/>
      <color theme="0"/>
      <name val="Corbel"/>
      <family val="2"/>
    </font>
    <font>
      <sz val="9"/>
      <name val="Crobel"/>
    </font>
    <font>
      <b/>
      <sz val="10"/>
      <color rgb="FF0070C0"/>
      <name val="Corbel"/>
      <family val="2"/>
    </font>
    <font>
      <b/>
      <sz val="10"/>
      <color theme="5" tint="-0.249977111117893"/>
      <name val="Corbel"/>
      <family val="2"/>
    </font>
    <font>
      <b/>
      <sz val="10"/>
      <color theme="5"/>
      <name val="Corbel"/>
      <family val="2"/>
    </font>
    <font>
      <b/>
      <sz val="10"/>
      <color rgb="FF00B050"/>
      <name val="Corbel"/>
      <family val="2"/>
    </font>
    <font>
      <b/>
      <sz val="10"/>
      <color rgb="FFFFC000"/>
      <name val="Corbel"/>
      <family val="2"/>
    </font>
    <font>
      <b/>
      <sz val="10"/>
      <color theme="9" tint="-0.499984740745262"/>
      <name val="Corbel"/>
      <family val="2"/>
    </font>
    <font>
      <b/>
      <sz val="12"/>
      <name val="Calibri"/>
      <family val="2"/>
      <scheme val="minor"/>
    </font>
    <font>
      <sz val="11"/>
      <color theme="9" tint="-0.249977111117893"/>
      <name val="Calibri"/>
      <family val="2"/>
      <scheme val="minor"/>
    </font>
    <font>
      <b/>
      <sz val="11"/>
      <color theme="1"/>
      <name val="Calibri"/>
      <family val="2"/>
      <scheme val="minor"/>
    </font>
    <font>
      <sz val="11"/>
      <color theme="4" tint="-0.249977111117893"/>
      <name val="Calibri"/>
      <family val="2"/>
      <scheme val="minor"/>
    </font>
    <font>
      <sz val="11"/>
      <color theme="6" tint="-0.249977111117893"/>
      <name val="Calibri"/>
      <family val="2"/>
      <scheme val="minor"/>
    </font>
    <font>
      <b/>
      <sz val="11"/>
      <color theme="6" tint="-0.249977111117893"/>
      <name val="Calibri"/>
      <family val="2"/>
      <scheme val="minor"/>
    </font>
    <font>
      <sz val="10"/>
      <color rgb="FF2C2C2C"/>
      <name val="Corbel"/>
      <family val="2"/>
    </font>
    <font>
      <b/>
      <sz val="11"/>
      <color theme="6" tint="-0.249977111117893"/>
      <name val="Calibri"/>
      <family val="2"/>
      <scheme val="minor"/>
    </font>
    <font>
      <sz val="11"/>
      <color theme="6" tint="-0.249977111117893"/>
      <name val="Calibri"/>
      <family val="2"/>
      <scheme val="minor"/>
    </font>
    <font>
      <sz val="11"/>
      <color theme="1"/>
      <name val="Calibri"/>
      <family val="2"/>
      <scheme val="minor"/>
    </font>
    <font>
      <b/>
      <sz val="11"/>
      <color theme="6" tint="-0.249977111117893"/>
      <name val="Calibri"/>
      <family val="2"/>
      <scheme val="minor"/>
    </font>
    <font>
      <sz val="11"/>
      <color theme="6" tint="-0.249977111117893"/>
      <name val="Calibri"/>
      <family val="2"/>
      <scheme val="minor"/>
    </font>
    <font>
      <sz val="10"/>
      <color rgb="FF2C2C2C"/>
      <name val="Corbel"/>
      <family val="2"/>
    </font>
    <font>
      <sz val="12"/>
      <color rgb="FFFF0000"/>
      <name val="Calibri"/>
      <family val="2"/>
      <scheme val="minor"/>
    </font>
    <font>
      <sz val="12"/>
      <color theme="1"/>
      <name val="Calibri"/>
      <family val="2"/>
      <scheme val="minor"/>
    </font>
    <font>
      <sz val="11"/>
      <color theme="1"/>
      <name val="Calibri"/>
      <family val="2"/>
      <scheme val="minor"/>
    </font>
    <font>
      <b/>
      <sz val="11"/>
      <color theme="0"/>
      <name val="Calibri"/>
      <family val="2"/>
      <scheme val="minor"/>
    </font>
    <font>
      <sz val="12"/>
      <color theme="0"/>
      <name val="Calibri"/>
      <family val="2"/>
      <scheme val="minor"/>
    </font>
    <font>
      <sz val="12"/>
      <name val="Calibri"/>
      <family val="2"/>
      <scheme val="minor"/>
    </font>
  </fonts>
  <fills count="59">
    <fill>
      <patternFill patternType="none"/>
    </fill>
    <fill>
      <patternFill patternType="gray125"/>
    </fill>
    <fill>
      <patternFill patternType="solid">
        <fgColor rgb="FFFFC000"/>
        <bgColor indexed="64"/>
      </patternFill>
    </fill>
    <fill>
      <patternFill patternType="solid">
        <fgColor rgb="FFFFE8CB"/>
        <bgColor indexed="64"/>
      </patternFill>
    </fill>
    <fill>
      <patternFill patternType="solid">
        <fgColor rgb="FFFFF4E7"/>
        <bgColor indexed="64"/>
      </patternFill>
    </fill>
    <fill>
      <patternFill patternType="solid">
        <fgColor theme="4" tint="-0.249977111117893"/>
        <bgColor indexed="64"/>
      </patternFill>
    </fill>
    <fill>
      <patternFill patternType="solid">
        <fgColor theme="5" tint="0.39997558519241921"/>
        <bgColor indexed="64"/>
      </patternFill>
    </fill>
    <fill>
      <patternFill patternType="solid">
        <fgColor theme="5" tint="0.59999389629810485"/>
        <bgColor indexed="64"/>
      </patternFill>
    </fill>
    <fill>
      <patternFill patternType="solid">
        <fgColor theme="5" tint="-0.249977111117893"/>
        <bgColor indexed="64"/>
      </patternFill>
    </fill>
    <fill>
      <patternFill patternType="solid">
        <fgColor theme="9" tint="-0.249977111117893"/>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theme="0" tint="-0.249977111117893"/>
        <bgColor indexed="64"/>
      </patternFill>
    </fill>
    <fill>
      <patternFill patternType="solid">
        <fgColor theme="0"/>
        <bgColor indexed="64"/>
      </patternFill>
    </fill>
    <fill>
      <patternFill patternType="solid">
        <fgColor rgb="FF0070C0"/>
        <bgColor indexed="64"/>
      </patternFill>
    </fill>
    <fill>
      <patternFill patternType="solid">
        <fgColor theme="8" tint="-0.249977111117893"/>
        <bgColor indexed="64"/>
      </patternFill>
    </fill>
    <fill>
      <patternFill patternType="solid">
        <fgColor theme="7" tint="-0.249977111117893"/>
        <bgColor indexed="64"/>
      </patternFill>
    </fill>
    <fill>
      <patternFill patternType="solid">
        <fgColor theme="7" tint="0.79998168889431442"/>
        <bgColor indexed="64"/>
      </patternFill>
    </fill>
    <fill>
      <patternFill patternType="solid">
        <fgColor theme="4" tint="0.39997558519241921"/>
        <bgColor indexed="64"/>
      </patternFill>
    </fill>
    <fill>
      <patternFill patternType="solid">
        <fgColor theme="9" tint="0.39997558519241921"/>
        <bgColor indexed="64"/>
      </patternFill>
    </fill>
    <fill>
      <patternFill patternType="solid">
        <fgColor theme="8" tint="0.79998168889431442"/>
        <bgColor indexed="64"/>
      </patternFill>
    </fill>
    <fill>
      <patternFill patternType="solid">
        <fgColor theme="6"/>
        <bgColor indexed="64"/>
      </patternFill>
    </fill>
    <fill>
      <patternFill patternType="solid">
        <fgColor theme="2" tint="-0.249977111117893"/>
        <bgColor indexed="64"/>
      </patternFill>
    </fill>
    <fill>
      <patternFill patternType="solid">
        <fgColor theme="8"/>
        <bgColor indexed="64"/>
      </patternFill>
    </fill>
    <fill>
      <patternFill patternType="solid">
        <fgColor rgb="FFC6EFCE"/>
      </patternFill>
    </fill>
    <fill>
      <patternFill patternType="solid">
        <fgColor rgb="FFFFC7CE"/>
      </patternFill>
    </fill>
    <fill>
      <patternFill patternType="solid">
        <fgColor theme="1"/>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theme="3" tint="-0.499984740745262"/>
        <bgColor indexed="64"/>
      </patternFill>
    </fill>
    <fill>
      <patternFill patternType="solid">
        <fgColor rgb="FFD4E8C6"/>
        <bgColor indexed="64"/>
      </patternFill>
    </fill>
    <fill>
      <patternFill patternType="solid">
        <fgColor theme="4" tint="0.79998168889431442"/>
        <bgColor theme="4" tint="0.79998168889431442"/>
      </patternFill>
    </fill>
    <fill>
      <patternFill patternType="solid">
        <fgColor rgb="FFFF0000"/>
        <bgColor indexed="64"/>
      </patternFill>
    </fill>
    <fill>
      <patternFill patternType="solid">
        <fgColor rgb="FF85C2FF"/>
        <bgColor indexed="64"/>
      </patternFill>
    </fill>
    <fill>
      <patternFill patternType="solid">
        <fgColor theme="7" tint="0.39997558519241921"/>
        <bgColor indexed="64"/>
      </patternFill>
    </fill>
    <fill>
      <patternFill patternType="solid">
        <fgColor theme="4"/>
        <bgColor theme="4"/>
      </patternFill>
    </fill>
    <fill>
      <patternFill patternType="solid">
        <fgColor theme="9" tint="-0.499984740745262"/>
        <bgColor indexed="64"/>
      </patternFill>
    </fill>
    <fill>
      <patternFill patternType="solid">
        <fgColor theme="0" tint="-0.34998626667073579"/>
        <bgColor indexed="64"/>
      </patternFill>
    </fill>
    <fill>
      <patternFill patternType="solid">
        <fgColor rgb="FFFF898C"/>
        <bgColor indexed="64"/>
      </patternFill>
    </fill>
    <fill>
      <patternFill patternType="solid">
        <fgColor theme="5" tint="-0.249977111117893"/>
        <bgColor theme="5" tint="-0.249977111117893"/>
      </patternFill>
    </fill>
    <fill>
      <patternFill patternType="solid">
        <fgColor rgb="FF002060"/>
        <bgColor indexed="64"/>
      </patternFill>
    </fill>
    <fill>
      <patternFill patternType="solid">
        <fgColor rgb="FF098A9B"/>
        <bgColor indexed="64"/>
      </patternFill>
    </fill>
    <fill>
      <patternFill patternType="solid">
        <fgColor rgb="FF00B050"/>
        <bgColor indexed="64"/>
      </patternFill>
    </fill>
    <fill>
      <patternFill patternType="solid">
        <fgColor theme="0" tint="-4.9989318521683403E-2"/>
        <bgColor indexed="64"/>
      </patternFill>
    </fill>
    <fill>
      <patternFill patternType="solid">
        <fgColor theme="2" tint="-0.89999084444715716"/>
        <bgColor indexed="64"/>
      </patternFill>
    </fill>
    <fill>
      <patternFill patternType="solid">
        <fgColor theme="0" tint="-0.499984740745262"/>
        <bgColor indexed="64"/>
      </patternFill>
    </fill>
    <fill>
      <patternFill patternType="solid">
        <fgColor theme="7" tint="0.59999389629810485"/>
        <bgColor indexed="64"/>
      </patternFill>
    </fill>
    <fill>
      <patternFill patternType="solid">
        <fgColor theme="2"/>
        <bgColor indexed="64"/>
      </patternFill>
    </fill>
    <fill>
      <patternFill patternType="solid">
        <fgColor rgb="FFE4B6E4"/>
        <bgColor indexed="64"/>
      </patternFill>
    </fill>
    <fill>
      <patternFill patternType="solid">
        <fgColor rgb="FF7030A0"/>
        <bgColor indexed="64"/>
      </patternFill>
    </fill>
    <fill>
      <patternFill patternType="solid">
        <fgColor rgb="FFD692D6"/>
        <bgColor indexed="64"/>
      </patternFill>
    </fill>
    <fill>
      <patternFill patternType="solid">
        <fgColor theme="2" tint="-9.9978637043366805E-2"/>
        <bgColor indexed="64"/>
      </patternFill>
    </fill>
    <fill>
      <patternFill patternType="solid">
        <fgColor theme="6" tint="0.79998168889431442"/>
        <bgColor theme="6" tint="0.79998168889431442"/>
      </patternFill>
    </fill>
    <fill>
      <patternFill patternType="solid">
        <fgColor theme="5" tint="0.39997558519241921"/>
        <bgColor theme="5" tint="0.39997558519241921"/>
      </patternFill>
    </fill>
    <fill>
      <patternFill patternType="solid">
        <fgColor theme="9" tint="-0.249977111117893"/>
        <bgColor theme="6" tint="-0.249977111117893"/>
      </patternFill>
    </fill>
    <fill>
      <patternFill patternType="solid">
        <fgColor theme="9" tint="0.39997558519241921"/>
        <bgColor theme="6" tint="0.39997558519241921"/>
      </patternFill>
    </fill>
    <fill>
      <patternFill patternType="solid">
        <fgColor rgb="FF0070C0"/>
        <bgColor theme="8" tint="-0.249977111117893"/>
      </patternFill>
    </fill>
    <fill>
      <patternFill patternType="solid">
        <fgColor theme="8" tint="0.59999389629810485"/>
        <bgColor theme="8" tint="0.39997558519241921"/>
      </patternFill>
    </fill>
    <fill>
      <patternFill patternType="solid">
        <fgColor theme="6" tint="0.59999389629810485"/>
        <bgColor theme="6" tint="0.59999389629810485"/>
      </patternFill>
    </fill>
  </fills>
  <borders count="176">
    <border>
      <left/>
      <right/>
      <top/>
      <bottom/>
      <diagonal/>
    </border>
    <border>
      <left style="medium">
        <color rgb="FFFFFFFF"/>
      </left>
      <right style="medium">
        <color rgb="FFFFFFFF"/>
      </right>
      <top style="thick">
        <color rgb="FFFFFFFF"/>
      </top>
      <bottom style="medium">
        <color rgb="FFFFFFFF"/>
      </bottom>
      <diagonal/>
    </border>
    <border>
      <left style="medium">
        <color rgb="FFFFFFFF"/>
      </left>
      <right style="medium">
        <color rgb="FFFFFFFF"/>
      </right>
      <top style="medium">
        <color rgb="FFFFFFFF"/>
      </top>
      <bottom style="medium">
        <color rgb="FFFFFFFF"/>
      </bottom>
      <diagonal/>
    </border>
    <border>
      <left style="medium">
        <color rgb="FFFFFFFF"/>
      </left>
      <right style="medium">
        <color rgb="FFFFFFFF"/>
      </right>
      <top style="medium">
        <color rgb="FFFFFFFF"/>
      </top>
      <bottom/>
      <diagonal/>
    </border>
    <border>
      <left style="thin">
        <color indexed="64"/>
      </left>
      <right style="thin">
        <color indexed="64"/>
      </right>
      <top style="thin">
        <color indexed="64"/>
      </top>
      <bottom style="thin">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right style="medium">
        <color rgb="FFFFFFFF"/>
      </right>
      <top style="medium">
        <color rgb="FFFFFFFF"/>
      </top>
      <bottom style="medium">
        <color rgb="FFFFFFFF"/>
      </bottom>
      <diagonal/>
    </border>
    <border>
      <left style="medium">
        <color theme="0"/>
      </left>
      <right style="medium">
        <color theme="0"/>
      </right>
      <top style="medium">
        <color theme="0"/>
      </top>
      <bottom style="medium">
        <color theme="0"/>
      </bottom>
      <diagonal/>
    </border>
    <border>
      <left style="medium">
        <color rgb="FFFFFFFF"/>
      </left>
      <right/>
      <top style="medium">
        <color rgb="FFFFFFFF"/>
      </top>
      <bottom style="medium">
        <color rgb="FFFFFFFF"/>
      </bottom>
      <diagonal/>
    </border>
    <border>
      <left style="medium">
        <color rgb="FFFFFFFF"/>
      </left>
      <right style="medium">
        <color rgb="FFFFFFFF"/>
      </right>
      <top style="thick">
        <color rgb="FFFFFFFF"/>
      </top>
      <bottom/>
      <diagonal/>
    </border>
    <border>
      <left style="thin">
        <color indexed="22"/>
      </left>
      <right style="thin">
        <color indexed="22"/>
      </right>
      <top style="thin">
        <color indexed="22"/>
      </top>
      <bottom style="thin">
        <color indexed="22"/>
      </bottom>
      <diagonal/>
    </border>
    <border>
      <left style="medium">
        <color rgb="FFFFFFFF"/>
      </left>
      <right style="medium">
        <color rgb="FFFFFFFF"/>
      </right>
      <top/>
      <bottom/>
      <diagonal/>
    </border>
    <border>
      <left/>
      <right/>
      <top style="thick">
        <color rgb="FFFFFFFF"/>
      </top>
      <bottom/>
      <diagonal/>
    </border>
    <border>
      <left/>
      <right style="medium">
        <color rgb="FFFFFFFF"/>
      </right>
      <top style="thick">
        <color rgb="FFFFFFFF"/>
      </top>
      <bottom/>
      <diagonal/>
    </border>
    <border>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style="thin">
        <color theme="4"/>
      </left>
      <right style="thin">
        <color theme="4"/>
      </right>
      <top style="thin">
        <color theme="4"/>
      </top>
      <bottom style="thin">
        <color theme="4"/>
      </bottom>
      <diagonal/>
    </border>
    <border>
      <left style="thin">
        <color indexed="64"/>
      </left>
      <right/>
      <top style="thin">
        <color indexed="64"/>
      </top>
      <bottom style="thin">
        <color indexed="64"/>
      </bottom>
      <diagonal/>
    </border>
    <border>
      <left style="thin">
        <color theme="7" tint="-0.249977111117893"/>
      </left>
      <right style="thin">
        <color theme="7" tint="-0.249977111117893"/>
      </right>
      <top style="thin">
        <color theme="7" tint="-0.249977111117893"/>
      </top>
      <bottom style="thin">
        <color theme="7" tint="-0.249977111117893"/>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theme="4" tint="0.39997558519241921"/>
      </top>
      <bottom/>
      <diagonal/>
    </border>
    <border>
      <left/>
      <right style="thin">
        <color theme="4" tint="0.39997558519241921"/>
      </right>
      <top style="thin">
        <color theme="4" tint="0.39997558519241921"/>
      </top>
      <bottom/>
      <diagonal/>
    </border>
    <border>
      <left/>
      <right/>
      <top/>
      <bottom style="thin">
        <color theme="4" tint="0.39997558519241921"/>
      </bottom>
      <diagonal/>
    </border>
    <border>
      <left/>
      <right/>
      <top/>
      <bottom style="thick">
        <color theme="4"/>
      </bottom>
      <diagonal/>
    </border>
    <border>
      <left style="thin">
        <color theme="8"/>
      </left>
      <right style="thin">
        <color theme="8"/>
      </right>
      <top style="thin">
        <color theme="8"/>
      </top>
      <bottom style="thin">
        <color theme="8"/>
      </bottom>
      <diagonal/>
    </border>
    <border>
      <left style="thin">
        <color rgb="FF0070C0"/>
      </left>
      <right style="thin">
        <color rgb="FF0070C0"/>
      </right>
      <top style="thin">
        <color rgb="FF0070C0"/>
      </top>
      <bottom style="thin">
        <color rgb="FF0070C0"/>
      </bottom>
      <diagonal/>
    </border>
    <border>
      <left style="medium">
        <color rgb="FF0070C0"/>
      </left>
      <right style="thin">
        <color rgb="FF0070C0"/>
      </right>
      <top style="medium">
        <color rgb="FF0070C0"/>
      </top>
      <bottom style="thin">
        <color rgb="FF0070C0"/>
      </bottom>
      <diagonal/>
    </border>
    <border>
      <left style="thin">
        <color rgb="FF0070C0"/>
      </left>
      <right style="thin">
        <color rgb="FF0070C0"/>
      </right>
      <top style="medium">
        <color rgb="FF0070C0"/>
      </top>
      <bottom style="thin">
        <color rgb="FF0070C0"/>
      </bottom>
      <diagonal/>
    </border>
    <border>
      <left style="thin">
        <color rgb="FF0070C0"/>
      </left>
      <right style="medium">
        <color rgb="FF0070C0"/>
      </right>
      <top style="medium">
        <color rgb="FF0070C0"/>
      </top>
      <bottom style="thin">
        <color rgb="FF0070C0"/>
      </bottom>
      <diagonal/>
    </border>
    <border>
      <left style="medium">
        <color rgb="FF0070C0"/>
      </left>
      <right style="thin">
        <color rgb="FF0070C0"/>
      </right>
      <top style="thin">
        <color rgb="FF0070C0"/>
      </top>
      <bottom style="thin">
        <color rgb="FF0070C0"/>
      </bottom>
      <diagonal/>
    </border>
    <border>
      <left style="thin">
        <color rgb="FF0070C0"/>
      </left>
      <right style="medium">
        <color rgb="FF0070C0"/>
      </right>
      <top style="thin">
        <color rgb="FF0070C0"/>
      </top>
      <bottom style="thin">
        <color rgb="FF0070C0"/>
      </bottom>
      <diagonal/>
    </border>
    <border>
      <left style="medium">
        <color rgb="FF0070C0"/>
      </left>
      <right style="thin">
        <color rgb="FF0070C0"/>
      </right>
      <top style="thin">
        <color rgb="FF0070C0"/>
      </top>
      <bottom style="medium">
        <color rgb="FF0070C0"/>
      </bottom>
      <diagonal/>
    </border>
    <border>
      <left style="thin">
        <color rgb="FF0070C0"/>
      </left>
      <right style="thin">
        <color rgb="FF0070C0"/>
      </right>
      <top style="thin">
        <color rgb="FF0070C0"/>
      </top>
      <bottom style="medium">
        <color rgb="FF0070C0"/>
      </bottom>
      <diagonal/>
    </border>
    <border>
      <left style="thin">
        <color rgb="FF0070C0"/>
      </left>
      <right style="medium">
        <color rgb="FF0070C0"/>
      </right>
      <top style="thin">
        <color rgb="FF0070C0"/>
      </top>
      <bottom style="medium">
        <color rgb="FF0070C0"/>
      </bottom>
      <diagonal/>
    </border>
    <border>
      <left style="medium">
        <color theme="4"/>
      </left>
      <right style="thin">
        <color theme="4"/>
      </right>
      <top style="medium">
        <color theme="4"/>
      </top>
      <bottom style="medium">
        <color theme="4"/>
      </bottom>
      <diagonal/>
    </border>
    <border>
      <left style="thin">
        <color theme="4"/>
      </left>
      <right style="thin">
        <color theme="4"/>
      </right>
      <top/>
      <bottom/>
      <diagonal/>
    </border>
    <border>
      <left style="thin">
        <color theme="4"/>
      </left>
      <right style="thin">
        <color theme="4"/>
      </right>
      <top style="medium">
        <color theme="4"/>
      </top>
      <bottom style="medium">
        <color theme="4"/>
      </bottom>
      <diagonal/>
    </border>
    <border>
      <left style="thin">
        <color theme="4"/>
      </left>
      <right style="medium">
        <color theme="4"/>
      </right>
      <top style="medium">
        <color theme="4"/>
      </top>
      <bottom style="medium">
        <color theme="4"/>
      </bottom>
      <diagonal/>
    </border>
    <border>
      <left style="thin">
        <color theme="4" tint="0.59999389629810485"/>
      </left>
      <right style="thin">
        <color theme="4"/>
      </right>
      <top style="thin">
        <color theme="4" tint="0.59999389629810485"/>
      </top>
      <bottom style="thin">
        <color theme="4" tint="0.59999389629810485"/>
      </bottom>
      <diagonal/>
    </border>
    <border>
      <left style="thin">
        <color theme="4" tint="0.59999389629810485"/>
      </left>
      <right style="thin">
        <color theme="4" tint="0.59999389629810485"/>
      </right>
      <top style="thin">
        <color theme="4" tint="0.59999389629810485"/>
      </top>
      <bottom style="thin">
        <color theme="4" tint="0.59999389629810485"/>
      </bottom>
      <diagonal/>
    </border>
    <border>
      <left style="thin">
        <color theme="5" tint="0.59996337778862885"/>
      </left>
      <right style="thin">
        <color theme="5" tint="0.59996337778862885"/>
      </right>
      <top style="thin">
        <color theme="5" tint="0.59996337778862885"/>
      </top>
      <bottom style="thin">
        <color theme="5" tint="0.59996337778862885"/>
      </bottom>
      <diagonal/>
    </border>
    <border>
      <left style="thin">
        <color theme="5" tint="0.59996337778862885"/>
      </left>
      <right/>
      <top style="thin">
        <color theme="5" tint="0.59996337778862885"/>
      </top>
      <bottom style="thin">
        <color theme="5" tint="0.59996337778862885"/>
      </bottom>
      <diagonal/>
    </border>
    <border>
      <left style="thin">
        <color theme="5" tint="0.59996337778862885"/>
      </left>
      <right style="thin">
        <color theme="5" tint="0.59996337778862885"/>
      </right>
      <top style="medium">
        <color theme="5" tint="0.59996337778862885"/>
      </top>
      <bottom style="thin">
        <color theme="5" tint="0.59996337778862885"/>
      </bottom>
      <diagonal/>
    </border>
    <border>
      <left style="medium">
        <color theme="5" tint="0.59996337778862885"/>
      </left>
      <right style="thin">
        <color theme="5" tint="0.59996337778862885"/>
      </right>
      <top style="thin">
        <color theme="5" tint="0.59996337778862885"/>
      </top>
      <bottom style="thin">
        <color theme="5" tint="0.59996337778862885"/>
      </bottom>
      <diagonal/>
    </border>
    <border>
      <left style="medium">
        <color theme="5" tint="0.59996337778862885"/>
      </left>
      <right style="thin">
        <color theme="5" tint="0.59996337778862885"/>
      </right>
      <top style="thin">
        <color theme="5" tint="0.59996337778862885"/>
      </top>
      <bottom style="medium">
        <color theme="5" tint="0.59996337778862885"/>
      </bottom>
      <diagonal/>
    </border>
    <border>
      <left style="thin">
        <color theme="5" tint="0.59996337778862885"/>
      </left>
      <right style="thin">
        <color theme="5" tint="0.59996337778862885"/>
      </right>
      <top style="thin">
        <color theme="5" tint="0.59996337778862885"/>
      </top>
      <bottom style="medium">
        <color theme="5" tint="0.59996337778862885"/>
      </bottom>
      <diagonal/>
    </border>
    <border>
      <left/>
      <right style="thin">
        <color theme="4" tint="0.39997558519241921"/>
      </right>
      <top/>
      <bottom/>
      <diagonal/>
    </border>
    <border>
      <left/>
      <right/>
      <top style="thin">
        <color theme="5" tint="0.79998168889431442"/>
      </top>
      <bottom style="thin">
        <color theme="5" tint="0.79998168889431442"/>
      </bottom>
      <diagonal/>
    </border>
    <border>
      <left/>
      <right/>
      <top style="thin">
        <color theme="5" tint="-0.249977111117893"/>
      </top>
      <bottom style="thin">
        <color theme="5" tint="0.79998168889431442"/>
      </bottom>
      <diagonal/>
    </border>
    <border>
      <left/>
      <right/>
      <top style="thin">
        <color theme="5" tint="-0.249977111117893"/>
      </top>
      <bottom style="thin">
        <color theme="5" tint="0.59999389629810485"/>
      </bottom>
      <diagonal/>
    </border>
    <border>
      <left/>
      <right/>
      <top style="thin">
        <color theme="5" tint="-0.249977111117893"/>
      </top>
      <bottom style="thin">
        <color theme="5" tint="-0.249977111117893"/>
      </bottom>
      <diagonal/>
    </border>
    <border>
      <left style="thin">
        <color theme="5" tint="-0.249977111117893"/>
      </left>
      <right style="thin">
        <color theme="5" tint="-0.249977111117893"/>
      </right>
      <top style="thin">
        <color theme="5" tint="-0.249977111117893"/>
      </top>
      <bottom style="thin">
        <color theme="5" tint="-0.249977111117893"/>
      </bottom>
      <diagonal/>
    </border>
    <border>
      <left style="thin">
        <color theme="5" tint="-0.249977111117893"/>
      </left>
      <right style="thin">
        <color theme="5" tint="-0.249977111117893"/>
      </right>
      <top style="thin">
        <color theme="5" tint="0.79998168889431442"/>
      </top>
      <bottom style="thin">
        <color theme="5" tint="0.79998168889431442"/>
      </bottom>
      <diagonal/>
    </border>
    <border>
      <left style="thin">
        <color theme="4"/>
      </left>
      <right style="thin">
        <color theme="4"/>
      </right>
      <top/>
      <bottom style="thin">
        <color theme="4"/>
      </bottom>
      <diagonal/>
    </border>
    <border>
      <left style="thin">
        <color indexed="64"/>
      </left>
      <right/>
      <top/>
      <bottom style="thin">
        <color theme="7" tint="-0.249977111117893"/>
      </bottom>
      <diagonal/>
    </border>
    <border>
      <left/>
      <right/>
      <top/>
      <bottom style="thin">
        <color theme="7" tint="-0.249977111117893"/>
      </bottom>
      <diagonal/>
    </border>
    <border>
      <left style="thin">
        <color theme="7" tint="-0.249977111117893"/>
      </left>
      <right/>
      <top style="thin">
        <color indexed="64"/>
      </top>
      <bottom style="thin">
        <color theme="7" tint="-0.249977111117893"/>
      </bottom>
      <diagonal/>
    </border>
    <border>
      <left/>
      <right/>
      <top style="thin">
        <color indexed="64"/>
      </top>
      <bottom style="thin">
        <color theme="7" tint="-0.249977111117893"/>
      </bottom>
      <diagonal/>
    </border>
    <border>
      <left style="thin">
        <color theme="7" tint="-0.249977111117893"/>
      </left>
      <right/>
      <top/>
      <bottom style="thin">
        <color theme="7" tint="-0.249977111117893"/>
      </bottom>
      <diagonal/>
    </border>
    <border>
      <left style="thin">
        <color theme="4"/>
      </left>
      <right style="thin">
        <color theme="4"/>
      </right>
      <top style="thin">
        <color theme="4"/>
      </top>
      <bottom/>
      <diagonal/>
    </border>
    <border>
      <left/>
      <right style="thin">
        <color theme="4"/>
      </right>
      <top/>
      <bottom style="thin">
        <color theme="4"/>
      </bottom>
      <diagonal/>
    </border>
    <border>
      <left style="thin">
        <color theme="4"/>
      </left>
      <right/>
      <top/>
      <bottom style="thin">
        <color theme="4"/>
      </bottom>
      <diagonal/>
    </border>
    <border>
      <left/>
      <right style="thin">
        <color theme="4"/>
      </right>
      <top style="thin">
        <color theme="4"/>
      </top>
      <bottom style="thin">
        <color theme="4"/>
      </bottom>
      <diagonal/>
    </border>
    <border>
      <left style="thin">
        <color theme="4"/>
      </left>
      <right/>
      <top style="thin">
        <color theme="4"/>
      </top>
      <bottom style="thin">
        <color theme="4"/>
      </bottom>
      <diagonal/>
    </border>
    <border>
      <left/>
      <right style="thin">
        <color theme="4"/>
      </right>
      <top style="thin">
        <color theme="4"/>
      </top>
      <bottom/>
      <diagonal/>
    </border>
    <border>
      <left style="thin">
        <color theme="4"/>
      </left>
      <right/>
      <top style="thin">
        <color theme="4"/>
      </top>
      <bottom/>
      <diagonal/>
    </border>
    <border>
      <left/>
      <right style="thin">
        <color theme="4"/>
      </right>
      <top style="double">
        <color theme="4"/>
      </top>
      <bottom/>
      <diagonal/>
    </border>
    <border>
      <left style="thin">
        <color theme="4"/>
      </left>
      <right style="thin">
        <color theme="4"/>
      </right>
      <top style="double">
        <color theme="4"/>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right/>
      <top/>
      <bottom style="medium">
        <color theme="0"/>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tint="-0.249977111117893"/>
      </left>
      <right/>
      <top style="thin">
        <color theme="0" tint="-0.249977111117893"/>
      </top>
      <bottom style="thin">
        <color theme="0" tint="-0.249977111117893"/>
      </bottom>
      <diagonal/>
    </border>
    <border>
      <left/>
      <right style="thin">
        <color theme="0" tint="-0.249977111117893"/>
      </right>
      <top style="thin">
        <color theme="0" tint="-0.249977111117893"/>
      </top>
      <bottom/>
      <diagonal/>
    </border>
    <border>
      <left/>
      <right style="medium">
        <color theme="0"/>
      </right>
      <top/>
      <bottom/>
      <diagonal/>
    </border>
    <border>
      <left style="medium">
        <color theme="0"/>
      </left>
      <right/>
      <top/>
      <bottom style="medium">
        <color theme="0"/>
      </bottom>
      <diagonal/>
    </border>
    <border>
      <left style="thin">
        <color theme="0"/>
      </left>
      <right style="thin">
        <color theme="0"/>
      </right>
      <top style="thin">
        <color theme="0"/>
      </top>
      <bottom style="thin">
        <color theme="0"/>
      </bottom>
      <diagonal/>
    </border>
    <border>
      <left/>
      <right style="thin">
        <color theme="0"/>
      </right>
      <top style="thin">
        <color theme="0"/>
      </top>
      <bottom style="thin">
        <color theme="0"/>
      </bottom>
      <diagonal/>
    </border>
    <border>
      <left style="medium">
        <color rgb="FFFF0000"/>
      </left>
      <right style="thin">
        <color theme="0"/>
      </right>
      <top style="thin">
        <color theme="0"/>
      </top>
      <bottom style="thin">
        <color theme="0"/>
      </bottom>
      <diagonal/>
    </border>
    <border>
      <left style="thin">
        <color theme="0"/>
      </left>
      <right style="medium">
        <color rgb="FFFF0000"/>
      </right>
      <top style="thin">
        <color theme="0"/>
      </top>
      <bottom style="thin">
        <color theme="0"/>
      </bottom>
      <diagonal/>
    </border>
    <border>
      <left style="medium">
        <color rgb="FFFF0000"/>
      </left>
      <right style="thin">
        <color theme="0"/>
      </right>
      <top style="thin">
        <color theme="0"/>
      </top>
      <bottom style="medium">
        <color rgb="FFFF0000"/>
      </bottom>
      <diagonal/>
    </border>
    <border>
      <left style="thin">
        <color theme="0"/>
      </left>
      <right style="thin">
        <color theme="0"/>
      </right>
      <top style="thin">
        <color theme="0"/>
      </top>
      <bottom style="medium">
        <color rgb="FFFF0000"/>
      </bottom>
      <diagonal/>
    </border>
    <border>
      <left style="thin">
        <color theme="0"/>
      </left>
      <right style="medium">
        <color rgb="FFFF0000"/>
      </right>
      <top style="thin">
        <color theme="0"/>
      </top>
      <bottom style="medium">
        <color rgb="FFFF0000"/>
      </bottom>
      <diagonal/>
    </border>
    <border>
      <left style="thin">
        <color theme="0"/>
      </left>
      <right/>
      <top style="thin">
        <color theme="0"/>
      </top>
      <bottom style="thin">
        <color theme="0"/>
      </bottom>
      <diagonal/>
    </border>
    <border>
      <left style="thin">
        <color theme="0"/>
      </left>
      <right/>
      <top style="thin">
        <color theme="0"/>
      </top>
      <bottom/>
      <diagonal/>
    </border>
    <border>
      <left/>
      <right style="thin">
        <color theme="0"/>
      </right>
      <top style="thin">
        <color theme="0"/>
      </top>
      <bottom/>
      <diagonal/>
    </border>
    <border>
      <left style="thin">
        <color theme="0"/>
      </left>
      <right/>
      <top/>
      <bottom style="thin">
        <color theme="0"/>
      </bottom>
      <diagonal/>
    </border>
    <border>
      <left/>
      <right style="thin">
        <color theme="0"/>
      </right>
      <top/>
      <bottom style="thin">
        <color theme="0"/>
      </bottom>
      <diagonal/>
    </border>
    <border>
      <left style="medium">
        <color rgb="FFFF0000"/>
      </left>
      <right/>
      <top style="thin">
        <color theme="0"/>
      </top>
      <bottom/>
      <diagonal/>
    </border>
    <border>
      <left/>
      <right style="medium">
        <color rgb="FFFF0000"/>
      </right>
      <top style="thin">
        <color theme="0"/>
      </top>
      <bottom/>
      <diagonal/>
    </border>
    <border>
      <left style="medium">
        <color rgb="FFFF0000"/>
      </left>
      <right/>
      <top/>
      <bottom style="thin">
        <color theme="0"/>
      </bottom>
      <diagonal/>
    </border>
    <border>
      <left/>
      <right style="medium">
        <color rgb="FFFF0000"/>
      </right>
      <top/>
      <bottom style="thin">
        <color theme="0"/>
      </bottom>
      <diagonal/>
    </border>
    <border>
      <left style="thin">
        <color theme="0"/>
      </left>
      <right style="medium">
        <color rgb="FFFF0000"/>
      </right>
      <top style="thin">
        <color theme="0"/>
      </top>
      <bottom/>
      <diagonal/>
    </border>
    <border>
      <left style="thin">
        <color theme="0"/>
      </left>
      <right style="medium">
        <color rgb="FFFF0000"/>
      </right>
      <top/>
      <bottom style="thin">
        <color theme="0"/>
      </bottom>
      <diagonal/>
    </border>
    <border>
      <left style="medium">
        <color rgb="FFFF0000"/>
      </left>
      <right style="medium">
        <color rgb="FFFF0000"/>
      </right>
      <top style="thin">
        <color theme="0"/>
      </top>
      <bottom style="thin">
        <color theme="0"/>
      </bottom>
      <diagonal/>
    </border>
    <border>
      <left style="medium">
        <color rgb="FFFF0000"/>
      </left>
      <right style="medium">
        <color rgb="FFFF0000"/>
      </right>
      <top style="thin">
        <color theme="0"/>
      </top>
      <bottom style="medium">
        <color rgb="FFFF0000"/>
      </bottom>
      <diagonal/>
    </border>
    <border>
      <left style="thin">
        <color theme="4"/>
      </left>
      <right style="thin">
        <color theme="4"/>
      </right>
      <top/>
      <bottom style="thin">
        <color theme="0"/>
      </bottom>
      <diagonal/>
    </border>
    <border>
      <left style="thin">
        <color theme="0" tint="-0.249977111117893"/>
      </left>
      <right style="thin">
        <color theme="0" tint="-0.249977111117893"/>
      </right>
      <top/>
      <bottom/>
      <diagonal/>
    </border>
    <border>
      <left style="medium">
        <color rgb="FFFF0000"/>
      </left>
      <right/>
      <top style="medium">
        <color rgb="FFFF0000"/>
      </top>
      <bottom/>
      <diagonal/>
    </border>
    <border>
      <left/>
      <right style="medium">
        <color rgb="FFFF0000"/>
      </right>
      <top style="medium">
        <color rgb="FFFF0000"/>
      </top>
      <bottom/>
      <diagonal/>
    </border>
    <border>
      <left style="medium">
        <color rgb="FFFF0000"/>
      </left>
      <right style="medium">
        <color rgb="FFFF0000"/>
      </right>
      <top/>
      <bottom style="thin">
        <color theme="0"/>
      </bottom>
      <diagonal/>
    </border>
    <border>
      <left style="medium">
        <color rgb="FFFF0000"/>
      </left>
      <right/>
      <top style="thin">
        <color theme="0"/>
      </top>
      <bottom style="thin">
        <color theme="0"/>
      </bottom>
      <diagonal/>
    </border>
    <border>
      <left style="medium">
        <color rgb="FFFF0000"/>
      </left>
      <right/>
      <top style="thin">
        <color theme="0"/>
      </top>
      <bottom style="medium">
        <color rgb="FFFF0000"/>
      </bottom>
      <diagonal/>
    </border>
    <border>
      <left/>
      <right style="medium">
        <color rgb="FFFF0000"/>
      </right>
      <top style="thin">
        <color theme="0"/>
      </top>
      <bottom style="thin">
        <color theme="0"/>
      </bottom>
      <diagonal/>
    </border>
    <border>
      <left/>
      <right style="medium">
        <color rgb="FFFF0000"/>
      </right>
      <top style="thin">
        <color theme="0"/>
      </top>
      <bottom style="medium">
        <color rgb="FFFF0000"/>
      </bottom>
      <diagonal/>
    </border>
    <border>
      <left style="medium">
        <color rgb="FFFF0000"/>
      </left>
      <right style="thin">
        <color theme="0"/>
      </right>
      <top style="medium">
        <color rgb="FFFF0000"/>
      </top>
      <bottom style="thin">
        <color theme="0"/>
      </bottom>
      <diagonal/>
    </border>
    <border>
      <left style="thin">
        <color theme="0"/>
      </left>
      <right style="thin">
        <color theme="0"/>
      </right>
      <top style="medium">
        <color rgb="FFFF0000"/>
      </top>
      <bottom style="thin">
        <color theme="0"/>
      </bottom>
      <diagonal/>
    </border>
    <border>
      <left style="thin">
        <color theme="0"/>
      </left>
      <right style="medium">
        <color rgb="FFFF0000"/>
      </right>
      <top style="medium">
        <color rgb="FFFF0000"/>
      </top>
      <bottom style="thin">
        <color theme="0"/>
      </bottom>
      <diagonal/>
    </border>
    <border>
      <left style="medium">
        <color theme="0"/>
      </left>
      <right/>
      <top style="medium">
        <color theme="0"/>
      </top>
      <bottom style="medium">
        <color theme="0"/>
      </bottom>
      <diagonal/>
    </border>
    <border>
      <left style="thin">
        <color rgb="FF0070C0"/>
      </left>
      <right style="thin">
        <color rgb="FF0070C0"/>
      </right>
      <top style="thin">
        <color rgb="FF0070C0"/>
      </top>
      <bottom/>
      <diagonal/>
    </border>
    <border>
      <left style="thin">
        <color rgb="FF0070C0"/>
      </left>
      <right style="thin">
        <color rgb="FF0070C0"/>
      </right>
      <top/>
      <bottom style="thin">
        <color rgb="FF0070C0"/>
      </bottom>
      <diagonal/>
    </border>
    <border>
      <left style="medium">
        <color rgb="FF0070C0"/>
      </left>
      <right style="thin">
        <color rgb="FF0070C0"/>
      </right>
      <top style="thin">
        <color rgb="FF0070C0"/>
      </top>
      <bottom/>
      <diagonal/>
    </border>
    <border>
      <left style="medium">
        <color rgb="FF0070C0"/>
      </left>
      <right style="thin">
        <color rgb="FF0070C0"/>
      </right>
      <top/>
      <bottom/>
      <diagonal/>
    </border>
    <border>
      <left style="medium">
        <color rgb="FF0070C0"/>
      </left>
      <right style="thin">
        <color rgb="FF0070C0"/>
      </right>
      <top/>
      <bottom style="thin">
        <color rgb="FF0070C0"/>
      </bottom>
      <diagonal/>
    </border>
    <border>
      <left style="thin">
        <color rgb="FF0070C0"/>
      </left>
      <right/>
      <top/>
      <bottom/>
      <diagonal/>
    </border>
    <border>
      <left style="medium">
        <color rgb="FF0070C0"/>
      </left>
      <right style="thin">
        <color rgb="FF0070C0"/>
      </right>
      <top style="medium">
        <color rgb="FF0070C0"/>
      </top>
      <bottom/>
      <diagonal/>
    </border>
    <border>
      <left style="thin">
        <color rgb="FF0070C0"/>
      </left>
      <right style="thin">
        <color rgb="FF0070C0"/>
      </right>
      <top style="medium">
        <color rgb="FF0070C0"/>
      </top>
      <bottom/>
      <diagonal/>
    </border>
    <border>
      <left style="thin">
        <color rgb="FF0070C0"/>
      </left>
      <right style="medium">
        <color rgb="FF0070C0"/>
      </right>
      <top style="medium">
        <color rgb="FF0070C0"/>
      </top>
      <bottom/>
      <diagonal/>
    </border>
    <border>
      <left style="medium">
        <color rgb="FF0070C0"/>
      </left>
      <right style="thin">
        <color rgb="FF0070C0"/>
      </right>
      <top/>
      <bottom style="medium">
        <color rgb="FF0070C0"/>
      </bottom>
      <diagonal/>
    </border>
    <border>
      <left/>
      <right style="medium">
        <color rgb="FFFFFFFF"/>
      </right>
      <top/>
      <bottom/>
      <diagonal/>
    </border>
    <border>
      <left/>
      <right/>
      <top/>
      <bottom style="thin">
        <color theme="5" tint="0.59999389629810485"/>
      </bottom>
      <diagonal/>
    </border>
    <border>
      <left style="medium">
        <color theme="9" tint="-0.24994659260841701"/>
      </left>
      <right style="dashed">
        <color theme="9" tint="-0.24994659260841701"/>
      </right>
      <top style="medium">
        <color theme="9" tint="-0.24994659260841701"/>
      </top>
      <bottom style="dashed">
        <color theme="9" tint="-0.24994659260841701"/>
      </bottom>
      <diagonal/>
    </border>
    <border>
      <left style="dashed">
        <color theme="9" tint="-0.24994659260841701"/>
      </left>
      <right style="dashed">
        <color theme="9" tint="-0.24994659260841701"/>
      </right>
      <top style="medium">
        <color theme="9" tint="-0.24994659260841701"/>
      </top>
      <bottom style="dashed">
        <color theme="9" tint="-0.24994659260841701"/>
      </bottom>
      <diagonal/>
    </border>
    <border>
      <left style="dashed">
        <color theme="9" tint="-0.24994659260841701"/>
      </left>
      <right style="medium">
        <color theme="9" tint="-0.24994659260841701"/>
      </right>
      <top style="medium">
        <color theme="9" tint="-0.24994659260841701"/>
      </top>
      <bottom style="dashed">
        <color theme="9" tint="-0.24994659260841701"/>
      </bottom>
      <diagonal/>
    </border>
    <border>
      <left style="medium">
        <color theme="9" tint="-0.24994659260841701"/>
      </left>
      <right style="dashed">
        <color theme="9" tint="-0.24994659260841701"/>
      </right>
      <top style="dashed">
        <color theme="9" tint="-0.24994659260841701"/>
      </top>
      <bottom style="dashed">
        <color theme="9" tint="-0.24994659260841701"/>
      </bottom>
      <diagonal/>
    </border>
    <border>
      <left style="dashed">
        <color theme="9" tint="-0.24994659260841701"/>
      </left>
      <right style="dashed">
        <color theme="9" tint="-0.24994659260841701"/>
      </right>
      <top style="dashed">
        <color theme="9" tint="-0.24994659260841701"/>
      </top>
      <bottom style="dashed">
        <color theme="9" tint="-0.24994659260841701"/>
      </bottom>
      <diagonal/>
    </border>
    <border>
      <left style="medium">
        <color theme="9" tint="-0.24994659260841701"/>
      </left>
      <right style="dashed">
        <color theme="9" tint="-0.24994659260841701"/>
      </right>
      <top style="dashed">
        <color theme="9" tint="-0.24994659260841701"/>
      </top>
      <bottom style="medium">
        <color theme="9" tint="-0.24994659260841701"/>
      </bottom>
      <diagonal/>
    </border>
    <border>
      <left style="dashed">
        <color theme="9" tint="-0.24994659260841701"/>
      </left>
      <right style="dashed">
        <color theme="9" tint="-0.24994659260841701"/>
      </right>
      <top style="dashed">
        <color theme="9" tint="-0.24994659260841701"/>
      </top>
      <bottom style="medium">
        <color theme="9" tint="-0.24994659260841701"/>
      </bottom>
      <diagonal/>
    </border>
    <border>
      <left/>
      <right style="thin">
        <color theme="0"/>
      </right>
      <top/>
      <bottom/>
      <diagonal/>
    </border>
    <border>
      <left style="thin">
        <color theme="0"/>
      </left>
      <right/>
      <top/>
      <bottom/>
      <diagonal/>
    </border>
    <border>
      <left style="thin">
        <color theme="0"/>
      </left>
      <right style="thin">
        <color theme="0"/>
      </right>
      <top/>
      <bottom/>
      <diagonal/>
    </border>
    <border>
      <left style="thin">
        <color theme="0"/>
      </left>
      <right style="thin">
        <color theme="0"/>
      </right>
      <top/>
      <bottom style="thin">
        <color theme="0"/>
      </bottom>
      <diagonal/>
    </border>
    <border>
      <left style="medium">
        <color theme="7" tint="0.39994506668294322"/>
      </left>
      <right style="dashed">
        <color theme="7" tint="0.39994506668294322"/>
      </right>
      <top style="medium">
        <color theme="7" tint="0.39994506668294322"/>
      </top>
      <bottom style="dashed">
        <color theme="7" tint="0.39994506668294322"/>
      </bottom>
      <diagonal/>
    </border>
    <border>
      <left style="dashed">
        <color theme="7" tint="0.39994506668294322"/>
      </left>
      <right style="dashed">
        <color theme="7" tint="0.39994506668294322"/>
      </right>
      <top style="medium">
        <color theme="7" tint="0.39994506668294322"/>
      </top>
      <bottom style="dashed">
        <color theme="7" tint="0.39994506668294322"/>
      </bottom>
      <diagonal/>
    </border>
    <border>
      <left style="dashed">
        <color theme="7" tint="0.39994506668294322"/>
      </left>
      <right style="medium">
        <color theme="7" tint="0.39994506668294322"/>
      </right>
      <top style="medium">
        <color theme="7" tint="0.39994506668294322"/>
      </top>
      <bottom style="dashed">
        <color theme="7" tint="0.39994506668294322"/>
      </bottom>
      <diagonal/>
    </border>
    <border>
      <left style="medium">
        <color theme="7" tint="0.39994506668294322"/>
      </left>
      <right style="dashed">
        <color theme="7" tint="0.39994506668294322"/>
      </right>
      <top style="dashed">
        <color theme="7" tint="0.39994506668294322"/>
      </top>
      <bottom style="dashed">
        <color theme="7" tint="0.39994506668294322"/>
      </bottom>
      <diagonal/>
    </border>
    <border>
      <left style="dashed">
        <color theme="7" tint="0.39994506668294322"/>
      </left>
      <right style="dashed">
        <color theme="7" tint="0.39994506668294322"/>
      </right>
      <top style="dashed">
        <color theme="7" tint="0.39994506668294322"/>
      </top>
      <bottom style="dashed">
        <color theme="7" tint="0.39994506668294322"/>
      </bottom>
      <diagonal/>
    </border>
    <border>
      <left style="dashed">
        <color theme="7" tint="0.39994506668294322"/>
      </left>
      <right style="medium">
        <color theme="7" tint="0.39994506668294322"/>
      </right>
      <top style="dashed">
        <color theme="7" tint="0.39994506668294322"/>
      </top>
      <bottom style="dashed">
        <color theme="7" tint="0.39994506668294322"/>
      </bottom>
      <diagonal/>
    </border>
    <border>
      <left style="medium">
        <color theme="7" tint="0.39994506668294322"/>
      </left>
      <right style="dashed">
        <color theme="7" tint="0.39994506668294322"/>
      </right>
      <top style="dashed">
        <color theme="7" tint="0.39994506668294322"/>
      </top>
      <bottom style="medium">
        <color theme="7" tint="0.39994506668294322"/>
      </bottom>
      <diagonal/>
    </border>
    <border>
      <left style="dashed">
        <color theme="7" tint="0.39994506668294322"/>
      </left>
      <right style="dashed">
        <color theme="7" tint="0.39994506668294322"/>
      </right>
      <top style="dashed">
        <color theme="7" tint="0.39994506668294322"/>
      </top>
      <bottom style="medium">
        <color theme="7" tint="0.39994506668294322"/>
      </bottom>
      <diagonal/>
    </border>
    <border>
      <left style="dashed">
        <color theme="7" tint="0.39994506668294322"/>
      </left>
      <right style="medium">
        <color theme="7" tint="0.39994506668294322"/>
      </right>
      <top style="dashed">
        <color theme="7" tint="0.39994506668294322"/>
      </top>
      <bottom style="medium">
        <color theme="7" tint="0.39994506668294322"/>
      </bottom>
      <diagonal/>
    </border>
    <border>
      <left/>
      <right/>
      <top/>
      <bottom style="thin">
        <color theme="5" tint="0.79998168889431442"/>
      </bottom>
      <diagonal/>
    </border>
    <border>
      <left style="thin">
        <color theme="9" tint="0.59996337778862885"/>
      </left>
      <right/>
      <top style="thin">
        <color theme="9" tint="0.59996337778862885"/>
      </top>
      <bottom style="thin">
        <color theme="9" tint="0.59996337778862885"/>
      </bottom>
      <diagonal/>
    </border>
    <border>
      <left style="thin">
        <color theme="9" tint="0.59996337778862885"/>
      </left>
      <right/>
      <top style="thin">
        <color theme="9" tint="0.59996337778862885"/>
      </top>
      <bottom/>
      <diagonal/>
    </border>
    <border>
      <left/>
      <right style="thin">
        <color theme="9"/>
      </right>
      <top style="thin">
        <color theme="9" tint="0.59996337778862885"/>
      </top>
      <bottom style="thin">
        <color theme="9" tint="0.59996337778862885"/>
      </bottom>
      <diagonal/>
    </border>
    <border>
      <left/>
      <right/>
      <top style="thin">
        <color theme="8" tint="0.79998168889431442"/>
      </top>
      <bottom style="thin">
        <color theme="8" tint="0.79998168889431442"/>
      </bottom>
      <diagonal/>
    </border>
    <border>
      <left/>
      <right/>
      <top/>
      <bottom style="thin">
        <color theme="8" tint="0.79998168889431442"/>
      </bottom>
      <diagonal/>
    </border>
    <border>
      <left/>
      <right/>
      <top style="thin">
        <color theme="5" tint="0.79998168889431442"/>
      </top>
      <bottom style="thin">
        <color theme="5" tint="0.39997558519241921"/>
      </bottom>
      <diagonal/>
    </border>
    <border>
      <left/>
      <right/>
      <top style="thin">
        <color theme="5" tint="0.39997558519241921"/>
      </top>
      <bottom style="thin">
        <color theme="5" tint="0.39997558519241921"/>
      </bottom>
      <diagonal/>
    </border>
    <border>
      <left/>
      <right/>
      <top/>
      <bottom style="thin">
        <color theme="6" tint="0.79998168889431442"/>
      </bottom>
      <diagonal/>
    </border>
    <border>
      <left/>
      <right/>
      <top style="thin">
        <color theme="6" tint="0.79998168889431442"/>
      </top>
      <bottom style="thin">
        <color theme="6" tint="0.39997558519241921"/>
      </bottom>
      <diagonal/>
    </border>
    <border>
      <left/>
      <right/>
      <top style="thin">
        <color theme="6" tint="0.79998168889431442"/>
      </top>
      <bottom style="thin">
        <color theme="6" tint="0.79998168889431442"/>
      </bottom>
      <diagonal/>
    </border>
    <border>
      <left/>
      <right/>
      <top style="thin">
        <color theme="6" tint="0.39997558519241921"/>
      </top>
      <bottom style="thin">
        <color theme="6" tint="0.39997558519241921"/>
      </bottom>
      <diagonal/>
    </border>
    <border>
      <left style="thin">
        <color theme="0"/>
      </left>
      <right style="thin">
        <color theme="0"/>
      </right>
      <top style="thin">
        <color theme="0"/>
      </top>
      <bottom/>
      <diagonal/>
    </border>
    <border>
      <left/>
      <right style="thin">
        <color theme="9"/>
      </right>
      <top style="thin">
        <color theme="9" tint="0.59996337778862885"/>
      </top>
      <bottom/>
      <diagonal/>
    </border>
    <border>
      <left style="medium">
        <color rgb="FFFFFFFF"/>
      </left>
      <right/>
      <top/>
      <bottom/>
      <diagonal/>
    </border>
    <border>
      <left style="medium">
        <color theme="0" tint="-0.499984740745262"/>
      </left>
      <right style="thin">
        <color theme="0"/>
      </right>
      <top/>
      <bottom/>
      <diagonal/>
    </border>
    <border>
      <left style="thin">
        <color theme="0"/>
      </left>
      <right style="medium">
        <color theme="0" tint="-0.499984740745262"/>
      </right>
      <top/>
      <bottom/>
      <diagonal/>
    </border>
    <border>
      <left style="medium">
        <color theme="0" tint="-0.499984740745262"/>
      </left>
      <right style="thin">
        <color theme="0"/>
      </right>
      <top style="medium">
        <color theme="0" tint="-0.499984740745262"/>
      </top>
      <bottom style="medium">
        <color theme="0" tint="-0.499984740745262"/>
      </bottom>
      <diagonal/>
    </border>
    <border>
      <left style="thin">
        <color theme="0"/>
      </left>
      <right style="thin">
        <color theme="0"/>
      </right>
      <top style="medium">
        <color theme="0" tint="-0.499984740745262"/>
      </top>
      <bottom style="medium">
        <color theme="0" tint="-0.499984740745262"/>
      </bottom>
      <diagonal/>
    </border>
    <border>
      <left style="thin">
        <color theme="0"/>
      </left>
      <right style="medium">
        <color theme="0" tint="-0.499984740745262"/>
      </right>
      <top style="medium">
        <color theme="0" tint="-0.499984740745262"/>
      </top>
      <bottom style="medium">
        <color theme="0" tint="-0.499984740745262"/>
      </bottom>
      <diagonal/>
    </border>
    <border>
      <left style="thin">
        <color rgb="FF0070C0"/>
      </left>
      <right/>
      <top style="thin">
        <color rgb="FF0070C0"/>
      </top>
      <bottom style="thin">
        <color rgb="FF0070C0"/>
      </bottom>
      <diagonal/>
    </border>
    <border>
      <left style="thin">
        <color theme="8" tint="-0.249977111117893"/>
      </left>
      <right style="thin">
        <color theme="8" tint="-0.249977111117893"/>
      </right>
      <top style="thin">
        <color theme="8" tint="-0.249977111117893"/>
      </top>
      <bottom style="thin">
        <color theme="8" tint="-0.249977111117893"/>
      </bottom>
      <diagonal/>
    </border>
    <border>
      <left style="thin">
        <color theme="8" tint="-0.249977111117893"/>
      </left>
      <right style="thin">
        <color theme="8" tint="-0.249977111117893"/>
      </right>
      <top style="thin">
        <color theme="8" tint="0.79998168889431442"/>
      </top>
      <bottom style="thin">
        <color theme="8" tint="0.79998168889431442"/>
      </bottom>
      <diagonal/>
    </border>
    <border>
      <left style="thin">
        <color theme="8" tint="-0.249977111117893"/>
      </left>
      <right style="thin">
        <color theme="8" tint="-0.249977111117893"/>
      </right>
      <top style="thin">
        <color theme="8" tint="0.79998168889431442"/>
      </top>
      <bottom/>
      <diagonal/>
    </border>
    <border>
      <left/>
      <right/>
      <top/>
      <bottom style="thin">
        <color theme="5" tint="0.39997558519241921"/>
      </bottom>
      <diagonal/>
    </border>
  </borders>
  <cellStyleXfs count="43">
    <xf numFmtId="0" fontId="0" fillId="0" borderId="0"/>
    <xf numFmtId="9" fontId="12" fillId="0" borderId="0" applyFont="0" applyFill="0" applyBorder="0" applyAlignment="0" applyProtection="0"/>
    <xf numFmtId="0" fontId="13" fillId="0" borderId="0"/>
    <xf numFmtId="9" fontId="13"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9" fontId="12" fillId="0" borderId="0" applyFont="0" applyFill="0" applyBorder="0" applyAlignment="0" applyProtection="0"/>
    <xf numFmtId="43" fontId="13" fillId="0" borderId="0" applyFont="0" applyFill="0" applyBorder="0" applyAlignment="0" applyProtection="0"/>
    <xf numFmtId="166" fontId="13" fillId="0" borderId="0"/>
    <xf numFmtId="0" fontId="39" fillId="0" borderId="0"/>
    <xf numFmtId="0" fontId="39" fillId="0" borderId="0"/>
    <xf numFmtId="0" fontId="11" fillId="0" borderId="0"/>
    <xf numFmtId="9" fontId="11" fillId="0" borderId="0" applyFont="0" applyFill="0" applyBorder="0" applyAlignment="0" applyProtection="0"/>
    <xf numFmtId="0" fontId="61" fillId="0" borderId="31" applyNumberFormat="0" applyFill="0" applyAlignment="0" applyProtection="0"/>
    <xf numFmtId="0" fontId="9" fillId="0" borderId="0"/>
    <xf numFmtId="0" fontId="9" fillId="0" borderId="0"/>
    <xf numFmtId="9" fontId="9" fillId="0" borderId="0" applyFont="0" applyFill="0" applyBorder="0" applyAlignment="0" applyProtection="0"/>
    <xf numFmtId="43" fontId="9" fillId="0" borderId="0" applyFont="0" applyFill="0" applyBorder="0" applyAlignment="0" applyProtection="0"/>
    <xf numFmtId="166" fontId="9" fillId="0" borderId="0"/>
    <xf numFmtId="0" fontId="10" fillId="0" borderId="0"/>
    <xf numFmtId="9" fontId="10" fillId="0" borderId="0" applyFont="0" applyFill="0" applyBorder="0" applyAlignment="0" applyProtection="0"/>
    <xf numFmtId="0" fontId="39" fillId="0" borderId="0"/>
    <xf numFmtId="0" fontId="12" fillId="0" borderId="0"/>
    <xf numFmtId="0" fontId="44" fillId="24" borderId="0" applyNumberFormat="0" applyBorder="0" applyAlignment="0" applyProtection="0"/>
    <xf numFmtId="0" fontId="45" fillId="25" borderId="0" applyNumberFormat="0" applyBorder="0" applyAlignment="0" applyProtection="0"/>
    <xf numFmtId="0" fontId="8" fillId="0" borderId="0"/>
    <xf numFmtId="9" fontId="8" fillId="0" borderId="0" applyFont="0" applyFill="0" applyBorder="0" applyAlignment="0" applyProtection="0"/>
    <xf numFmtId="43" fontId="8" fillId="0" borderId="0" applyFont="0" applyFill="0" applyBorder="0" applyAlignment="0" applyProtection="0"/>
    <xf numFmtId="166" fontId="8" fillId="0" borderId="0"/>
    <xf numFmtId="0" fontId="8" fillId="0" borderId="0"/>
    <xf numFmtId="0" fontId="8" fillId="0" borderId="0"/>
    <xf numFmtId="9" fontId="8" fillId="0" borderId="0" applyFont="0" applyFill="0" applyBorder="0" applyAlignment="0" applyProtection="0"/>
    <xf numFmtId="43" fontId="8" fillId="0" borderId="0" applyFont="0" applyFill="0" applyBorder="0" applyAlignment="0" applyProtection="0"/>
    <xf numFmtId="166" fontId="8" fillId="0" borderId="0"/>
    <xf numFmtId="0" fontId="4" fillId="0" borderId="0"/>
    <xf numFmtId="9" fontId="4" fillId="0" borderId="0" applyFont="0" applyFill="0" applyBorder="0" applyAlignment="0" applyProtection="0"/>
    <xf numFmtId="43" fontId="4" fillId="0" borderId="0" applyFont="0" applyFill="0" applyBorder="0" applyAlignment="0" applyProtection="0"/>
    <xf numFmtId="166" fontId="4" fillId="0" borderId="0"/>
    <xf numFmtId="0" fontId="4" fillId="0" borderId="0"/>
    <xf numFmtId="0" fontId="4" fillId="0" borderId="0"/>
    <xf numFmtId="9" fontId="4" fillId="0" borderId="0" applyFont="0" applyFill="0" applyBorder="0" applyAlignment="0" applyProtection="0"/>
    <xf numFmtId="43" fontId="4" fillId="0" borderId="0" applyFont="0" applyFill="0" applyBorder="0" applyAlignment="0" applyProtection="0"/>
    <xf numFmtId="166" fontId="4" fillId="0" borderId="0"/>
  </cellStyleXfs>
  <cellXfs count="1019">
    <xf numFmtId="0" fontId="0" fillId="0" borderId="0" xfId="0"/>
    <xf numFmtId="0" fontId="16" fillId="2" borderId="1" xfId="0" applyFont="1" applyFill="1" applyBorder="1" applyAlignment="1">
      <alignment horizontal="left" vertical="center" readingOrder="1"/>
    </xf>
    <xf numFmtId="0" fontId="16" fillId="5" borderId="2" xfId="0" applyFont="1" applyFill="1" applyBorder="1" applyAlignment="1">
      <alignment horizontal="left" vertical="center" readingOrder="1"/>
    </xf>
    <xf numFmtId="0" fontId="16" fillId="8" borderId="2" xfId="0" applyFont="1" applyFill="1" applyBorder="1" applyAlignment="1">
      <alignment horizontal="left" vertical="center" readingOrder="1"/>
    </xf>
    <xf numFmtId="0" fontId="16" fillId="8" borderId="3" xfId="0" applyFont="1" applyFill="1" applyBorder="1" applyAlignment="1">
      <alignment horizontal="left" vertical="center" readingOrder="1"/>
    </xf>
    <xf numFmtId="0" fontId="16" fillId="9" borderId="2" xfId="0" applyFont="1" applyFill="1" applyBorder="1" applyAlignment="1">
      <alignment horizontal="left" vertical="center" readingOrder="1"/>
    </xf>
    <xf numFmtId="0" fontId="17" fillId="3" borderId="1" xfId="0" applyFont="1" applyFill="1" applyBorder="1" applyAlignment="1">
      <alignment horizontal="left" vertical="center" readingOrder="1"/>
    </xf>
    <xf numFmtId="0" fontId="17" fillId="4" borderId="2" xfId="0" applyFont="1" applyFill="1" applyBorder="1" applyAlignment="1">
      <alignment horizontal="left" vertical="center" readingOrder="1"/>
    </xf>
    <xf numFmtId="0" fontId="17" fillId="3" borderId="2" xfId="0" applyFont="1" applyFill="1" applyBorder="1" applyAlignment="1">
      <alignment horizontal="left" vertical="center" readingOrder="1"/>
    </xf>
    <xf numFmtId="0" fontId="17" fillId="3" borderId="3" xfId="0" applyFont="1" applyFill="1" applyBorder="1" applyAlignment="1">
      <alignment horizontal="left" vertical="center" readingOrder="1"/>
    </xf>
    <xf numFmtId="14" fontId="17" fillId="3" borderId="2" xfId="0" applyNumberFormat="1" applyFont="1" applyFill="1" applyBorder="1" applyAlignment="1">
      <alignment horizontal="left" vertical="center" readingOrder="1"/>
    </xf>
    <xf numFmtId="14" fontId="17" fillId="6" borderId="2" xfId="0" applyNumberFormat="1" applyFont="1" applyFill="1" applyBorder="1" applyAlignment="1">
      <alignment horizontal="left" vertical="center" readingOrder="1"/>
    </xf>
    <xf numFmtId="0" fontId="17" fillId="7" borderId="2" xfId="0" applyFont="1" applyFill="1" applyBorder="1" applyAlignment="1">
      <alignment horizontal="left" vertical="center" readingOrder="1"/>
    </xf>
    <xf numFmtId="0" fontId="20" fillId="7" borderId="2" xfId="0" applyFont="1" applyFill="1" applyBorder="1" applyAlignment="1">
      <alignment horizontal="left" vertical="top" wrapText="1" readingOrder="1"/>
    </xf>
    <xf numFmtId="14" fontId="20" fillId="6" borderId="1" xfId="0" applyNumberFormat="1" applyFont="1" applyFill="1" applyBorder="1" applyAlignment="1">
      <alignment horizontal="left" vertical="top" wrapText="1" readingOrder="1"/>
    </xf>
    <xf numFmtId="9" fontId="17" fillId="3" borderId="2" xfId="1" applyFont="1" applyFill="1" applyBorder="1" applyAlignment="1">
      <alignment horizontal="left" vertical="center" readingOrder="1"/>
    </xf>
    <xf numFmtId="9" fontId="17" fillId="6" borderId="1" xfId="1" applyFont="1" applyFill="1" applyBorder="1" applyAlignment="1">
      <alignment horizontal="left" vertical="top" wrapText="1" readingOrder="1"/>
    </xf>
    <xf numFmtId="0" fontId="25" fillId="0" borderId="0" xfId="0" applyFont="1"/>
    <xf numFmtId="0" fontId="23" fillId="0" borderId="0" xfId="0" applyFont="1"/>
    <xf numFmtId="0" fontId="28" fillId="0" borderId="0" xfId="0" applyFont="1" applyAlignment="1"/>
    <xf numFmtId="0" fontId="28" fillId="0" borderId="0" xfId="0" applyFont="1" applyFill="1" applyAlignment="1"/>
    <xf numFmtId="166" fontId="13" fillId="13" borderId="0" xfId="8" applyFill="1"/>
    <xf numFmtId="166" fontId="13" fillId="13" borderId="0" xfId="8" applyFill="1" applyAlignment="1">
      <alignment horizontal="center" vertical="center"/>
    </xf>
    <xf numFmtId="166" fontId="13" fillId="20" borderId="8" xfId="8" applyFill="1" applyBorder="1"/>
    <xf numFmtId="166" fontId="13" fillId="20" borderId="0" xfId="8" applyFill="1" applyBorder="1"/>
    <xf numFmtId="166" fontId="13" fillId="20" borderId="9" xfId="8" applyFill="1" applyBorder="1"/>
    <xf numFmtId="166" fontId="22" fillId="20" borderId="0" xfId="8" applyFont="1" applyFill="1" applyBorder="1"/>
    <xf numFmtId="166" fontId="13" fillId="20" borderId="10" xfId="8" applyFill="1" applyBorder="1"/>
    <xf numFmtId="166" fontId="13" fillId="20" borderId="11" xfId="8" applyFill="1" applyBorder="1"/>
    <xf numFmtId="166" fontId="13" fillId="20" borderId="12" xfId="8" applyFill="1" applyBorder="1"/>
    <xf numFmtId="0" fontId="17" fillId="0" borderId="0" xfId="0" applyFont="1" applyFill="1" applyBorder="1" applyAlignment="1">
      <alignment horizontal="left" vertical="center" readingOrder="1"/>
    </xf>
    <xf numFmtId="9" fontId="28" fillId="0" borderId="0" xfId="0" applyNumberFormat="1" applyFont="1" applyFill="1" applyAlignment="1"/>
    <xf numFmtId="9" fontId="28" fillId="0" borderId="0" xfId="1" applyFont="1" applyFill="1" applyAlignment="1"/>
    <xf numFmtId="1" fontId="28" fillId="0" borderId="0" xfId="0" applyNumberFormat="1" applyFont="1" applyFill="1" applyAlignment="1"/>
    <xf numFmtId="14" fontId="28" fillId="0" borderId="0" xfId="0" applyNumberFormat="1" applyFont="1" applyFill="1" applyAlignment="1"/>
    <xf numFmtId="0" fontId="28" fillId="0" borderId="0" xfId="0" applyFont="1" applyFill="1" applyAlignment="1">
      <alignment horizontal="left"/>
    </xf>
    <xf numFmtId="1" fontId="28" fillId="0" borderId="0" xfId="1" applyNumberFormat="1" applyFont="1" applyFill="1" applyAlignment="1"/>
    <xf numFmtId="0" fontId="28" fillId="0" borderId="0" xfId="1" applyNumberFormat="1" applyFont="1" applyFill="1" applyAlignment="1"/>
    <xf numFmtId="0" fontId="28" fillId="0" borderId="0" xfId="0" applyNumberFormat="1" applyFont="1" applyFill="1" applyAlignment="1"/>
    <xf numFmtId="1" fontId="28" fillId="0" borderId="0" xfId="0" applyNumberFormat="1" applyFont="1" applyFill="1" applyAlignment="1">
      <alignment horizontal="left"/>
    </xf>
    <xf numFmtId="0" fontId="17" fillId="3" borderId="0" xfId="0" applyFont="1" applyFill="1" applyBorder="1" applyAlignment="1">
      <alignment horizontal="left" vertical="center" readingOrder="1"/>
    </xf>
    <xf numFmtId="0" fontId="17" fillId="0" borderId="1" xfId="0" applyFont="1" applyFill="1" applyBorder="1" applyAlignment="1">
      <alignment horizontal="left" vertical="center" readingOrder="1"/>
    </xf>
    <xf numFmtId="14" fontId="17" fillId="3" borderId="18" xfId="0" applyNumberFormat="1" applyFont="1" applyFill="1" applyBorder="1" applyAlignment="1">
      <alignment horizontal="left" vertical="center" readingOrder="1"/>
    </xf>
    <xf numFmtId="0" fontId="25" fillId="0" borderId="0" xfId="0" applyNumberFormat="1" applyFont="1"/>
    <xf numFmtId="1" fontId="25" fillId="0" borderId="0" xfId="0" applyNumberFormat="1" applyFont="1"/>
    <xf numFmtId="0" fontId="25" fillId="0" borderId="0" xfId="0" applyFont="1" applyAlignment="1">
      <alignment wrapText="1" readingOrder="1"/>
    </xf>
    <xf numFmtId="0" fontId="17" fillId="7" borderId="0" xfId="0" applyFont="1" applyFill="1" applyBorder="1" applyAlignment="1">
      <alignment horizontal="left" vertical="center" readingOrder="1"/>
    </xf>
    <xf numFmtId="0" fontId="16" fillId="9" borderId="15" xfId="0" applyFont="1" applyFill="1" applyBorder="1" applyAlignment="1">
      <alignment horizontal="left" vertical="center" readingOrder="1"/>
    </xf>
    <xf numFmtId="0" fontId="17" fillId="7" borderId="15" xfId="0" applyFont="1" applyFill="1" applyBorder="1" applyAlignment="1">
      <alignment horizontal="left" vertical="center" readingOrder="1"/>
    </xf>
    <xf numFmtId="0" fontId="42" fillId="2" borderId="1" xfId="0" applyFont="1" applyFill="1" applyBorder="1" applyAlignment="1">
      <alignment horizontal="left" vertical="center" readingOrder="1"/>
    </xf>
    <xf numFmtId="14" fontId="43" fillId="6" borderId="2" xfId="0" applyNumberFormat="1" applyFont="1" applyFill="1" applyBorder="1" applyAlignment="1">
      <alignment horizontal="left" vertical="center" readingOrder="1"/>
    </xf>
    <xf numFmtId="14" fontId="42" fillId="6" borderId="1" xfId="0" applyNumberFormat="1" applyFont="1" applyFill="1" applyBorder="1" applyAlignment="1">
      <alignment horizontal="left" vertical="top" wrapText="1" readingOrder="1"/>
    </xf>
    <xf numFmtId="0" fontId="43" fillId="3" borderId="2" xfId="0" applyFont="1" applyFill="1" applyBorder="1" applyAlignment="1">
      <alignment horizontal="left" vertical="center" readingOrder="1"/>
    </xf>
    <xf numFmtId="0" fontId="43" fillId="7" borderId="2" xfId="0" applyFont="1" applyFill="1" applyBorder="1" applyAlignment="1">
      <alignment horizontal="left" vertical="center" readingOrder="1"/>
    </xf>
    <xf numFmtId="0" fontId="43" fillId="7" borderId="2" xfId="0" applyFont="1" applyFill="1" applyBorder="1" applyAlignment="1">
      <alignment horizontal="left" vertical="top" wrapText="1" readingOrder="1"/>
    </xf>
    <xf numFmtId="0" fontId="17" fillId="3" borderId="16" xfId="0" applyFont="1" applyFill="1" applyBorder="1" applyAlignment="1">
      <alignment horizontal="left" vertical="center" readingOrder="1"/>
    </xf>
    <xf numFmtId="0" fontId="20" fillId="7" borderId="15" xfId="0" applyFont="1" applyFill="1" applyBorder="1" applyAlignment="1">
      <alignment horizontal="left" vertical="top" wrapText="1" readingOrder="1"/>
    </xf>
    <xf numFmtId="0" fontId="17" fillId="3" borderId="15" xfId="0" applyFont="1" applyFill="1" applyBorder="1" applyAlignment="1">
      <alignment horizontal="left" vertical="center" readingOrder="1"/>
    </xf>
    <xf numFmtId="0" fontId="59" fillId="0" borderId="0" xfId="0" applyFont="1"/>
    <xf numFmtId="0" fontId="59" fillId="0" borderId="0" xfId="0" applyFont="1" applyAlignment="1">
      <alignment wrapText="1"/>
    </xf>
    <xf numFmtId="164" fontId="59" fillId="0" borderId="25" xfId="4" applyNumberFormat="1" applyFont="1" applyBorder="1"/>
    <xf numFmtId="164" fontId="59" fillId="0" borderId="0" xfId="0" applyNumberFormat="1" applyFont="1"/>
    <xf numFmtId="0" fontId="23" fillId="0" borderId="21" xfId="0" applyFont="1" applyFill="1" applyBorder="1"/>
    <xf numFmtId="0" fontId="23" fillId="0" borderId="30" xfId="0" applyFont="1" applyFill="1" applyBorder="1"/>
    <xf numFmtId="0" fontId="23" fillId="0" borderId="28" xfId="0" applyFont="1" applyFill="1" applyBorder="1"/>
    <xf numFmtId="0" fontId="23" fillId="0" borderId="0" xfId="0" applyFont="1" applyBorder="1"/>
    <xf numFmtId="0" fontId="43" fillId="0" borderId="0" xfId="0" applyFont="1"/>
    <xf numFmtId="0" fontId="43" fillId="0" borderId="0" xfId="0" applyFont="1" applyAlignment="1"/>
    <xf numFmtId="9" fontId="59" fillId="0" borderId="0" xfId="1" applyFont="1"/>
    <xf numFmtId="0" fontId="25" fillId="0" borderId="0" xfId="0" applyNumberFormat="1" applyFont="1" applyAlignment="1">
      <alignment wrapText="1"/>
    </xf>
    <xf numFmtId="0" fontId="25" fillId="0" borderId="0" xfId="0" applyFont="1" applyFill="1"/>
    <xf numFmtId="9" fontId="17" fillId="0" borderId="0" xfId="0" applyNumberFormat="1" applyFont="1" applyFill="1" applyBorder="1" applyAlignment="1">
      <alignment horizontal="left" vertical="center" readingOrder="1"/>
    </xf>
    <xf numFmtId="14" fontId="32" fillId="16" borderId="0" xfId="0" applyNumberFormat="1" applyFont="1" applyFill="1" applyBorder="1" applyAlignment="1">
      <alignment horizontal="left"/>
    </xf>
    <xf numFmtId="9" fontId="63" fillId="23" borderId="0" xfId="0" applyNumberFormat="1" applyFont="1" applyFill="1" applyBorder="1" applyAlignment="1">
      <alignment vertical="center"/>
    </xf>
    <xf numFmtId="0" fontId="25" fillId="0" borderId="0" xfId="0" applyFont="1" applyFill="1" applyBorder="1"/>
    <xf numFmtId="1" fontId="63" fillId="23" borderId="0" xfId="0" applyNumberFormat="1" applyFont="1" applyFill="1" applyBorder="1" applyAlignment="1">
      <alignment vertical="center"/>
    </xf>
    <xf numFmtId="0" fontId="66" fillId="10" borderId="25" xfId="0" applyFont="1" applyFill="1" applyBorder="1" applyAlignment="1">
      <alignment horizontal="center" vertical="top" wrapText="1"/>
    </xf>
    <xf numFmtId="0" fontId="59" fillId="7" borderId="25" xfId="0" applyFont="1" applyFill="1" applyBorder="1" applyAlignment="1">
      <alignment horizontal="center" vertical="top" wrapText="1"/>
    </xf>
    <xf numFmtId="0" fontId="59" fillId="11" borderId="25" xfId="0" applyFont="1" applyFill="1" applyBorder="1" applyAlignment="1">
      <alignment horizontal="center" vertical="top" wrapText="1"/>
    </xf>
    <xf numFmtId="164" fontId="59" fillId="0" borderId="25" xfId="4" applyNumberFormat="1" applyFont="1" applyBorder="1" applyAlignment="1">
      <alignment vertical="top" wrapText="1"/>
    </xf>
    <xf numFmtId="0" fontId="59" fillId="18" borderId="24" xfId="0" applyFont="1" applyFill="1" applyBorder="1" applyAlignment="1">
      <alignment horizontal="center"/>
    </xf>
    <xf numFmtId="0" fontId="59" fillId="18" borderId="26" xfId="0" applyFont="1" applyFill="1" applyBorder="1" applyAlignment="1">
      <alignment horizontal="center"/>
    </xf>
    <xf numFmtId="0" fontId="59" fillId="18" borderId="27" xfId="0" applyFont="1" applyFill="1" applyBorder="1" applyAlignment="1">
      <alignment horizontal="center"/>
    </xf>
    <xf numFmtId="0" fontId="60" fillId="0" borderId="34" xfId="0" applyFont="1" applyBorder="1" applyAlignment="1">
      <alignment horizontal="center" vertical="center"/>
    </xf>
    <xf numFmtId="0" fontId="67" fillId="13" borderId="35" xfId="0" applyFont="1" applyFill="1" applyBorder="1" applyAlignment="1">
      <alignment horizontal="center" vertical="center" wrapText="1"/>
    </xf>
    <xf numFmtId="0" fontId="68" fillId="13" borderId="36" xfId="0" applyFont="1" applyFill="1" applyBorder="1" applyAlignment="1">
      <alignment horizontal="center" vertical="center" wrapText="1"/>
    </xf>
    <xf numFmtId="0" fontId="65" fillId="8" borderId="23" xfId="0" applyFont="1" applyFill="1" applyBorder="1" applyAlignment="1">
      <alignment horizontal="center" vertical="center" wrapText="1"/>
    </xf>
    <xf numFmtId="0" fontId="65" fillId="36" borderId="23" xfId="0" applyFont="1" applyFill="1" applyBorder="1" applyAlignment="1">
      <alignment horizontal="center" vertical="center" wrapText="1"/>
    </xf>
    <xf numFmtId="0" fontId="0" fillId="0" borderId="23" xfId="0" applyBorder="1"/>
    <xf numFmtId="0" fontId="59" fillId="0" borderId="23" xfId="0" applyFont="1" applyBorder="1"/>
    <xf numFmtId="0" fontId="65" fillId="14" borderId="23" xfId="0" applyFont="1" applyFill="1" applyBorder="1" applyAlignment="1">
      <alignment horizontal="center" vertical="center" wrapText="1"/>
    </xf>
    <xf numFmtId="0" fontId="0" fillId="37" borderId="23" xfId="0" applyFill="1" applyBorder="1"/>
    <xf numFmtId="164" fontId="65" fillId="14" borderId="23" xfId="4" applyNumberFormat="1" applyFont="1" applyFill="1" applyBorder="1" applyAlignment="1">
      <alignment horizontal="right" vertical="center"/>
    </xf>
    <xf numFmtId="164" fontId="65" fillId="8" borderId="23" xfId="4" applyNumberFormat="1" applyFont="1" applyFill="1" applyBorder="1" applyAlignment="1">
      <alignment horizontal="right" vertical="center"/>
    </xf>
    <xf numFmtId="164" fontId="65" fillId="36" borderId="23" xfId="4" applyNumberFormat="1" applyFont="1" applyFill="1" applyBorder="1" applyAlignment="1">
      <alignment horizontal="right" vertical="center"/>
    </xf>
    <xf numFmtId="0" fontId="25" fillId="27" borderId="0" xfId="0" applyFont="1" applyFill="1"/>
    <xf numFmtId="166" fontId="9" fillId="20" borderId="0" xfId="8" applyFont="1" applyFill="1" applyBorder="1"/>
    <xf numFmtId="0" fontId="59" fillId="0" borderId="0" xfId="0" applyFont="1" applyAlignment="1">
      <alignment horizontal="center" vertical="center" wrapText="1"/>
    </xf>
    <xf numFmtId="0" fontId="25" fillId="0" borderId="0" xfId="0" applyNumberFormat="1" applyFont="1" applyFill="1"/>
    <xf numFmtId="1" fontId="25" fillId="0" borderId="0" xfId="0" applyNumberFormat="1" applyFont="1" applyFill="1"/>
    <xf numFmtId="0" fontId="25" fillId="0" borderId="0" xfId="0" applyFont="1" applyFill="1" applyAlignment="1">
      <alignment wrapText="1" readingOrder="1"/>
    </xf>
    <xf numFmtId="0" fontId="0" fillId="0" borderId="0" xfId="0" applyFill="1"/>
    <xf numFmtId="14" fontId="25" fillId="0" borderId="0" xfId="0" applyNumberFormat="1" applyFont="1"/>
    <xf numFmtId="165" fontId="25" fillId="0" borderId="0" xfId="0" applyNumberFormat="1" applyFont="1"/>
    <xf numFmtId="165" fontId="25" fillId="0" borderId="0" xfId="0" applyNumberFormat="1" applyFont="1" applyFill="1"/>
    <xf numFmtId="0" fontId="71" fillId="8" borderId="0" xfId="0" applyFont="1" applyFill="1"/>
    <xf numFmtId="0" fontId="71" fillId="38" borderId="0" xfId="0" applyFont="1" applyFill="1"/>
    <xf numFmtId="0" fontId="9" fillId="0" borderId="0" xfId="0" applyFont="1"/>
    <xf numFmtId="0" fontId="22" fillId="0" borderId="0" xfId="0" applyFont="1"/>
    <xf numFmtId="0" fontId="9" fillId="0" borderId="0" xfId="0" applyFont="1" applyAlignment="1">
      <alignment horizontal="left"/>
    </xf>
    <xf numFmtId="9" fontId="9" fillId="0" borderId="0" xfId="0" applyNumberFormat="1" applyFont="1"/>
    <xf numFmtId="0" fontId="9" fillId="0" borderId="0" xfId="0" applyNumberFormat="1" applyFont="1"/>
    <xf numFmtId="0" fontId="9" fillId="0" borderId="0" xfId="0" applyFont="1" applyAlignment="1">
      <alignment wrapText="1"/>
    </xf>
    <xf numFmtId="164" fontId="9" fillId="0" borderId="0" xfId="0" applyNumberFormat="1" applyFont="1"/>
    <xf numFmtId="0" fontId="73" fillId="0" borderId="0" xfId="0" applyFont="1"/>
    <xf numFmtId="0" fontId="72" fillId="14" borderId="0" xfId="0" applyFont="1" applyFill="1"/>
    <xf numFmtId="1" fontId="9" fillId="0" borderId="0" xfId="0" applyNumberFormat="1" applyFont="1"/>
    <xf numFmtId="0" fontId="22" fillId="0" borderId="34" xfId="0" applyFont="1" applyBorder="1" applyAlignment="1">
      <alignment wrapText="1"/>
    </xf>
    <xf numFmtId="0" fontId="74" fillId="0" borderId="37" xfId="0" applyFont="1" applyBorder="1" applyAlignment="1">
      <alignment horizontal="left"/>
    </xf>
    <xf numFmtId="0" fontId="74" fillId="0" borderId="39" xfId="0" applyFont="1" applyBorder="1" applyAlignment="1">
      <alignment horizontal="left"/>
    </xf>
    <xf numFmtId="0" fontId="22" fillId="0" borderId="35" xfId="0" applyFont="1" applyBorder="1"/>
    <xf numFmtId="0" fontId="22" fillId="0" borderId="36" xfId="0" applyFont="1" applyBorder="1"/>
    <xf numFmtId="0" fontId="74" fillId="0" borderId="33" xfId="0" applyNumberFormat="1" applyFont="1" applyBorder="1"/>
    <xf numFmtId="0" fontId="74" fillId="0" borderId="38" xfId="0" applyNumberFormat="1" applyFont="1" applyBorder="1"/>
    <xf numFmtId="0" fontId="74" fillId="0" borderId="40" xfId="0" applyNumberFormat="1" applyFont="1" applyBorder="1"/>
    <xf numFmtId="0" fontId="74" fillId="0" borderId="41" xfId="0" applyNumberFormat="1" applyFont="1" applyBorder="1"/>
    <xf numFmtId="0" fontId="9" fillId="0" borderId="0" xfId="0" applyFont="1" applyFill="1"/>
    <xf numFmtId="0" fontId="9" fillId="0" borderId="0" xfId="0" applyFont="1" applyFill="1" applyBorder="1" applyAlignment="1">
      <alignment horizontal="left"/>
    </xf>
    <xf numFmtId="0" fontId="9" fillId="0" borderId="0" xfId="0" applyNumberFormat="1" applyFont="1" applyFill="1" applyBorder="1"/>
    <xf numFmtId="9" fontId="9" fillId="0" borderId="0" xfId="0" applyNumberFormat="1" applyFont="1" applyFill="1"/>
    <xf numFmtId="0" fontId="9" fillId="0" borderId="0" xfId="0" applyNumberFormat="1" applyFont="1" applyFill="1"/>
    <xf numFmtId="0" fontId="9" fillId="17" borderId="32" xfId="0" applyFont="1" applyFill="1" applyBorder="1"/>
    <xf numFmtId="0" fontId="9" fillId="19" borderId="0" xfId="0" applyFont="1" applyFill="1"/>
    <xf numFmtId="164" fontId="9" fillId="0" borderId="0" xfId="4" applyNumberFormat="1" applyFont="1"/>
    <xf numFmtId="0" fontId="9" fillId="34" borderId="0" xfId="0" applyFont="1" applyFill="1"/>
    <xf numFmtId="0" fontId="22" fillId="10" borderId="0" xfId="0" applyFont="1" applyFill="1"/>
    <xf numFmtId="0" fontId="74" fillId="0" borderId="46" xfId="0" applyFont="1" applyBorder="1" applyAlignment="1">
      <alignment horizontal="left"/>
    </xf>
    <xf numFmtId="0" fontId="71" fillId="8" borderId="0" xfId="0" applyFont="1" applyFill="1" applyAlignment="1">
      <alignment horizontal="left"/>
    </xf>
    <xf numFmtId="9" fontId="71" fillId="8" borderId="0" xfId="0" applyNumberFormat="1" applyFont="1" applyFill="1"/>
    <xf numFmtId="0" fontId="71" fillId="8" borderId="0" xfId="0" applyNumberFormat="1" applyFont="1" applyFill="1"/>
    <xf numFmtId="0" fontId="69" fillId="0" borderId="0" xfId="0" applyFont="1"/>
    <xf numFmtId="0" fontId="62" fillId="0" borderId="0" xfId="0" applyFont="1"/>
    <xf numFmtId="0" fontId="72" fillId="29" borderId="49" xfId="0" applyFont="1" applyFill="1" applyBorder="1"/>
    <xf numFmtId="164" fontId="22" fillId="0" borderId="50" xfId="4" applyNumberFormat="1" applyFont="1" applyBorder="1"/>
    <xf numFmtId="164" fontId="75" fillId="0" borderId="51" xfId="4" applyNumberFormat="1" applyFont="1" applyBorder="1" applyAlignment="1">
      <alignment horizontal="left" wrapText="1"/>
    </xf>
    <xf numFmtId="164" fontId="75" fillId="0" borderId="48" xfId="4" applyNumberFormat="1" applyFont="1" applyBorder="1" applyAlignment="1">
      <alignment horizontal="left" wrapText="1"/>
    </xf>
    <xf numFmtId="0" fontId="75" fillId="0" borderId="52" xfId="0" applyFont="1" applyBorder="1" applyAlignment="1">
      <alignment horizontal="left"/>
    </xf>
    <xf numFmtId="0" fontId="75" fillId="0" borderId="0" xfId="0" applyFont="1" applyBorder="1" applyAlignment="1">
      <alignment horizontal="left"/>
    </xf>
    <xf numFmtId="0" fontId="75" fillId="0" borderId="0" xfId="0" applyNumberFormat="1" applyFont="1" applyBorder="1"/>
    <xf numFmtId="0" fontId="9" fillId="0" borderId="55" xfId="0" applyFont="1" applyBorder="1" applyAlignment="1">
      <alignment horizontal="left"/>
    </xf>
    <xf numFmtId="0" fontId="9" fillId="0" borderId="55" xfId="0" applyNumberFormat="1" applyFont="1" applyBorder="1"/>
    <xf numFmtId="0" fontId="9" fillId="0" borderId="60" xfId="0" applyNumberFormat="1" applyFont="1" applyBorder="1"/>
    <xf numFmtId="0" fontId="76" fillId="39" borderId="56" xfId="0" applyFont="1" applyFill="1" applyBorder="1"/>
    <xf numFmtId="0" fontId="76" fillId="9" borderId="0" xfId="0" applyFont="1" applyFill="1"/>
    <xf numFmtId="0" fontId="72" fillId="32" borderId="0" xfId="0" applyFont="1" applyFill="1"/>
    <xf numFmtId="0" fontId="71" fillId="14" borderId="0" xfId="0" applyFont="1" applyFill="1"/>
    <xf numFmtId="0" fontId="71" fillId="9" borderId="0" xfId="0" applyFont="1" applyFill="1"/>
    <xf numFmtId="0" fontId="69" fillId="34" borderId="0" xfId="0" applyFont="1" applyFill="1"/>
    <xf numFmtId="0" fontId="71" fillId="32" borderId="0" xfId="0" applyFont="1" applyFill="1"/>
    <xf numFmtId="0" fontId="69" fillId="10" borderId="0" xfId="0" applyFont="1" applyFill="1"/>
    <xf numFmtId="0" fontId="77" fillId="0" borderId="0" xfId="0" applyFont="1"/>
    <xf numFmtId="0" fontId="32" fillId="21" borderId="0" xfId="1" applyNumberFormat="1" applyFont="1" applyFill="1" applyBorder="1" applyAlignment="1">
      <alignment horizontal="center"/>
    </xf>
    <xf numFmtId="0" fontId="32" fillId="21" borderId="0" xfId="0" applyNumberFormat="1" applyFont="1" applyFill="1" applyBorder="1" applyAlignment="1">
      <alignment horizontal="center"/>
    </xf>
    <xf numFmtId="0" fontId="65" fillId="14" borderId="25" xfId="0" applyFont="1" applyFill="1" applyBorder="1" applyAlignment="1">
      <alignment horizontal="center" vertical="top" wrapText="1"/>
    </xf>
    <xf numFmtId="164" fontId="65" fillId="14" borderId="25" xfId="4" applyNumberFormat="1" applyFont="1" applyFill="1" applyBorder="1" applyAlignment="1">
      <alignment horizontal="center" vertical="top" wrapText="1"/>
    </xf>
    <xf numFmtId="164" fontId="66" fillId="10" borderId="25" xfId="4" applyNumberFormat="1" applyFont="1" applyFill="1" applyBorder="1" applyAlignment="1">
      <alignment horizontal="center" vertical="top" wrapText="1"/>
    </xf>
    <xf numFmtId="164" fontId="59" fillId="7" borderId="25" xfId="4" applyNumberFormat="1" applyFont="1" applyFill="1" applyBorder="1" applyAlignment="1">
      <alignment horizontal="center" vertical="top" wrapText="1"/>
    </xf>
    <xf numFmtId="0" fontId="65" fillId="8" borderId="25" xfId="0" applyFont="1" applyFill="1" applyBorder="1" applyAlignment="1">
      <alignment horizontal="center" vertical="top" wrapText="1"/>
    </xf>
    <xf numFmtId="164" fontId="65" fillId="8" borderId="25" xfId="4" applyNumberFormat="1" applyFont="1" applyFill="1" applyBorder="1" applyAlignment="1">
      <alignment horizontal="center" vertical="top" wrapText="1"/>
    </xf>
    <xf numFmtId="0" fontId="65" fillId="9" borderId="25" xfId="0" applyFont="1" applyFill="1" applyBorder="1" applyAlignment="1">
      <alignment horizontal="center" vertical="top" wrapText="1"/>
    </xf>
    <xf numFmtId="164" fontId="65" fillId="9" borderId="25" xfId="4" applyNumberFormat="1" applyFont="1" applyFill="1" applyBorder="1"/>
    <xf numFmtId="164" fontId="59" fillId="11" borderId="25" xfId="4" applyNumberFormat="1" applyFont="1" applyFill="1" applyBorder="1"/>
    <xf numFmtId="9" fontId="66" fillId="10" borderId="25" xfId="1" applyFont="1" applyFill="1" applyBorder="1" applyAlignment="1">
      <alignment horizontal="center" vertical="top" wrapText="1"/>
    </xf>
    <xf numFmtId="9" fontId="59" fillId="7" borderId="25" xfId="1" applyFont="1" applyFill="1" applyBorder="1" applyAlignment="1">
      <alignment horizontal="center" vertical="top" wrapText="1"/>
    </xf>
    <xf numFmtId="9" fontId="59" fillId="11" borderId="25" xfId="1" applyFont="1" applyFill="1" applyBorder="1" applyAlignment="1">
      <alignment horizontal="center" vertical="top" wrapText="1"/>
    </xf>
    <xf numFmtId="9" fontId="65" fillId="14" borderId="25" xfId="1" applyFont="1" applyFill="1" applyBorder="1"/>
    <xf numFmtId="9" fontId="65" fillId="8" borderId="25" xfId="1" applyFont="1" applyFill="1" applyBorder="1"/>
    <xf numFmtId="9" fontId="65" fillId="9" borderId="25" xfId="1" applyFont="1" applyFill="1" applyBorder="1"/>
    <xf numFmtId="0" fontId="59" fillId="0" borderId="0" xfId="0" applyFont="1" applyFill="1"/>
    <xf numFmtId="0" fontId="78" fillId="26" borderId="61" xfId="0" applyFont="1" applyFill="1" applyBorder="1"/>
    <xf numFmtId="0" fontId="71" fillId="41" borderId="0" xfId="0" applyFont="1" applyFill="1" applyAlignment="1">
      <alignment vertical="center"/>
    </xf>
    <xf numFmtId="1" fontId="79" fillId="0" borderId="0" xfId="0" applyNumberFormat="1" applyFont="1" applyFill="1"/>
    <xf numFmtId="0" fontId="79" fillId="0" borderId="0" xfId="0" applyFont="1" applyFill="1"/>
    <xf numFmtId="0" fontId="79" fillId="0" borderId="0" xfId="0" applyNumberFormat="1" applyFont="1" applyFill="1" applyAlignment="1">
      <alignment wrapText="1" readingOrder="1"/>
    </xf>
    <xf numFmtId="165" fontId="79" fillId="0" borderId="0" xfId="0" applyNumberFormat="1" applyFont="1" applyFill="1"/>
    <xf numFmtId="0" fontId="79" fillId="0" borderId="0" xfId="0" applyFont="1" applyFill="1" applyAlignment="1">
      <alignment wrapText="1" readingOrder="1"/>
    </xf>
    <xf numFmtId="0" fontId="79" fillId="0" borderId="0" xfId="0" applyNumberFormat="1" applyFont="1" applyFill="1" applyBorder="1"/>
    <xf numFmtId="0" fontId="79" fillId="0" borderId="28" xfId="0" applyNumberFormat="1" applyFont="1" applyFill="1" applyBorder="1"/>
    <xf numFmtId="1" fontId="79" fillId="0" borderId="29" xfId="0" applyNumberFormat="1" applyFont="1" applyFill="1" applyBorder="1"/>
    <xf numFmtId="164" fontId="59" fillId="0" borderId="0" xfId="4" applyNumberFormat="1" applyFont="1"/>
    <xf numFmtId="0" fontId="83" fillId="0" borderId="0" xfId="0" applyFont="1"/>
    <xf numFmtId="0" fontId="86" fillId="0" borderId="0" xfId="0" applyFont="1"/>
    <xf numFmtId="1" fontId="87" fillId="0" borderId="0" xfId="0" applyNumberFormat="1" applyFont="1" applyFill="1"/>
    <xf numFmtId="0" fontId="87" fillId="0" borderId="0" xfId="0" applyFont="1" applyFill="1"/>
    <xf numFmtId="0" fontId="87" fillId="0" borderId="0" xfId="0" applyNumberFormat="1" applyFont="1" applyFill="1" applyAlignment="1">
      <alignment wrapText="1" readingOrder="1"/>
    </xf>
    <xf numFmtId="165" fontId="87" fillId="0" borderId="0" xfId="0" applyNumberFormat="1" applyFont="1" applyFill="1"/>
    <xf numFmtId="0" fontId="87" fillId="0" borderId="0" xfId="0" applyFont="1" applyFill="1" applyAlignment="1">
      <alignment wrapText="1" readingOrder="1"/>
    </xf>
    <xf numFmtId="0" fontId="87" fillId="0" borderId="0" xfId="0" applyNumberFormat="1" applyFont="1" applyFill="1" applyBorder="1"/>
    <xf numFmtId="1" fontId="87" fillId="0" borderId="0" xfId="0" applyNumberFormat="1" applyFont="1" applyFill="1" applyBorder="1"/>
    <xf numFmtId="49" fontId="85" fillId="0" borderId="0" xfId="21" applyNumberFormat="1" applyFont="1" applyFill="1" applyBorder="1" applyAlignment="1">
      <alignment horizontal="left" vertical="center" wrapText="1"/>
    </xf>
    <xf numFmtId="1" fontId="88" fillId="0" borderId="0" xfId="0" applyNumberFormat="1" applyFont="1" applyFill="1"/>
    <xf numFmtId="0" fontId="88" fillId="0" borderId="0" xfId="0" applyFont="1" applyFill="1"/>
    <xf numFmtId="0" fontId="88" fillId="0" borderId="0" xfId="0" applyNumberFormat="1" applyFont="1" applyFill="1" applyAlignment="1">
      <alignment wrapText="1" readingOrder="1"/>
    </xf>
    <xf numFmtId="165" fontId="88" fillId="0" borderId="0" xfId="0" applyNumberFormat="1" applyFont="1" applyFill="1"/>
    <xf numFmtId="0" fontId="88" fillId="0" borderId="0" xfId="0" applyFont="1" applyFill="1" applyAlignment="1">
      <alignment wrapText="1" readingOrder="1"/>
    </xf>
    <xf numFmtId="0" fontId="88" fillId="0" borderId="0" xfId="0" applyNumberFormat="1" applyFont="1" applyFill="1" applyBorder="1"/>
    <xf numFmtId="1" fontId="88" fillId="0" borderId="0" xfId="0" applyNumberFormat="1" applyFont="1" applyFill="1" applyBorder="1"/>
    <xf numFmtId="0" fontId="83" fillId="0" borderId="30" xfId="0" applyFont="1" applyBorder="1"/>
    <xf numFmtId="0" fontId="83" fillId="31" borderId="30" xfId="0" applyFont="1" applyFill="1" applyBorder="1"/>
    <xf numFmtId="0" fontId="10" fillId="0" borderId="0" xfId="19" applyFont="1" applyAlignment="1">
      <alignment horizontal="left" vertical="center"/>
    </xf>
    <xf numFmtId="0" fontId="23" fillId="0" borderId="0" xfId="22" applyFont="1" applyAlignment="1">
      <alignment horizontal="left" vertical="center"/>
    </xf>
    <xf numFmtId="0" fontId="10" fillId="0" borderId="0" xfId="19" applyAlignment="1">
      <alignment horizontal="left" vertical="center"/>
    </xf>
    <xf numFmtId="0" fontId="46" fillId="24" borderId="76" xfId="23" applyFont="1" applyBorder="1" applyAlignment="1">
      <alignment horizontal="center" vertical="center" wrapText="1"/>
    </xf>
    <xf numFmtId="0" fontId="47" fillId="25" borderId="76" xfId="24" applyFont="1" applyBorder="1" applyAlignment="1">
      <alignment horizontal="center" vertical="center" wrapText="1"/>
    </xf>
    <xf numFmtId="0" fontId="48" fillId="26" borderId="76" xfId="22" applyFont="1" applyFill="1" applyBorder="1" applyAlignment="1">
      <alignment horizontal="center" vertical="center"/>
    </xf>
    <xf numFmtId="0" fontId="44" fillId="24" borderId="76" xfId="23" applyBorder="1" applyAlignment="1">
      <alignment horizontal="left" vertical="center"/>
    </xf>
    <xf numFmtId="0" fontId="45" fillId="25" borderId="76" xfId="24" applyBorder="1" applyAlignment="1">
      <alignment horizontal="left" vertical="center"/>
    </xf>
    <xf numFmtId="0" fontId="23" fillId="43" borderId="76" xfId="22" applyFont="1" applyFill="1" applyBorder="1" applyAlignment="1">
      <alignment horizontal="left" vertical="center"/>
    </xf>
    <xf numFmtId="0" fontId="24" fillId="18" borderId="76" xfId="19" applyFont="1" applyFill="1" applyBorder="1" applyAlignment="1">
      <alignment horizontal="left" vertical="center" wrapText="1" readingOrder="1"/>
    </xf>
    <xf numFmtId="0" fontId="52" fillId="5" borderId="76" xfId="23" applyFont="1" applyFill="1" applyBorder="1" applyAlignment="1">
      <alignment horizontal="left" vertical="center"/>
    </xf>
    <xf numFmtId="0" fontId="52" fillId="5" borderId="76" xfId="24" applyFont="1" applyFill="1" applyBorder="1" applyAlignment="1">
      <alignment horizontal="left" vertical="center"/>
    </xf>
    <xf numFmtId="0" fontId="49" fillId="26" borderId="76" xfId="22" applyFont="1" applyFill="1" applyBorder="1" applyAlignment="1">
      <alignment horizontal="left" vertical="center" wrapText="1"/>
    </xf>
    <xf numFmtId="1" fontId="24" fillId="18" borderId="76" xfId="19" applyNumberFormat="1" applyFont="1" applyFill="1" applyBorder="1" applyAlignment="1">
      <alignment horizontal="left" vertical="center" wrapText="1" readingOrder="1"/>
    </xf>
    <xf numFmtId="0" fontId="44" fillId="24" borderId="79" xfId="23" applyBorder="1" applyAlignment="1">
      <alignment horizontal="left" vertical="center"/>
    </xf>
    <xf numFmtId="0" fontId="45" fillId="25" borderId="79" xfId="24" applyBorder="1" applyAlignment="1">
      <alignment horizontal="left" vertical="center"/>
    </xf>
    <xf numFmtId="9" fontId="24" fillId="18" borderId="76" xfId="19" applyNumberFormat="1" applyFont="1" applyFill="1" applyBorder="1" applyAlignment="1">
      <alignment horizontal="left" vertical="center" wrapText="1" readingOrder="1"/>
    </xf>
    <xf numFmtId="9" fontId="24" fillId="18" borderId="76" xfId="20" applyNumberFormat="1" applyFont="1" applyFill="1" applyBorder="1" applyAlignment="1">
      <alignment horizontal="left" vertical="center" wrapText="1" readingOrder="1"/>
    </xf>
    <xf numFmtId="0" fontId="54" fillId="8" borderId="76" xfId="23" applyFont="1" applyFill="1" applyBorder="1" applyAlignment="1">
      <alignment horizontal="left" vertical="center"/>
    </xf>
    <xf numFmtId="0" fontId="54" fillId="8" borderId="76" xfId="24" applyFont="1" applyFill="1" applyBorder="1" applyAlignment="1">
      <alignment horizontal="left" vertical="center"/>
    </xf>
    <xf numFmtId="0" fontId="50" fillId="26" borderId="76" xfId="22" applyFont="1" applyFill="1" applyBorder="1" applyAlignment="1">
      <alignment horizontal="left" vertical="center" wrapText="1"/>
    </xf>
    <xf numFmtId="1" fontId="24" fillId="7" borderId="76" xfId="19" applyNumberFormat="1" applyFont="1" applyFill="1" applyBorder="1" applyAlignment="1">
      <alignment horizontal="left" vertical="center" wrapText="1" readingOrder="1"/>
    </xf>
    <xf numFmtId="0" fontId="55" fillId="36" borderId="76" xfId="23" applyFont="1" applyFill="1" applyBorder="1" applyAlignment="1">
      <alignment horizontal="left" vertical="center"/>
    </xf>
    <xf numFmtId="0" fontId="55" fillId="36" borderId="76" xfId="24" applyFont="1" applyFill="1" applyBorder="1" applyAlignment="1">
      <alignment horizontal="left" vertical="center"/>
    </xf>
    <xf numFmtId="0" fontId="51" fillId="26" borderId="76" xfId="22" applyFont="1" applyFill="1" applyBorder="1" applyAlignment="1">
      <alignment horizontal="left" vertical="center" wrapText="1"/>
    </xf>
    <xf numFmtId="0" fontId="76" fillId="36" borderId="76" xfId="23" applyFont="1" applyFill="1" applyBorder="1" applyAlignment="1">
      <alignment horizontal="left" vertical="center" wrapText="1"/>
    </xf>
    <xf numFmtId="0" fontId="23" fillId="43" borderId="79" xfId="22" applyFont="1" applyFill="1" applyBorder="1" applyAlignment="1">
      <alignment horizontal="left" vertical="center"/>
    </xf>
    <xf numFmtId="0" fontId="12" fillId="0" borderId="0" xfId="22" applyAlignment="1">
      <alignment vertical="top" wrapText="1"/>
    </xf>
    <xf numFmtId="0" fontId="37" fillId="0" borderId="0" xfId="22" applyFont="1" applyAlignment="1">
      <alignment vertical="top" wrapText="1"/>
    </xf>
    <xf numFmtId="0" fontId="12" fillId="0" borderId="0" xfId="22" applyAlignment="1">
      <alignment wrapText="1"/>
    </xf>
    <xf numFmtId="0" fontId="18" fillId="12" borderId="4" xfId="22" applyFont="1" applyFill="1" applyBorder="1" applyAlignment="1">
      <alignment vertical="top" wrapText="1"/>
    </xf>
    <xf numFmtId="0" fontId="21" fillId="10" borderId="4" xfId="22" applyFont="1" applyFill="1" applyBorder="1" applyAlignment="1">
      <alignment horizontal="left" vertical="top" wrapText="1"/>
    </xf>
    <xf numFmtId="0" fontId="21" fillId="10" borderId="4" xfId="22" applyFont="1" applyFill="1" applyBorder="1" applyAlignment="1">
      <alignment horizontal="left" vertical="center" wrapText="1"/>
    </xf>
    <xf numFmtId="0" fontId="19" fillId="7" borderId="4" xfId="22" applyFont="1" applyFill="1" applyBorder="1" applyAlignment="1">
      <alignment vertical="top" wrapText="1"/>
    </xf>
    <xf numFmtId="0" fontId="19" fillId="11" borderId="4" xfId="22" applyFont="1" applyFill="1" applyBorder="1" applyAlignment="1">
      <alignment vertical="top" wrapText="1"/>
    </xf>
    <xf numFmtId="9" fontId="12" fillId="0" borderId="0" xfId="22" applyNumberFormat="1" applyAlignment="1">
      <alignment vertical="top" wrapText="1"/>
    </xf>
    <xf numFmtId="0" fontId="16" fillId="44" borderId="76" xfId="22" applyNumberFormat="1" applyFont="1" applyFill="1" applyBorder="1" applyAlignment="1">
      <alignment horizontal="center" vertical="center"/>
    </xf>
    <xf numFmtId="0" fontId="16" fillId="2" borderId="76" xfId="22" applyNumberFormat="1" applyFont="1" applyFill="1" applyBorder="1" applyAlignment="1">
      <alignment horizontal="center" vertical="center"/>
    </xf>
    <xf numFmtId="0" fontId="16" fillId="37" borderId="76" xfId="22" applyNumberFormat="1" applyFont="1" applyFill="1" applyBorder="1" applyAlignment="1">
      <alignment horizontal="center" vertical="center"/>
    </xf>
    <xf numFmtId="1" fontId="58" fillId="18" borderId="14" xfId="0" applyNumberFormat="1" applyFont="1" applyFill="1" applyBorder="1" applyAlignment="1">
      <alignment horizontal="left" vertical="top" wrapText="1" readingOrder="1"/>
    </xf>
    <xf numFmtId="0" fontId="58" fillId="27" borderId="76" xfId="22" applyNumberFormat="1" applyFont="1" applyFill="1" applyBorder="1" applyAlignment="1">
      <alignment horizontal="center" vertical="center" wrapText="1"/>
    </xf>
    <xf numFmtId="14" fontId="57" fillId="12" borderId="76" xfId="19" applyNumberFormat="1" applyFont="1" applyFill="1" applyBorder="1" applyAlignment="1">
      <alignment horizontal="center" vertical="center" wrapText="1"/>
    </xf>
    <xf numFmtId="14" fontId="57" fillId="22" borderId="76" xfId="19" applyNumberFormat="1" applyFont="1" applyFill="1" applyBorder="1" applyAlignment="1">
      <alignment horizontal="center" vertical="center" wrapText="1"/>
    </xf>
    <xf numFmtId="14" fontId="17" fillId="17" borderId="76" xfId="19" applyNumberFormat="1" applyFont="1" applyFill="1" applyBorder="1" applyAlignment="1">
      <alignment horizontal="center" vertical="center" wrapText="1" readingOrder="1"/>
    </xf>
    <xf numFmtId="0" fontId="32" fillId="14" borderId="0" xfId="0" applyFont="1" applyFill="1" applyBorder="1" applyAlignment="1"/>
    <xf numFmtId="1" fontId="32" fillId="8" borderId="0" xfId="0" applyNumberFormat="1" applyFont="1" applyFill="1" applyBorder="1" applyAlignment="1"/>
    <xf numFmtId="0" fontId="16" fillId="9" borderId="80" xfId="22" applyNumberFormat="1" applyFont="1" applyFill="1" applyBorder="1" applyAlignment="1">
      <alignment horizontal="center" vertical="center"/>
    </xf>
    <xf numFmtId="0" fontId="93" fillId="37" borderId="76" xfId="22" applyNumberFormat="1" applyFont="1" applyFill="1" applyBorder="1" applyAlignment="1">
      <alignment horizontal="left" vertical="center"/>
    </xf>
    <xf numFmtId="0" fontId="16" fillId="6" borderId="76" xfId="22" applyNumberFormat="1" applyFont="1" applyFill="1" applyBorder="1" applyAlignment="1">
      <alignment horizontal="center" vertical="center"/>
    </xf>
    <xf numFmtId="0" fontId="93" fillId="6" borderId="76" xfId="22" applyNumberFormat="1" applyFont="1" applyFill="1" applyBorder="1" applyAlignment="1">
      <alignment horizontal="left" vertical="center"/>
    </xf>
    <xf numFmtId="14" fontId="57" fillId="17" borderId="14" xfId="0" applyNumberFormat="1" applyFont="1" applyFill="1" applyBorder="1" applyAlignment="1">
      <alignment horizontal="left" vertical="top" wrapText="1" readingOrder="1"/>
    </xf>
    <xf numFmtId="0" fontId="58" fillId="18" borderId="14" xfId="0" applyFont="1" applyFill="1" applyBorder="1" applyAlignment="1">
      <alignment horizontal="left" vertical="top" wrapText="1" readingOrder="1"/>
    </xf>
    <xf numFmtId="0" fontId="58" fillId="22" borderId="19" xfId="0" applyNumberFormat="1" applyFont="1" applyFill="1" applyBorder="1" applyAlignment="1">
      <alignment horizontal="left" vertical="top" wrapText="1" readingOrder="1"/>
    </xf>
    <xf numFmtId="0" fontId="58" fillId="22" borderId="20" xfId="0" applyNumberFormat="1" applyFont="1" applyFill="1" applyBorder="1" applyAlignment="1">
      <alignment horizontal="left" vertical="top" wrapText="1" readingOrder="1"/>
    </xf>
    <xf numFmtId="0" fontId="58" fillId="22" borderId="2" xfId="0" applyNumberFormat="1" applyFont="1" applyFill="1" applyBorder="1" applyAlignment="1">
      <alignment horizontal="left" vertical="center" wrapText="1" readingOrder="1"/>
    </xf>
    <xf numFmtId="0" fontId="56" fillId="0" borderId="0" xfId="0" applyFont="1" applyAlignment="1">
      <alignment vertical="top" wrapText="1"/>
    </xf>
    <xf numFmtId="0" fontId="94" fillId="18" borderId="76" xfId="19" applyFont="1" applyFill="1" applyBorder="1" applyAlignment="1">
      <alignment horizontal="left" vertical="center" wrapText="1" readingOrder="1"/>
    </xf>
    <xf numFmtId="1" fontId="94" fillId="18" borderId="76" xfId="19" applyNumberFormat="1" applyFont="1" applyFill="1" applyBorder="1" applyAlignment="1">
      <alignment horizontal="left" vertical="center" wrapText="1" readingOrder="1"/>
    </xf>
    <xf numFmtId="0" fontId="95" fillId="18" borderId="76" xfId="19" applyFont="1" applyFill="1" applyBorder="1" applyAlignment="1">
      <alignment horizontal="left" vertical="center" wrapText="1" readingOrder="1"/>
    </xf>
    <xf numFmtId="0" fontId="94" fillId="18" borderId="76" xfId="19" applyFont="1" applyFill="1" applyBorder="1" applyAlignment="1">
      <alignment horizontal="left" vertical="center" wrapText="1"/>
    </xf>
    <xf numFmtId="1" fontId="95" fillId="18" borderId="76" xfId="19" applyNumberFormat="1" applyFont="1" applyFill="1" applyBorder="1" applyAlignment="1">
      <alignment horizontal="left" vertical="center" wrapText="1" readingOrder="1"/>
    </xf>
    <xf numFmtId="1" fontId="95" fillId="7" borderId="76" xfId="19" applyNumberFormat="1" applyFont="1" applyFill="1" applyBorder="1" applyAlignment="1">
      <alignment horizontal="left" vertical="center" wrapText="1" readingOrder="1"/>
    </xf>
    <xf numFmtId="0" fontId="94" fillId="28" borderId="76" xfId="19" applyFont="1" applyFill="1" applyBorder="1" applyAlignment="1">
      <alignment horizontal="left" vertical="center" wrapText="1"/>
    </xf>
    <xf numFmtId="14" fontId="95" fillId="7" borderId="76" xfId="19" applyNumberFormat="1" applyFont="1" applyFill="1" applyBorder="1" applyAlignment="1">
      <alignment horizontal="left" vertical="center" wrapText="1" readingOrder="1"/>
    </xf>
    <xf numFmtId="0" fontId="95" fillId="11" borderId="76" xfId="20" applyNumberFormat="1" applyFont="1" applyFill="1" applyBorder="1" applyAlignment="1">
      <alignment horizontal="left" vertical="center" wrapText="1" readingOrder="1"/>
    </xf>
    <xf numFmtId="1" fontId="95" fillId="11" borderId="76" xfId="19" applyNumberFormat="1" applyFont="1" applyFill="1" applyBorder="1" applyAlignment="1">
      <alignment horizontal="left" vertical="center" wrapText="1" readingOrder="1"/>
    </xf>
    <xf numFmtId="0" fontId="94" fillId="0" borderId="76" xfId="19" applyFont="1" applyFill="1" applyBorder="1" applyAlignment="1">
      <alignment horizontal="left" vertical="center" wrapText="1"/>
    </xf>
    <xf numFmtId="0" fontId="94" fillId="30" borderId="76" xfId="20" applyNumberFormat="1" applyFont="1" applyFill="1" applyBorder="1" applyAlignment="1">
      <alignment horizontal="left" vertical="center" wrapText="1" readingOrder="1"/>
    </xf>
    <xf numFmtId="14" fontId="95" fillId="17" borderId="76" xfId="19" applyNumberFormat="1" applyFont="1" applyFill="1" applyBorder="1" applyAlignment="1">
      <alignment horizontal="left" vertical="center" wrapText="1" readingOrder="1"/>
    </xf>
    <xf numFmtId="0" fontId="97" fillId="16" borderId="76" xfId="19" applyFont="1" applyFill="1" applyBorder="1" applyAlignment="1">
      <alignment horizontal="center" vertical="center" wrapText="1"/>
    </xf>
    <xf numFmtId="0" fontId="100" fillId="22" borderId="13" xfId="0" applyNumberFormat="1" applyFont="1" applyFill="1" applyBorder="1" applyAlignment="1">
      <alignment horizontal="left" vertical="center" wrapText="1" readingOrder="1"/>
    </xf>
    <xf numFmtId="0" fontId="100" fillId="22" borderId="2" xfId="0" applyNumberFormat="1" applyFont="1" applyFill="1" applyBorder="1" applyAlignment="1">
      <alignment horizontal="left" vertical="center" wrapText="1" readingOrder="1"/>
    </xf>
    <xf numFmtId="0" fontId="98" fillId="0" borderId="0" xfId="0" applyFont="1" applyAlignment="1"/>
    <xf numFmtId="0" fontId="45" fillId="25" borderId="77" xfId="24" applyBorder="1" applyAlignment="1">
      <alignment horizontal="left" vertical="center"/>
    </xf>
    <xf numFmtId="0" fontId="23" fillId="43" borderId="77" xfId="22" applyFont="1" applyFill="1" applyBorder="1" applyAlignment="1">
      <alignment horizontal="left" vertical="center"/>
    </xf>
    <xf numFmtId="0" fontId="52" fillId="5" borderId="0" xfId="23" applyFont="1" applyFill="1" applyBorder="1" applyAlignment="1">
      <alignment horizontal="left" vertical="center"/>
    </xf>
    <xf numFmtId="0" fontId="52" fillId="5" borderId="0" xfId="24" applyFont="1" applyFill="1" applyBorder="1" applyAlignment="1">
      <alignment horizontal="left" vertical="center"/>
    </xf>
    <xf numFmtId="0" fontId="49" fillId="26" borderId="0" xfId="22" applyFont="1" applyFill="1" applyBorder="1" applyAlignment="1">
      <alignment horizontal="left" vertical="center" wrapText="1"/>
    </xf>
    <xf numFmtId="14" fontId="24" fillId="18" borderId="76" xfId="19" applyNumberFormat="1" applyFont="1" applyFill="1" applyBorder="1" applyAlignment="1">
      <alignment horizontal="left" vertical="center" wrapText="1" readingOrder="1"/>
    </xf>
    <xf numFmtId="0" fontId="24" fillId="10" borderId="76" xfId="19" applyFont="1" applyFill="1" applyBorder="1" applyAlignment="1">
      <alignment horizontal="left" vertical="center" wrapText="1"/>
    </xf>
    <xf numFmtId="14" fontId="94" fillId="18" borderId="76" xfId="19" applyNumberFormat="1" applyFont="1" applyFill="1" applyBorder="1" applyAlignment="1">
      <alignment horizontal="left" vertical="center" wrapText="1" readingOrder="1"/>
    </xf>
    <xf numFmtId="9" fontId="24" fillId="11" borderId="76" xfId="19" applyNumberFormat="1" applyFont="1" applyFill="1" applyBorder="1" applyAlignment="1">
      <alignment horizontal="left" vertical="center" wrapText="1" readingOrder="1"/>
    </xf>
    <xf numFmtId="0" fontId="44" fillId="24" borderId="78" xfId="23" applyBorder="1" applyAlignment="1">
      <alignment horizontal="left" vertical="center"/>
    </xf>
    <xf numFmtId="0" fontId="44" fillId="24" borderId="83" xfId="23" applyBorder="1" applyAlignment="1">
      <alignment horizontal="left" vertical="center"/>
    </xf>
    <xf numFmtId="1" fontId="24" fillId="18" borderId="76" xfId="20" applyNumberFormat="1" applyFont="1" applyFill="1" applyBorder="1" applyAlignment="1">
      <alignment horizontal="left" vertical="center" wrapText="1" readingOrder="1"/>
    </xf>
    <xf numFmtId="0" fontId="16" fillId="2" borderId="76" xfId="22" applyNumberFormat="1" applyFont="1" applyFill="1" applyBorder="1" applyAlignment="1">
      <alignment horizontal="center" vertical="center" wrapText="1"/>
    </xf>
    <xf numFmtId="0" fontId="16" fillId="6" borderId="76" xfId="22" applyNumberFormat="1" applyFont="1" applyFill="1" applyBorder="1" applyAlignment="1">
      <alignment horizontal="center" vertical="center" wrapText="1"/>
    </xf>
    <xf numFmtId="0" fontId="16" fillId="37" borderId="76" xfId="22" applyNumberFormat="1" applyFont="1" applyFill="1" applyBorder="1" applyAlignment="1">
      <alignment horizontal="center" vertical="center" wrapText="1"/>
    </xf>
    <xf numFmtId="0" fontId="16" fillId="44" borderId="76" xfId="22" applyNumberFormat="1" applyFont="1" applyFill="1" applyBorder="1" applyAlignment="1">
      <alignment horizontal="center" vertical="center" wrapText="1"/>
    </xf>
    <xf numFmtId="0" fontId="26" fillId="22" borderId="13" xfId="0" applyNumberFormat="1" applyFont="1" applyFill="1" applyBorder="1" applyAlignment="1">
      <alignment horizontal="left" vertical="center" wrapText="1" readingOrder="1"/>
    </xf>
    <xf numFmtId="0" fontId="26" fillId="22" borderId="2" xfId="0" applyNumberFormat="1" applyFont="1" applyFill="1" applyBorder="1" applyAlignment="1">
      <alignment horizontal="left" vertical="center" wrapText="1" readingOrder="1"/>
    </xf>
    <xf numFmtId="0" fontId="28" fillId="0" borderId="0" xfId="0" applyFont="1" applyAlignment="1">
      <alignment wrapText="1"/>
    </xf>
    <xf numFmtId="0" fontId="102" fillId="0" borderId="0" xfId="19" applyFont="1" applyAlignment="1">
      <alignment horizontal="left" vertical="center"/>
    </xf>
    <xf numFmtId="0" fontId="24" fillId="0" borderId="0" xfId="22" applyFont="1" applyAlignment="1">
      <alignment horizontal="left" vertical="center"/>
    </xf>
    <xf numFmtId="0" fontId="26" fillId="16" borderId="76" xfId="22" applyFont="1" applyFill="1" applyBorder="1" applyAlignment="1">
      <alignment horizontal="center" vertical="center" wrapText="1"/>
    </xf>
    <xf numFmtId="0" fontId="26" fillId="16" borderId="76" xfId="19" applyFont="1" applyFill="1" applyBorder="1" applyAlignment="1">
      <alignment horizontal="center" vertical="center" wrapText="1"/>
    </xf>
    <xf numFmtId="0" fontId="102" fillId="0" borderId="0" xfId="19" applyFont="1" applyAlignment="1">
      <alignment horizontal="center" vertical="center"/>
    </xf>
    <xf numFmtId="0" fontId="26" fillId="2" borderId="76" xfId="22" applyNumberFormat="1" applyFont="1" applyFill="1" applyBorder="1" applyAlignment="1">
      <alignment horizontal="left" vertical="center" indent="1" readingOrder="1"/>
    </xf>
    <xf numFmtId="14" fontId="24" fillId="17" borderId="76" xfId="19" applyNumberFormat="1" applyFont="1" applyFill="1" applyBorder="1" applyAlignment="1">
      <alignment horizontal="left" vertical="center" wrapText="1" readingOrder="1"/>
    </xf>
    <xf numFmtId="0" fontId="24" fillId="0" borderId="76" xfId="19" applyFont="1" applyFill="1" applyBorder="1" applyAlignment="1">
      <alignment horizontal="left" vertical="center" wrapText="1"/>
    </xf>
    <xf numFmtId="0" fontId="26" fillId="14" borderId="76" xfId="22" applyNumberFormat="1" applyFont="1" applyFill="1" applyBorder="1" applyAlignment="1">
      <alignment horizontal="left" vertical="center" indent="1" readingOrder="1"/>
    </xf>
    <xf numFmtId="1" fontId="24" fillId="18" borderId="79" xfId="20" applyNumberFormat="1" applyFont="1" applyFill="1" applyBorder="1" applyAlignment="1">
      <alignment horizontal="left" vertical="center" wrapText="1" readingOrder="1"/>
    </xf>
    <xf numFmtId="0" fontId="24" fillId="18" borderId="79" xfId="19" applyFont="1" applyFill="1" applyBorder="1" applyAlignment="1">
      <alignment horizontal="left" vertical="center" wrapText="1" readingOrder="1"/>
    </xf>
    <xf numFmtId="1" fontId="24" fillId="18" borderId="79" xfId="19" applyNumberFormat="1" applyFont="1" applyFill="1" applyBorder="1" applyAlignment="1">
      <alignment horizontal="left" vertical="center" wrapText="1" readingOrder="1"/>
    </xf>
    <xf numFmtId="0" fontId="26" fillId="38" borderId="76" xfId="22" applyNumberFormat="1" applyFont="1" applyFill="1" applyBorder="1" applyAlignment="1">
      <alignment horizontal="left" vertical="center" indent="1" readingOrder="1"/>
    </xf>
    <xf numFmtId="0" fontId="24" fillId="28" borderId="76" xfId="19" applyFont="1" applyFill="1" applyBorder="1" applyAlignment="1">
      <alignment horizontal="left" vertical="center" wrapText="1"/>
    </xf>
    <xf numFmtId="1" fontId="24" fillId="7" borderId="76" xfId="20" applyNumberFormat="1" applyFont="1" applyFill="1" applyBorder="1" applyAlignment="1">
      <alignment horizontal="left" vertical="center" wrapText="1" readingOrder="1"/>
    </xf>
    <xf numFmtId="14" fontId="24" fillId="7" borderId="76" xfId="19" applyNumberFormat="1" applyFont="1" applyFill="1" applyBorder="1" applyAlignment="1">
      <alignment horizontal="left" vertical="center" wrapText="1" readingOrder="1"/>
    </xf>
    <xf numFmtId="0" fontId="24" fillId="7" borderId="76" xfId="19" applyFont="1" applyFill="1" applyBorder="1" applyAlignment="1">
      <alignment horizontal="left" vertical="center" wrapText="1" readingOrder="1"/>
    </xf>
    <xf numFmtId="0" fontId="26" fillId="9" borderId="76" xfId="22" applyNumberFormat="1" applyFont="1" applyFill="1" applyBorder="1" applyAlignment="1">
      <alignment horizontal="left" vertical="center" indent="1" readingOrder="1"/>
    </xf>
    <xf numFmtId="0" fontId="24" fillId="11" borderId="76" xfId="20" applyNumberFormat="1" applyFont="1" applyFill="1" applyBorder="1" applyAlignment="1">
      <alignment horizontal="left" vertical="center" wrapText="1" readingOrder="1"/>
    </xf>
    <xf numFmtId="1" fontId="24" fillId="11" borderId="76" xfId="19" applyNumberFormat="1" applyFont="1" applyFill="1" applyBorder="1" applyAlignment="1">
      <alignment horizontal="left" vertical="center" wrapText="1" readingOrder="1"/>
    </xf>
    <xf numFmtId="0" fontId="24" fillId="30" borderId="76" xfId="19" applyFont="1" applyFill="1" applyBorder="1" applyAlignment="1">
      <alignment horizontal="left" vertical="center" wrapText="1"/>
    </xf>
    <xf numFmtId="9" fontId="24" fillId="11" borderId="79" xfId="19" applyNumberFormat="1" applyFont="1" applyFill="1" applyBorder="1" applyAlignment="1">
      <alignment horizontal="left" vertical="center" wrapText="1" readingOrder="1"/>
    </xf>
    <xf numFmtId="0" fontId="24" fillId="30" borderId="79" xfId="19" applyFont="1" applyFill="1" applyBorder="1" applyAlignment="1">
      <alignment horizontal="left" vertical="center" wrapText="1"/>
    </xf>
    <xf numFmtId="0" fontId="58" fillId="0" borderId="0" xfId="19" applyFont="1" applyAlignment="1">
      <alignment horizontal="left" vertical="center"/>
    </xf>
    <xf numFmtId="0" fontId="24" fillId="0" borderId="0" xfId="19" applyFont="1" applyAlignment="1">
      <alignment horizontal="left" vertical="center"/>
    </xf>
    <xf numFmtId="0" fontId="104" fillId="0" borderId="0" xfId="19" applyFont="1" applyAlignment="1">
      <alignment horizontal="left" vertical="center"/>
    </xf>
    <xf numFmtId="0" fontId="104" fillId="0" borderId="0" xfId="19" applyFont="1" applyAlignment="1">
      <alignment horizontal="center" vertical="center"/>
    </xf>
    <xf numFmtId="0" fontId="26" fillId="14" borderId="78" xfId="22" applyNumberFormat="1" applyFont="1" applyFill="1" applyBorder="1" applyAlignment="1">
      <alignment horizontal="left" vertical="center" indent="1" readingOrder="1"/>
    </xf>
    <xf numFmtId="0" fontId="104" fillId="0" borderId="0" xfId="19" applyFont="1" applyBorder="1" applyAlignment="1">
      <alignment horizontal="left" vertical="center"/>
    </xf>
    <xf numFmtId="0" fontId="96" fillId="0" borderId="0" xfId="19" applyFont="1" applyAlignment="1">
      <alignment horizontal="left" vertical="center"/>
    </xf>
    <xf numFmtId="0" fontId="94" fillId="0" borderId="0" xfId="19" applyFont="1" applyAlignment="1">
      <alignment horizontal="left" vertical="center"/>
    </xf>
    <xf numFmtId="0" fontId="95" fillId="0" borderId="0" xfId="19" applyFont="1" applyAlignment="1">
      <alignment horizontal="left" vertical="center"/>
    </xf>
    <xf numFmtId="0" fontId="16" fillId="9" borderId="0" xfId="22" applyNumberFormat="1" applyFont="1" applyFill="1" applyBorder="1" applyAlignment="1">
      <alignment horizontal="center" vertical="center"/>
    </xf>
    <xf numFmtId="14" fontId="17" fillId="17" borderId="76" xfId="19" applyNumberFormat="1" applyFont="1" applyFill="1" applyBorder="1" applyAlignment="1">
      <alignment horizontal="center" vertical="center" wrapText="1"/>
    </xf>
    <xf numFmtId="14" fontId="17" fillId="7" borderId="76" xfId="19" applyNumberFormat="1" applyFont="1" applyFill="1" applyBorder="1" applyAlignment="1">
      <alignment horizontal="center" vertical="center" wrapText="1"/>
    </xf>
    <xf numFmtId="14" fontId="17" fillId="27" borderId="76" xfId="19" applyNumberFormat="1" applyFont="1" applyFill="1" applyBorder="1" applyAlignment="1">
      <alignment horizontal="center" vertical="center" wrapText="1"/>
    </xf>
    <xf numFmtId="14" fontId="17" fillId="22" borderId="76" xfId="19" applyNumberFormat="1" applyFont="1" applyFill="1" applyBorder="1" applyAlignment="1">
      <alignment horizontal="center" vertical="center" wrapText="1"/>
    </xf>
    <xf numFmtId="14" fontId="17" fillId="17" borderId="82" xfId="19" applyNumberFormat="1" applyFont="1" applyFill="1" applyBorder="1" applyAlignment="1">
      <alignment horizontal="center" vertical="center" wrapText="1"/>
    </xf>
    <xf numFmtId="14" fontId="105" fillId="17" borderId="76" xfId="19" applyNumberFormat="1" applyFont="1" applyFill="1" applyBorder="1" applyAlignment="1">
      <alignment horizontal="center" vertical="center" wrapText="1"/>
    </xf>
    <xf numFmtId="14" fontId="105" fillId="7" borderId="76" xfId="19" applyNumberFormat="1" applyFont="1" applyFill="1" applyBorder="1" applyAlignment="1">
      <alignment horizontal="center" vertical="center" wrapText="1"/>
    </xf>
    <xf numFmtId="14" fontId="105" fillId="27" borderId="76" xfId="19" applyNumberFormat="1" applyFont="1" applyFill="1" applyBorder="1" applyAlignment="1">
      <alignment horizontal="center" vertical="center" wrapText="1"/>
    </xf>
    <xf numFmtId="14" fontId="105" fillId="22" borderId="76" xfId="19" applyNumberFormat="1" applyFont="1" applyFill="1" applyBorder="1" applyAlignment="1">
      <alignment horizontal="center" vertical="center" wrapText="1"/>
    </xf>
    <xf numFmtId="14" fontId="105" fillId="17" borderId="82" xfId="19" applyNumberFormat="1" applyFont="1" applyFill="1" applyBorder="1" applyAlignment="1">
      <alignment horizontal="center" vertical="center" wrapText="1"/>
    </xf>
    <xf numFmtId="0" fontId="106" fillId="18" borderId="81" xfId="19" applyFont="1" applyFill="1" applyBorder="1" applyAlignment="1">
      <alignment horizontal="center" vertical="center" wrapText="1"/>
    </xf>
    <xf numFmtId="1" fontId="107" fillId="7" borderId="76" xfId="19" applyNumberFormat="1" applyFont="1" applyFill="1" applyBorder="1" applyAlignment="1">
      <alignment horizontal="center" vertical="center" wrapText="1"/>
    </xf>
    <xf numFmtId="1" fontId="107" fillId="7" borderId="76" xfId="20" applyNumberFormat="1" applyFont="1" applyFill="1" applyBorder="1" applyAlignment="1">
      <alignment horizontal="center" vertical="center" wrapText="1"/>
    </xf>
    <xf numFmtId="1" fontId="106" fillId="7" borderId="76" xfId="19" applyNumberFormat="1" applyFont="1" applyFill="1" applyBorder="1" applyAlignment="1">
      <alignment horizontal="center" vertical="center" wrapText="1"/>
    </xf>
    <xf numFmtId="0" fontId="105" fillId="7" borderId="76" xfId="19" applyFont="1" applyFill="1" applyBorder="1" applyAlignment="1">
      <alignment horizontal="center" vertical="center" wrapText="1"/>
    </xf>
    <xf numFmtId="0" fontId="107" fillId="7" borderId="76" xfId="19" applyFont="1" applyFill="1" applyBorder="1" applyAlignment="1">
      <alignment horizontal="center" vertical="center" wrapText="1"/>
    </xf>
    <xf numFmtId="1" fontId="107" fillId="11" borderId="76" xfId="19" applyNumberFormat="1" applyFont="1" applyFill="1" applyBorder="1" applyAlignment="1">
      <alignment horizontal="center" vertical="center" wrapText="1"/>
    </xf>
    <xf numFmtId="1" fontId="105" fillId="11" borderId="76" xfId="19" applyNumberFormat="1" applyFont="1" applyFill="1" applyBorder="1" applyAlignment="1">
      <alignment horizontal="center" vertical="center" wrapText="1"/>
    </xf>
    <xf numFmtId="9" fontId="107" fillId="11" borderId="76" xfId="19" applyNumberFormat="1" applyFont="1" applyFill="1" applyBorder="1" applyAlignment="1">
      <alignment horizontal="center" vertical="center" wrapText="1"/>
    </xf>
    <xf numFmtId="0" fontId="92" fillId="18" borderId="84" xfId="0" applyFont="1" applyFill="1" applyBorder="1" applyAlignment="1">
      <alignment vertical="top" wrapText="1"/>
    </xf>
    <xf numFmtId="0" fontId="108" fillId="5" borderId="86" xfId="0" applyFont="1" applyFill="1" applyBorder="1" applyAlignment="1">
      <alignment horizontal="center" vertical="center" wrapText="1"/>
    </xf>
    <xf numFmtId="0" fontId="92" fillId="18" borderId="90" xfId="0" applyFont="1" applyFill="1" applyBorder="1" applyAlignment="1">
      <alignment vertical="top" wrapText="1"/>
    </xf>
    <xf numFmtId="0" fontId="92" fillId="18" borderId="91" xfId="0" applyFont="1" applyFill="1" applyBorder="1" applyAlignment="1">
      <alignment vertical="top" wrapText="1"/>
    </xf>
    <xf numFmtId="1" fontId="92" fillId="18" borderId="92" xfId="0" applyNumberFormat="1" applyFont="1" applyFill="1" applyBorder="1" applyAlignment="1">
      <alignment vertical="top" wrapText="1"/>
    </xf>
    <xf numFmtId="0" fontId="108" fillId="5" borderId="93" xfId="0" applyFont="1" applyFill="1" applyBorder="1" applyAlignment="1">
      <alignment horizontal="center" vertical="center" wrapText="1"/>
    </xf>
    <xf numFmtId="1" fontId="92" fillId="5" borderId="85" xfId="0" applyNumberFormat="1" applyFont="1" applyFill="1" applyBorder="1" applyAlignment="1">
      <alignment vertical="top" wrapText="1"/>
    </xf>
    <xf numFmtId="0" fontId="27" fillId="5" borderId="86" xfId="0" applyFont="1" applyFill="1" applyBorder="1" applyAlignment="1">
      <alignment vertical="center" wrapText="1"/>
    </xf>
    <xf numFmtId="0" fontId="92" fillId="18" borderId="86" xfId="0" applyFont="1" applyFill="1" applyBorder="1" applyAlignment="1">
      <alignment vertical="top" wrapText="1"/>
    </xf>
    <xf numFmtId="9" fontId="92" fillId="18" borderId="86" xfId="0" applyNumberFormat="1" applyFont="1" applyFill="1" applyBorder="1" applyAlignment="1">
      <alignment vertical="top" wrapText="1"/>
    </xf>
    <xf numFmtId="0" fontId="27" fillId="5" borderId="93" xfId="0" applyFont="1" applyFill="1" applyBorder="1" applyAlignment="1">
      <alignment vertical="center" wrapText="1"/>
    </xf>
    <xf numFmtId="1" fontId="92" fillId="18" borderId="93" xfId="0" applyNumberFormat="1" applyFont="1" applyFill="1" applyBorder="1" applyAlignment="1">
      <alignment vertical="top" wrapText="1"/>
    </xf>
    <xf numFmtId="0" fontId="92" fillId="6" borderId="86" xfId="0" applyFont="1" applyFill="1" applyBorder="1" applyAlignment="1">
      <alignment vertical="top" wrapText="1"/>
    </xf>
    <xf numFmtId="1" fontId="92" fillId="6" borderId="93" xfId="0" applyNumberFormat="1" applyFont="1" applyFill="1" applyBorder="1" applyAlignment="1">
      <alignment vertical="top" wrapText="1"/>
    </xf>
    <xf numFmtId="0" fontId="27" fillId="8" borderId="87" xfId="0" applyFont="1" applyFill="1" applyBorder="1" applyAlignment="1">
      <alignment vertical="center" wrapText="1"/>
    </xf>
    <xf numFmtId="0" fontId="92" fillId="6" borderId="87" xfId="0" applyFont="1" applyFill="1" applyBorder="1" applyAlignment="1">
      <alignment vertical="top" wrapText="1"/>
    </xf>
    <xf numFmtId="1" fontId="92" fillId="6" borderId="90" xfId="0" applyNumberFormat="1" applyFont="1" applyFill="1" applyBorder="1" applyAlignment="1">
      <alignment vertical="top" wrapText="1"/>
    </xf>
    <xf numFmtId="0" fontId="92" fillId="6" borderId="92" xfId="0" applyFont="1" applyFill="1" applyBorder="1" applyAlignment="1">
      <alignment vertical="top" wrapText="1"/>
    </xf>
    <xf numFmtId="1" fontId="99" fillId="9" borderId="86" xfId="0" applyNumberFormat="1" applyFont="1" applyFill="1" applyBorder="1" applyAlignment="1">
      <alignment vertical="top" wrapText="1"/>
    </xf>
    <xf numFmtId="1" fontId="109" fillId="9" borderId="86" xfId="0" applyNumberFormat="1" applyFont="1" applyFill="1" applyBorder="1" applyAlignment="1">
      <alignment horizontal="center" vertical="center"/>
    </xf>
    <xf numFmtId="1" fontId="33" fillId="9" borderId="86" xfId="1" applyNumberFormat="1" applyFont="1" applyFill="1" applyBorder="1" applyAlignment="1">
      <alignment vertical="center" wrapText="1"/>
    </xf>
    <xf numFmtId="1" fontId="35" fillId="9" borderId="86" xfId="0" applyNumberFormat="1" applyFont="1" applyFill="1" applyBorder="1" applyAlignment="1">
      <alignment horizontal="center" vertical="center" wrapText="1"/>
    </xf>
    <xf numFmtId="1" fontId="92" fillId="9" borderId="86" xfId="0" applyNumberFormat="1" applyFont="1" applyFill="1" applyBorder="1" applyAlignment="1">
      <alignment vertical="top" wrapText="1"/>
    </xf>
    <xf numFmtId="1" fontId="92" fillId="19" borderId="86" xfId="0" applyNumberFormat="1" applyFont="1" applyFill="1" applyBorder="1" applyAlignment="1">
      <alignment vertical="top" wrapText="1"/>
    </xf>
    <xf numFmtId="1" fontId="110" fillId="9" borderId="86" xfId="0" applyNumberFormat="1" applyFont="1" applyFill="1" applyBorder="1" applyAlignment="1">
      <alignment horizontal="center" vertical="center"/>
    </xf>
    <xf numFmtId="9" fontId="99" fillId="9" borderId="93" xfId="1" applyNumberFormat="1" applyFont="1" applyFill="1" applyBorder="1" applyAlignment="1">
      <alignment vertical="top" wrapText="1"/>
    </xf>
    <xf numFmtId="1" fontId="35" fillId="9" borderId="93" xfId="0" applyNumberFormat="1" applyFont="1" applyFill="1" applyBorder="1" applyAlignment="1">
      <alignment horizontal="center" vertical="center" wrapText="1"/>
    </xf>
    <xf numFmtId="1" fontId="92" fillId="19" borderId="93" xfId="0" applyNumberFormat="1" applyFont="1" applyFill="1" applyBorder="1" applyAlignment="1">
      <alignment vertical="top" wrapText="1"/>
    </xf>
    <xf numFmtId="1" fontId="99" fillId="9" borderId="87" xfId="0" applyNumberFormat="1" applyFont="1" applyFill="1" applyBorder="1" applyAlignment="1">
      <alignment vertical="top" wrapText="1"/>
    </xf>
    <xf numFmtId="1" fontId="35" fillId="9" borderId="87" xfId="0" applyNumberFormat="1" applyFont="1" applyFill="1" applyBorder="1" applyAlignment="1">
      <alignment horizontal="center" vertical="center" wrapText="1"/>
    </xf>
    <xf numFmtId="1" fontId="92" fillId="19" borderId="87" xfId="0" applyNumberFormat="1" applyFont="1" applyFill="1" applyBorder="1" applyAlignment="1">
      <alignment vertical="top" wrapText="1"/>
    </xf>
    <xf numFmtId="9" fontId="99" fillId="9" borderId="104" xfId="1" applyNumberFormat="1" applyFont="1" applyFill="1" applyBorder="1" applyAlignment="1">
      <alignment vertical="top" wrapText="1"/>
    </xf>
    <xf numFmtId="1" fontId="35" fillId="9" borderId="104" xfId="0" applyNumberFormat="1" applyFont="1" applyFill="1" applyBorder="1" applyAlignment="1">
      <alignment horizontal="center" vertical="center" wrapText="1"/>
    </xf>
    <xf numFmtId="9" fontId="92" fillId="9" borderId="105" xfId="0" applyNumberFormat="1" applyFont="1" applyFill="1" applyBorder="1" applyAlignment="1">
      <alignment vertical="top" wrapText="1"/>
    </xf>
    <xf numFmtId="1" fontId="92" fillId="5" borderId="86" xfId="0" applyNumberFormat="1" applyFont="1" applyFill="1" applyBorder="1" applyAlignment="1">
      <alignment horizontal="center" vertical="center" wrapText="1"/>
    </xf>
    <xf numFmtId="0" fontId="92" fillId="8" borderId="86" xfId="0" applyFont="1" applyFill="1" applyBorder="1" applyAlignment="1">
      <alignment horizontal="center" vertical="center" wrapText="1"/>
    </xf>
    <xf numFmtId="1" fontId="92" fillId="9" borderId="86" xfId="0" applyNumberFormat="1" applyFont="1" applyFill="1" applyBorder="1" applyAlignment="1">
      <alignment horizontal="center" vertical="center" wrapText="1"/>
    </xf>
    <xf numFmtId="0" fontId="59" fillId="45" borderId="0" xfId="0" applyFont="1" applyFill="1"/>
    <xf numFmtId="0" fontId="0" fillId="45" borderId="0" xfId="0" applyFill="1"/>
    <xf numFmtId="0" fontId="29" fillId="45" borderId="0" xfId="0" applyFont="1" applyFill="1"/>
    <xf numFmtId="167" fontId="111" fillId="0" borderId="0" xfId="0" applyNumberFormat="1" applyFont="1" applyFill="1" applyAlignment="1">
      <alignment horizontal="left" vertical="center" readingOrder="1"/>
    </xf>
    <xf numFmtId="0" fontId="25" fillId="0" borderId="0" xfId="0" applyFont="1" applyFill="1"/>
    <xf numFmtId="1" fontId="25" fillId="0" borderId="0" xfId="0" applyNumberFormat="1" applyFont="1" applyFill="1"/>
    <xf numFmtId="0" fontId="25" fillId="0" borderId="0" xfId="0" applyFont="1" applyFill="1" applyAlignment="1">
      <alignment wrapText="1" readingOrder="1"/>
    </xf>
    <xf numFmtId="165" fontId="25" fillId="0" borderId="0" xfId="0" applyNumberFormat="1" applyFont="1" applyFill="1"/>
    <xf numFmtId="0" fontId="111" fillId="0" borderId="0" xfId="1" applyNumberFormat="1" applyFont="1" applyFill="1" applyAlignment="1">
      <alignment horizontal="left" vertical="center" readingOrder="1"/>
    </xf>
    <xf numFmtId="0" fontId="111" fillId="0" borderId="0" xfId="0" applyFont="1" applyFill="1" applyAlignment="1">
      <alignment horizontal="left" vertical="center" readingOrder="1"/>
    </xf>
    <xf numFmtId="1" fontId="111" fillId="0" borderId="0" xfId="0" applyNumberFormat="1" applyFont="1" applyFill="1" applyAlignment="1">
      <alignment horizontal="left" vertical="center" readingOrder="1"/>
    </xf>
    <xf numFmtId="164" fontId="111" fillId="0" borderId="0" xfId="4" applyNumberFormat="1" applyFont="1" applyFill="1" applyAlignment="1">
      <alignment horizontal="left" vertical="center" readingOrder="1"/>
    </xf>
    <xf numFmtId="1" fontId="111" fillId="0" borderId="0" xfId="1" applyNumberFormat="1" applyFont="1" applyFill="1" applyAlignment="1">
      <alignment horizontal="left" vertical="center" readingOrder="1"/>
    </xf>
    <xf numFmtId="9" fontId="111" fillId="0" borderId="0" xfId="1" applyFont="1" applyFill="1" applyAlignment="1">
      <alignment horizontal="left" vertical="center" readingOrder="1"/>
    </xf>
    <xf numFmtId="9" fontId="111" fillId="0" borderId="0" xfId="1" applyNumberFormat="1" applyFont="1" applyFill="1" applyAlignment="1">
      <alignment horizontal="left" vertical="center" readingOrder="1"/>
    </xf>
    <xf numFmtId="9" fontId="111" fillId="0" borderId="0" xfId="0" applyNumberFormat="1" applyFont="1" applyFill="1" applyAlignment="1">
      <alignment horizontal="left" vertical="center" readingOrder="1"/>
    </xf>
    <xf numFmtId="0" fontId="111" fillId="0" borderId="0" xfId="0" applyNumberFormat="1" applyFont="1" applyFill="1" applyAlignment="1">
      <alignment horizontal="left" vertical="center" readingOrder="1"/>
    </xf>
    <xf numFmtId="168" fontId="111" fillId="0" borderId="0" xfId="0" applyNumberFormat="1" applyFont="1" applyFill="1" applyAlignment="1">
      <alignment horizontal="left" vertical="center" readingOrder="1"/>
    </xf>
    <xf numFmtId="165" fontId="111" fillId="0" borderId="0" xfId="0" applyNumberFormat="1" applyFont="1" applyFill="1" applyAlignment="1">
      <alignment horizontal="left" vertical="center" readingOrder="1"/>
    </xf>
    <xf numFmtId="168" fontId="111" fillId="0" borderId="0" xfId="0" applyNumberFormat="1" applyFont="1" applyFill="1" applyAlignment="1">
      <alignment horizontal="left" vertical="center" wrapText="1" readingOrder="1"/>
    </xf>
    <xf numFmtId="165" fontId="111" fillId="0" borderId="0" xfId="0" applyNumberFormat="1" applyFont="1" applyFill="1" applyAlignment="1">
      <alignment horizontal="left" vertical="center" wrapText="1" readingOrder="1"/>
    </xf>
    <xf numFmtId="1" fontId="25" fillId="0" borderId="0" xfId="0" applyNumberFormat="1" applyFont="1" applyFill="1" applyBorder="1" applyAlignment="1">
      <alignment wrapText="1"/>
    </xf>
    <xf numFmtId="0" fontId="25" fillId="0" borderId="0" xfId="0" applyFont="1" applyFill="1" applyAlignment="1">
      <alignment wrapText="1"/>
    </xf>
    <xf numFmtId="0" fontId="25" fillId="0" borderId="0" xfId="0" applyNumberFormat="1" applyFont="1" applyFill="1" applyAlignment="1">
      <alignment wrapText="1"/>
    </xf>
    <xf numFmtId="0" fontId="0" fillId="0" borderId="0" xfId="0"/>
    <xf numFmtId="14" fontId="17" fillId="3" borderId="2" xfId="0" applyNumberFormat="1" applyFont="1" applyFill="1" applyBorder="1" applyAlignment="1">
      <alignment horizontal="left" vertical="center" readingOrder="1"/>
    </xf>
    <xf numFmtId="0" fontId="41" fillId="0" borderId="0" xfId="9" applyFont="1" applyFill="1" applyBorder="1" applyAlignment="1">
      <alignment horizontal="right"/>
    </xf>
    <xf numFmtId="0" fontId="0" fillId="0" borderId="0" xfId="0" pivotButton="1"/>
    <xf numFmtId="0" fontId="25" fillId="0" borderId="0" xfId="0" applyFont="1" applyFill="1"/>
    <xf numFmtId="0" fontId="25" fillId="0" borderId="0" xfId="0" applyFont="1" applyFill="1" applyBorder="1"/>
    <xf numFmtId="0" fontId="64" fillId="0" borderId="0" xfId="0" applyNumberFormat="1" applyFont="1" applyFill="1"/>
    <xf numFmtId="0" fontId="25" fillId="0" borderId="0" xfId="0" applyNumberFormat="1" applyFont="1" applyFill="1"/>
    <xf numFmtId="1" fontId="25" fillId="0" borderId="0" xfId="0" applyNumberFormat="1" applyFont="1" applyFill="1"/>
    <xf numFmtId="0" fontId="25" fillId="0" borderId="0" xfId="0" applyFont="1" applyFill="1" applyAlignment="1">
      <alignment wrapText="1" readingOrder="1"/>
    </xf>
    <xf numFmtId="0" fontId="25" fillId="0" borderId="17" xfId="0" applyFont="1" applyFill="1" applyBorder="1"/>
    <xf numFmtId="0" fontId="25" fillId="0" borderId="0" xfId="0" applyNumberFormat="1" applyFont="1" applyFill="1" applyBorder="1"/>
    <xf numFmtId="1" fontId="25" fillId="0" borderId="0" xfId="0" applyNumberFormat="1" applyFont="1" applyFill="1" applyBorder="1"/>
    <xf numFmtId="0" fontId="25" fillId="0" borderId="0" xfId="0" applyFont="1" applyFill="1" applyBorder="1" applyAlignment="1">
      <alignment wrapText="1" readingOrder="1"/>
    </xf>
    <xf numFmtId="0" fontId="0" fillId="0" borderId="0" xfId="0" applyFill="1"/>
    <xf numFmtId="0" fontId="25" fillId="0" borderId="0" xfId="0" applyNumberFormat="1" applyFont="1" applyFill="1" applyAlignment="1">
      <alignment wrapText="1" readingOrder="1"/>
    </xf>
    <xf numFmtId="0" fontId="25" fillId="0" borderId="0" xfId="0" applyNumberFormat="1" applyFont="1" applyFill="1" applyBorder="1" applyAlignment="1">
      <alignment wrapText="1" readingOrder="1"/>
    </xf>
    <xf numFmtId="0" fontId="40" fillId="0" borderId="0" xfId="0" applyFont="1" applyFill="1" applyBorder="1" applyAlignment="1">
      <alignment horizontal="left" vertical="center" readingOrder="1"/>
    </xf>
    <xf numFmtId="0" fontId="40" fillId="0" borderId="0" xfId="0" applyNumberFormat="1" applyFont="1" applyFill="1" applyBorder="1" applyAlignment="1">
      <alignment horizontal="left" vertical="center" readingOrder="1"/>
    </xf>
    <xf numFmtId="0" fontId="41" fillId="0" borderId="0" xfId="9" applyFont="1" applyFill="1" applyAlignment="1"/>
    <xf numFmtId="0" fontId="41" fillId="0" borderId="0" xfId="0" applyNumberFormat="1" applyFont="1" applyFill="1" applyBorder="1" applyAlignment="1"/>
    <xf numFmtId="0" fontId="25" fillId="0" borderId="22" xfId="0" applyFont="1" applyFill="1" applyBorder="1"/>
    <xf numFmtId="0" fontId="25" fillId="0" borderId="21" xfId="0" applyFont="1" applyFill="1" applyBorder="1"/>
    <xf numFmtId="0" fontId="25" fillId="0" borderId="21" xfId="0" applyNumberFormat="1" applyFont="1" applyFill="1" applyBorder="1"/>
    <xf numFmtId="1" fontId="25" fillId="0" borderId="21" xfId="0" applyNumberFormat="1" applyFont="1" applyFill="1" applyBorder="1"/>
    <xf numFmtId="0" fontId="25" fillId="0" borderId="29" xfId="0" applyFont="1" applyFill="1" applyBorder="1"/>
    <xf numFmtId="0" fontId="25" fillId="0" borderId="28" xfId="0" applyFont="1" applyFill="1" applyBorder="1"/>
    <xf numFmtId="165" fontId="25" fillId="0" borderId="0" xfId="0" applyNumberFormat="1" applyFont="1" applyFill="1"/>
    <xf numFmtId="165" fontId="25" fillId="0" borderId="0" xfId="0" applyNumberFormat="1" applyFont="1" applyFill="1" applyBorder="1"/>
    <xf numFmtId="0" fontId="25" fillId="0" borderId="54" xfId="0" applyFont="1" applyFill="1" applyBorder="1"/>
    <xf numFmtId="0" fontId="80" fillId="0" borderId="0" xfId="9" applyFont="1" applyFill="1" applyBorder="1" applyAlignment="1"/>
    <xf numFmtId="0" fontId="25" fillId="0" borderId="28" xfId="0" applyNumberFormat="1" applyFont="1" applyFill="1" applyBorder="1"/>
    <xf numFmtId="1" fontId="25" fillId="0" borderId="29" xfId="0" applyNumberFormat="1" applyFont="1" applyFill="1" applyBorder="1"/>
    <xf numFmtId="1" fontId="40" fillId="0" borderId="0" xfId="0" applyNumberFormat="1" applyFont="1" applyFill="1" applyBorder="1" applyAlignment="1">
      <alignment horizontal="left" vertical="center" readingOrder="1"/>
    </xf>
    <xf numFmtId="49" fontId="85" fillId="0" borderId="0" xfId="0" applyNumberFormat="1" applyFont="1" applyFill="1" applyBorder="1" applyAlignment="1">
      <alignment horizontal="left" vertical="center"/>
    </xf>
    <xf numFmtId="0" fontId="80" fillId="0" borderId="0" xfId="9" applyFont="1" applyFill="1" applyBorder="1" applyAlignment="1">
      <alignment horizontal="right"/>
    </xf>
    <xf numFmtId="0" fontId="17" fillId="0" borderId="0" xfId="0" applyFont="1" applyFill="1" applyAlignment="1">
      <alignment horizontal="left" vertical="center" readingOrder="1"/>
    </xf>
    <xf numFmtId="1" fontId="25" fillId="0" borderId="22" xfId="0" applyNumberFormat="1" applyFont="1" applyFill="1" applyBorder="1"/>
    <xf numFmtId="0" fontId="0" fillId="0" borderId="0" xfId="0" applyFill="1" applyBorder="1"/>
    <xf numFmtId="168" fontId="17" fillId="0" borderId="0" xfId="0" applyNumberFormat="1" applyFont="1" applyFill="1" applyAlignment="1">
      <alignment horizontal="left" vertical="center" readingOrder="1"/>
    </xf>
    <xf numFmtId="0" fontId="59" fillId="0" borderId="0" xfId="0" pivotButton="1" applyFont="1"/>
    <xf numFmtId="0" fontId="72" fillId="40" borderId="0" xfId="0" applyFont="1" applyFill="1" applyAlignment="1">
      <alignment wrapText="1"/>
    </xf>
    <xf numFmtId="0" fontId="112" fillId="26" borderId="0" xfId="0" applyFont="1" applyFill="1"/>
    <xf numFmtId="164" fontId="113" fillId="0" borderId="0" xfId="0" applyNumberFormat="1" applyFont="1" applyFill="1"/>
    <xf numFmtId="164" fontId="59" fillId="0" borderId="0" xfId="0" applyNumberFormat="1" applyFont="1" applyFill="1"/>
    <xf numFmtId="0" fontId="72" fillId="29" borderId="43" xfId="0" applyFont="1" applyFill="1" applyBorder="1"/>
    <xf numFmtId="1" fontId="92" fillId="19" borderId="0" xfId="0" applyNumberFormat="1" applyFont="1" applyFill="1" applyBorder="1" applyAlignment="1">
      <alignment vertical="top" wrapText="1"/>
    </xf>
    <xf numFmtId="0" fontId="9" fillId="0" borderId="0" xfId="0" pivotButton="1" applyFont="1"/>
    <xf numFmtId="0" fontId="114" fillId="40" borderId="0" xfId="0" applyFont="1" applyFill="1" applyAlignment="1"/>
    <xf numFmtId="0" fontId="76" fillId="0" borderId="0" xfId="0" applyFont="1"/>
    <xf numFmtId="0" fontId="27" fillId="8" borderId="86" xfId="0" applyFont="1" applyFill="1" applyBorder="1" applyAlignment="1">
      <alignment horizontal="center" vertical="center" wrapText="1"/>
    </xf>
    <xf numFmtId="164" fontId="75" fillId="0" borderId="53" xfId="4" applyNumberFormat="1" applyFont="1" applyBorder="1"/>
    <xf numFmtId="0" fontId="25" fillId="0" borderId="29" xfId="0" applyFont="1" applyFill="1" applyBorder="1" applyAlignment="1">
      <alignment wrapText="1"/>
    </xf>
    <xf numFmtId="0" fontId="115" fillId="39" borderId="57" xfId="0" applyFont="1" applyFill="1" applyBorder="1"/>
    <xf numFmtId="0" fontId="85" fillId="0" borderId="0" xfId="0" applyFont="1" applyFill="1" applyAlignment="1">
      <alignment vertical="center"/>
    </xf>
    <xf numFmtId="0" fontId="25" fillId="9" borderId="0" xfId="0" applyFont="1" applyFill="1"/>
    <xf numFmtId="0" fontId="64" fillId="0" borderId="0" xfId="0" applyFont="1" applyFill="1"/>
    <xf numFmtId="0" fontId="64" fillId="0" borderId="0" xfId="0" applyNumberFormat="1" applyFont="1" applyFill="1" applyBorder="1"/>
    <xf numFmtId="0" fontId="64" fillId="0" borderId="0" xfId="0" applyFont="1" applyFill="1" applyBorder="1"/>
    <xf numFmtId="1" fontId="79" fillId="0" borderId="0" xfId="0" applyNumberFormat="1" applyFont="1" applyFill="1" applyBorder="1"/>
    <xf numFmtId="0" fontId="79" fillId="0" borderId="0" xfId="0" applyNumberFormat="1" applyFont="1" applyFill="1" applyBorder="1" applyAlignment="1">
      <alignment wrapText="1" readingOrder="1"/>
    </xf>
    <xf numFmtId="0" fontId="73" fillId="0" borderId="0" xfId="0" applyFont="1" applyAlignment="1">
      <alignment wrapText="1"/>
    </xf>
    <xf numFmtId="0" fontId="9" fillId="0" borderId="0" xfId="0" applyFont="1" applyAlignment="1">
      <alignment horizontal="center" vertical="center" wrapText="1"/>
    </xf>
    <xf numFmtId="0" fontId="73" fillId="0" borderId="0" xfId="0" applyFont="1" applyAlignment="1">
      <alignment horizontal="center" vertical="center" wrapText="1"/>
    </xf>
    <xf numFmtId="1" fontId="116" fillId="0" borderId="0" xfId="0" applyNumberFormat="1" applyFont="1" applyFill="1"/>
    <xf numFmtId="0" fontId="116" fillId="0" borderId="28" xfId="0" applyNumberFormat="1" applyFont="1" applyFill="1" applyBorder="1"/>
    <xf numFmtId="0" fontId="116" fillId="0" borderId="0" xfId="0" applyFont="1" applyFill="1"/>
    <xf numFmtId="0" fontId="116" fillId="0" borderId="0" xfId="0" applyNumberFormat="1" applyFont="1" applyFill="1" applyAlignment="1">
      <alignment wrapText="1" readingOrder="1"/>
    </xf>
    <xf numFmtId="165" fontId="116" fillId="0" borderId="0" xfId="0" applyNumberFormat="1" applyFont="1" applyFill="1"/>
    <xf numFmtId="165" fontId="116" fillId="0" borderId="0" xfId="0" applyNumberFormat="1" applyFont="1" applyFill="1" applyAlignment="1">
      <alignment wrapText="1" readingOrder="1"/>
    </xf>
    <xf numFmtId="0" fontId="116" fillId="0" borderId="0" xfId="0" applyFont="1" applyFill="1" applyAlignment="1">
      <alignment wrapText="1" readingOrder="1"/>
    </xf>
    <xf numFmtId="14" fontId="17" fillId="3" borderId="0" xfId="0" applyNumberFormat="1" applyFont="1" applyFill="1" applyBorder="1" applyAlignment="1">
      <alignment horizontal="left" vertical="center" readingOrder="1"/>
    </xf>
    <xf numFmtId="0" fontId="116" fillId="0" borderId="0" xfId="0" applyNumberFormat="1" applyFont="1" applyFill="1" applyBorder="1"/>
    <xf numFmtId="0" fontId="116" fillId="0" borderId="21" xfId="0" applyNumberFormat="1" applyFont="1" applyFill="1" applyBorder="1"/>
    <xf numFmtId="1" fontId="116" fillId="0" borderId="29" xfId="0" applyNumberFormat="1" applyFont="1" applyFill="1" applyBorder="1"/>
    <xf numFmtId="1" fontId="25" fillId="0" borderId="28" xfId="0" applyNumberFormat="1" applyFont="1" applyFill="1" applyBorder="1"/>
    <xf numFmtId="1" fontId="116" fillId="0" borderId="0" xfId="0" applyNumberFormat="1" applyFont="1" applyFill="1" applyBorder="1"/>
    <xf numFmtId="1" fontId="116" fillId="0" borderId="22" xfId="0" applyNumberFormat="1" applyFont="1" applyFill="1" applyBorder="1"/>
    <xf numFmtId="0" fontId="116" fillId="0" borderId="0" xfId="0" applyFont="1" applyFill="1" applyBorder="1"/>
    <xf numFmtId="0" fontId="116" fillId="0" borderId="0" xfId="0" applyNumberFormat="1" applyFont="1" applyFill="1" applyBorder="1" applyAlignment="1">
      <alignment wrapText="1" readingOrder="1"/>
    </xf>
    <xf numFmtId="0" fontId="74" fillId="0" borderId="61" xfId="0" applyFont="1" applyBorder="1"/>
    <xf numFmtId="0" fontId="74" fillId="0" borderId="43" xfId="0" applyFont="1" applyBorder="1"/>
    <xf numFmtId="0" fontId="22" fillId="31" borderId="43" xfId="0" applyFont="1" applyFill="1" applyBorder="1"/>
    <xf numFmtId="0" fontId="22" fillId="31" borderId="106" xfId="0" applyFont="1" applyFill="1" applyBorder="1"/>
    <xf numFmtId="0" fontId="22" fillId="0" borderId="43" xfId="0" applyFont="1" applyBorder="1"/>
    <xf numFmtId="0" fontId="22" fillId="0" borderId="61" xfId="0" applyFont="1" applyBorder="1"/>
    <xf numFmtId="0" fontId="72" fillId="29" borderId="106" xfId="0" applyFont="1" applyFill="1" applyBorder="1"/>
    <xf numFmtId="1" fontId="35" fillId="9" borderId="0" xfId="0" applyNumberFormat="1" applyFont="1" applyFill="1" applyBorder="1" applyAlignment="1">
      <alignment horizontal="center" vertical="center" wrapText="1"/>
    </xf>
    <xf numFmtId="0" fontId="7" fillId="0" borderId="0" xfId="0" applyFont="1"/>
    <xf numFmtId="166" fontId="6" fillId="20" borderId="0" xfId="8" applyFont="1" applyFill="1" applyBorder="1"/>
    <xf numFmtId="0" fontId="71" fillId="0" borderId="0" xfId="0" applyFont="1" applyFill="1" applyAlignment="1">
      <alignment vertical="center"/>
    </xf>
    <xf numFmtId="0" fontId="117" fillId="0" borderId="0" xfId="0" applyFont="1" applyAlignment="1">
      <alignment horizontal="left"/>
    </xf>
    <xf numFmtId="9" fontId="117" fillId="0" borderId="0" xfId="0" applyNumberFormat="1" applyFont="1"/>
    <xf numFmtId="164" fontId="24" fillId="0" borderId="0" xfId="4" applyNumberFormat="1" applyFont="1" applyFill="1" applyAlignment="1">
      <alignment horizontal="left" vertical="center" readingOrder="1"/>
    </xf>
    <xf numFmtId="0" fontId="5" fillId="0" borderId="0" xfId="0" applyFont="1"/>
    <xf numFmtId="0" fontId="5" fillId="0" borderId="0" xfId="0" applyNumberFormat="1" applyFont="1"/>
    <xf numFmtId="164" fontId="5" fillId="0" borderId="0" xfId="0" applyNumberFormat="1" applyFont="1"/>
    <xf numFmtId="9" fontId="5" fillId="0" borderId="0" xfId="0" applyNumberFormat="1" applyFont="1"/>
    <xf numFmtId="0" fontId="88" fillId="0" borderId="21" xfId="0" applyNumberFormat="1" applyFont="1" applyFill="1" applyBorder="1"/>
    <xf numFmtId="1" fontId="116" fillId="0" borderId="54" xfId="0" applyNumberFormat="1" applyFont="1" applyFill="1" applyBorder="1"/>
    <xf numFmtId="1" fontId="88" fillId="0" borderId="22" xfId="0" applyNumberFormat="1" applyFont="1" applyFill="1" applyBorder="1"/>
    <xf numFmtId="0" fontId="80" fillId="0" borderId="17" xfId="9" applyFont="1" applyFill="1" applyBorder="1" applyAlignment="1"/>
    <xf numFmtId="0" fontId="22" fillId="0" borderId="44" xfId="0" applyFont="1" applyBorder="1" applyAlignment="1">
      <alignment wrapText="1"/>
    </xf>
    <xf numFmtId="0" fontId="22" fillId="0" borderId="44" xfId="0" applyFont="1" applyBorder="1"/>
    <xf numFmtId="0" fontId="22" fillId="0" borderId="45" xfId="0" applyFont="1" applyBorder="1"/>
    <xf numFmtId="0" fontId="74" fillId="0" borderId="47" xfId="0" applyNumberFormat="1" applyFont="1" applyBorder="1"/>
    <xf numFmtId="0" fontId="4" fillId="14" borderId="0" xfId="0" applyFont="1" applyFill="1" applyAlignment="1">
      <alignment horizontal="left"/>
    </xf>
    <xf numFmtId="164" fontId="4" fillId="14" borderId="0" xfId="0" applyNumberFormat="1" applyFont="1" applyFill="1"/>
    <xf numFmtId="9" fontId="4" fillId="14" borderId="0" xfId="0" applyNumberFormat="1" applyFont="1" applyFill="1"/>
    <xf numFmtId="0" fontId="71" fillId="0" borderId="0" xfId="0" applyFont="1" applyFill="1"/>
    <xf numFmtId="0" fontId="72" fillId="0" borderId="0" xfId="0" applyFont="1" applyFill="1"/>
    <xf numFmtId="0" fontId="4" fillId="0" borderId="0" xfId="0" applyFont="1" applyFill="1" applyAlignment="1">
      <alignment horizontal="left"/>
    </xf>
    <xf numFmtId="164" fontId="4" fillId="0" borderId="0" xfId="0" applyNumberFormat="1" applyFont="1" applyFill="1"/>
    <xf numFmtId="9" fontId="4" fillId="0" borderId="0" xfId="0" applyNumberFormat="1" applyFont="1" applyFill="1"/>
    <xf numFmtId="0" fontId="0" fillId="0" borderId="0" xfId="0" applyNumberFormat="1"/>
    <xf numFmtId="0" fontId="0" fillId="0" borderId="0" xfId="0" applyAlignment="1">
      <alignment horizontal="left"/>
    </xf>
    <xf numFmtId="0" fontId="0" fillId="0" borderId="0" xfId="0"/>
    <xf numFmtId="14" fontId="17" fillId="3" borderId="2" xfId="0" applyNumberFormat="1" applyFont="1" applyFill="1" applyBorder="1" applyAlignment="1">
      <alignment horizontal="left" vertical="center" readingOrder="1"/>
    </xf>
    <xf numFmtId="0" fontId="17" fillId="0" borderId="0" xfId="0" applyFont="1" applyFill="1" applyBorder="1" applyAlignment="1">
      <alignment horizontal="left" vertical="center" readingOrder="1"/>
    </xf>
    <xf numFmtId="9" fontId="17" fillId="0" borderId="0" xfId="0" applyNumberFormat="1" applyFont="1" applyFill="1" applyAlignment="1">
      <alignment horizontal="left" vertical="center" readingOrder="1"/>
    </xf>
    <xf numFmtId="9" fontId="17" fillId="0" borderId="0" xfId="1" applyFont="1" applyFill="1" applyAlignment="1">
      <alignment horizontal="left" vertical="center" readingOrder="1"/>
    </xf>
    <xf numFmtId="1" fontId="17" fillId="0" borderId="0" xfId="1" applyNumberFormat="1" applyFont="1" applyFill="1" applyAlignment="1">
      <alignment horizontal="left" vertical="center" readingOrder="1"/>
    </xf>
    <xf numFmtId="9" fontId="17" fillId="0" borderId="0" xfId="1" applyNumberFormat="1" applyFont="1" applyFill="1" applyAlignment="1">
      <alignment horizontal="left" vertical="center" readingOrder="1"/>
    </xf>
    <xf numFmtId="0" fontId="17" fillId="0" borderId="0" xfId="1" applyNumberFormat="1" applyFont="1" applyFill="1" applyAlignment="1">
      <alignment horizontal="left" vertical="center" readingOrder="1"/>
    </xf>
    <xf numFmtId="0" fontId="0" fillId="0" borderId="0" xfId="0" pivotButton="1"/>
    <xf numFmtId="0" fontId="25" fillId="0" borderId="0" xfId="0" applyFont="1" applyFill="1"/>
    <xf numFmtId="165" fontId="17" fillId="0" borderId="0" xfId="0" applyNumberFormat="1" applyFont="1" applyFill="1" applyBorder="1" applyAlignment="1">
      <alignment horizontal="left" vertical="center" readingOrder="1"/>
    </xf>
    <xf numFmtId="9" fontId="17" fillId="0" borderId="0" xfId="0" applyNumberFormat="1" applyFont="1" applyFill="1" applyBorder="1" applyAlignment="1">
      <alignment horizontal="left" vertical="center" readingOrder="1"/>
    </xf>
    <xf numFmtId="1" fontId="17" fillId="0" borderId="0" xfId="0" applyNumberFormat="1" applyFont="1" applyFill="1" applyAlignment="1">
      <alignment horizontal="left" vertical="center" readingOrder="1"/>
    </xf>
    <xf numFmtId="0" fontId="25" fillId="0" borderId="0" xfId="0" applyFont="1" applyFill="1" applyBorder="1"/>
    <xf numFmtId="0" fontId="64" fillId="0" borderId="0" xfId="0" applyNumberFormat="1" applyFont="1" applyFill="1"/>
    <xf numFmtId="0" fontId="25" fillId="0" borderId="0" xfId="0" applyNumberFormat="1" applyFont="1" applyFill="1"/>
    <xf numFmtId="1" fontId="25" fillId="0" borderId="0" xfId="0" applyNumberFormat="1" applyFont="1" applyFill="1"/>
    <xf numFmtId="0" fontId="25" fillId="0" borderId="0" xfId="0" applyFont="1" applyFill="1" applyAlignment="1">
      <alignment wrapText="1" readingOrder="1"/>
    </xf>
    <xf numFmtId="0" fontId="25" fillId="0" borderId="17" xfId="0" applyFont="1" applyFill="1" applyBorder="1"/>
    <xf numFmtId="0" fontId="25" fillId="0" borderId="0" xfId="0" applyNumberFormat="1" applyFont="1" applyFill="1" applyBorder="1"/>
    <xf numFmtId="1" fontId="25" fillId="0" borderId="0" xfId="0" applyNumberFormat="1" applyFont="1" applyFill="1" applyBorder="1"/>
    <xf numFmtId="0" fontId="25" fillId="0" borderId="0" xfId="0" applyFont="1" applyFill="1" applyBorder="1" applyAlignment="1">
      <alignment wrapText="1" readingOrder="1"/>
    </xf>
    <xf numFmtId="0" fontId="0" fillId="0" borderId="0" xfId="0" applyFill="1"/>
    <xf numFmtId="0" fontId="25" fillId="0" borderId="0" xfId="0" applyNumberFormat="1" applyFont="1" applyFill="1" applyAlignment="1">
      <alignment wrapText="1" readingOrder="1"/>
    </xf>
    <xf numFmtId="0" fontId="25" fillId="0" borderId="0" xfId="0" applyNumberFormat="1" applyFont="1" applyFill="1" applyBorder="1" applyAlignment="1">
      <alignment wrapText="1" readingOrder="1"/>
    </xf>
    <xf numFmtId="0" fontId="40" fillId="0" borderId="0" xfId="0" applyFont="1" applyFill="1" applyBorder="1" applyAlignment="1">
      <alignment horizontal="left" vertical="center" readingOrder="1"/>
    </xf>
    <xf numFmtId="0" fontId="40" fillId="0" borderId="0" xfId="0" applyNumberFormat="1" applyFont="1" applyFill="1" applyBorder="1" applyAlignment="1">
      <alignment horizontal="left" vertical="center" readingOrder="1"/>
    </xf>
    <xf numFmtId="0" fontId="41" fillId="0" borderId="0" xfId="9" applyFont="1" applyFill="1" applyAlignment="1"/>
    <xf numFmtId="0" fontId="25" fillId="0" borderId="22" xfId="0" applyFont="1" applyFill="1" applyBorder="1"/>
    <xf numFmtId="0" fontId="25" fillId="0" borderId="21" xfId="0" applyFont="1" applyFill="1" applyBorder="1"/>
    <xf numFmtId="0" fontId="25" fillId="0" borderId="21" xfId="0" applyNumberFormat="1" applyFont="1" applyFill="1" applyBorder="1"/>
    <xf numFmtId="1" fontId="25" fillId="0" borderId="21" xfId="0" applyNumberFormat="1" applyFont="1" applyFill="1" applyBorder="1"/>
    <xf numFmtId="0" fontId="25" fillId="0" borderId="29" xfId="0" applyFont="1" applyFill="1" applyBorder="1"/>
    <xf numFmtId="0" fontId="25" fillId="0" borderId="28" xfId="0" applyFont="1" applyFill="1" applyBorder="1"/>
    <xf numFmtId="0" fontId="17" fillId="0" borderId="0" xfId="0" applyNumberFormat="1" applyFont="1" applyFill="1" applyAlignment="1">
      <alignment horizontal="left" vertical="center" readingOrder="1"/>
    </xf>
    <xf numFmtId="165" fontId="25" fillId="0" borderId="0" xfId="0" applyNumberFormat="1" applyFont="1" applyFill="1"/>
    <xf numFmtId="165" fontId="25" fillId="0" borderId="0" xfId="0" applyNumberFormat="1" applyFont="1" applyFill="1" applyBorder="1"/>
    <xf numFmtId="165" fontId="40" fillId="0" borderId="0" xfId="0" applyNumberFormat="1" applyFont="1" applyFill="1" applyBorder="1" applyAlignment="1">
      <alignment horizontal="left" vertical="center" wrapText="1" readingOrder="1"/>
    </xf>
    <xf numFmtId="0" fontId="25" fillId="0" borderId="54" xfId="0" applyFont="1" applyFill="1" applyBorder="1"/>
    <xf numFmtId="0" fontId="80" fillId="0" borderId="0" xfId="9" applyFont="1" applyAlignment="1"/>
    <xf numFmtId="0" fontId="40" fillId="0" borderId="28" xfId="0" applyFont="1" applyFill="1" applyBorder="1" applyAlignment="1">
      <alignment horizontal="left" vertical="center" readingOrder="1"/>
    </xf>
    <xf numFmtId="0" fontId="80" fillId="0" borderId="0" xfId="9" applyFont="1" applyFill="1" applyBorder="1" applyAlignment="1"/>
    <xf numFmtId="0" fontId="25" fillId="0" borderId="0" xfId="0" applyFont="1" applyBorder="1"/>
    <xf numFmtId="0" fontId="17" fillId="0" borderId="0" xfId="1" applyNumberFormat="1" applyFont="1" applyFill="1" applyBorder="1" applyAlignment="1">
      <alignment horizontal="left" vertical="center" readingOrder="1"/>
    </xf>
    <xf numFmtId="0" fontId="25" fillId="0" borderId="28" xfId="0" applyNumberFormat="1" applyFont="1" applyFill="1" applyBorder="1"/>
    <xf numFmtId="1" fontId="25" fillId="0" borderId="29" xfId="0" applyNumberFormat="1" applyFont="1" applyFill="1" applyBorder="1"/>
    <xf numFmtId="0" fontId="40" fillId="0" borderId="29" xfId="0" applyFont="1" applyFill="1" applyBorder="1" applyAlignment="1">
      <alignment horizontal="left" vertical="center" readingOrder="1"/>
    </xf>
    <xf numFmtId="49" fontId="85" fillId="0" borderId="0" xfId="0" applyNumberFormat="1" applyFont="1" applyFill="1" applyBorder="1" applyAlignment="1">
      <alignment horizontal="left" vertical="center"/>
    </xf>
    <xf numFmtId="0" fontId="85" fillId="0" borderId="0" xfId="0" applyFont="1" applyFill="1" applyBorder="1" applyAlignment="1">
      <alignment horizontal="left" vertical="center"/>
    </xf>
    <xf numFmtId="49" fontId="85" fillId="0" borderId="0" xfId="21" applyNumberFormat="1" applyFont="1" applyFill="1" applyBorder="1" applyAlignment="1">
      <alignment horizontal="left" vertical="center"/>
    </xf>
    <xf numFmtId="0" fontId="25" fillId="0" borderId="28" xfId="0" applyFont="1" applyFill="1" applyBorder="1" applyAlignment="1"/>
    <xf numFmtId="0" fontId="25" fillId="0" borderId="0" xfId="0" applyFont="1" applyFill="1" applyAlignment="1"/>
    <xf numFmtId="165" fontId="25" fillId="0" borderId="0" xfId="0" applyNumberFormat="1" applyFont="1" applyFill="1" applyAlignment="1"/>
    <xf numFmtId="0" fontId="25" fillId="0" borderId="0" xfId="0" applyFont="1" applyFill="1" applyAlignment="1">
      <alignment readingOrder="1"/>
    </xf>
    <xf numFmtId="49" fontId="64" fillId="42" borderId="29" xfId="0" applyNumberFormat="1" applyFont="1" applyFill="1" applyBorder="1" applyAlignment="1">
      <alignment horizontal="left" vertical="center"/>
    </xf>
    <xf numFmtId="0" fontId="85" fillId="42" borderId="29" xfId="0" applyFont="1" applyFill="1" applyBorder="1" applyAlignment="1">
      <alignment horizontal="left" vertical="center"/>
    </xf>
    <xf numFmtId="1" fontId="25" fillId="0" borderId="54" xfId="0" applyNumberFormat="1" applyFont="1" applyFill="1" applyBorder="1"/>
    <xf numFmtId="0" fontId="80" fillId="0" borderId="0" xfId="9" applyFont="1" applyFill="1" applyBorder="1" applyAlignment="1">
      <alignment horizontal="right"/>
    </xf>
    <xf numFmtId="164" fontId="17" fillId="0" borderId="0" xfId="4" applyNumberFormat="1" applyFont="1" applyFill="1" applyBorder="1" applyAlignment="1">
      <alignment horizontal="left" vertical="center" readingOrder="1"/>
    </xf>
    <xf numFmtId="164" fontId="17" fillId="0" borderId="0" xfId="4" applyNumberFormat="1" applyFont="1" applyFill="1" applyAlignment="1">
      <alignment horizontal="left" vertical="center" readingOrder="1"/>
    </xf>
    <xf numFmtId="167" fontId="17" fillId="0" borderId="0" xfId="0" applyNumberFormat="1" applyFont="1" applyFill="1" applyAlignment="1">
      <alignment horizontal="left" vertical="center" readingOrder="1"/>
    </xf>
    <xf numFmtId="0" fontId="79" fillId="0" borderId="17" xfId="0" applyFont="1" applyFill="1" applyBorder="1"/>
    <xf numFmtId="165" fontId="25" fillId="0" borderId="0" xfId="0" applyNumberFormat="1" applyFont="1" applyFill="1" applyAlignment="1">
      <alignment wrapText="1" readingOrder="1"/>
    </xf>
    <xf numFmtId="0" fontId="22" fillId="0" borderId="42" xfId="0" applyFont="1" applyBorder="1" applyAlignment="1">
      <alignment wrapText="1"/>
    </xf>
    <xf numFmtId="1" fontId="9" fillId="0" borderId="0" xfId="1" applyNumberFormat="1" applyFont="1"/>
    <xf numFmtId="0" fontId="27" fillId="8" borderId="86" xfId="0" applyFont="1" applyFill="1" applyBorder="1" applyAlignment="1">
      <alignment horizontal="center" vertical="center" wrapText="1"/>
    </xf>
    <xf numFmtId="1" fontId="118" fillId="0" borderId="0" xfId="0" applyNumberFormat="1" applyFont="1" applyFill="1"/>
    <xf numFmtId="0" fontId="118" fillId="0" borderId="28" xfId="0" applyNumberFormat="1" applyFont="1" applyFill="1" applyBorder="1"/>
    <xf numFmtId="1" fontId="118" fillId="0" borderId="28" xfId="0" applyNumberFormat="1" applyFont="1" applyFill="1" applyBorder="1"/>
    <xf numFmtId="0" fontId="118" fillId="0" borderId="0" xfId="0" applyFont="1" applyFill="1"/>
    <xf numFmtId="0" fontId="118" fillId="0" borderId="0" xfId="0" applyNumberFormat="1" applyFont="1" applyFill="1" applyAlignment="1">
      <alignment wrapText="1" readingOrder="1"/>
    </xf>
    <xf numFmtId="165" fontId="118" fillId="0" borderId="0" xfId="0" applyNumberFormat="1" applyFont="1" applyFill="1"/>
    <xf numFmtId="0" fontId="24" fillId="18" borderId="76" xfId="19" applyFont="1" applyFill="1" applyBorder="1" applyAlignment="1">
      <alignment horizontal="left" vertical="center" wrapText="1"/>
    </xf>
    <xf numFmtId="0" fontId="24" fillId="11" borderId="76" xfId="19" applyFont="1" applyFill="1" applyBorder="1" applyAlignment="1">
      <alignment horizontal="left" vertical="center" wrapText="1"/>
    </xf>
    <xf numFmtId="1" fontId="119" fillId="7" borderId="76" xfId="19" applyNumberFormat="1" applyFont="1" applyFill="1" applyBorder="1" applyAlignment="1">
      <alignment horizontal="left" vertical="center" wrapText="1" readingOrder="1"/>
    </xf>
    <xf numFmtId="9" fontId="24" fillId="46" borderId="79" xfId="19" applyNumberFormat="1" applyFont="1" applyFill="1" applyBorder="1" applyAlignment="1">
      <alignment horizontal="left" vertical="center" wrapText="1" readingOrder="1"/>
    </xf>
    <xf numFmtId="9" fontId="24" fillId="34" borderId="79" xfId="19" applyNumberFormat="1" applyFont="1" applyFill="1" applyBorder="1" applyAlignment="1">
      <alignment horizontal="left" vertical="center" wrapText="1" readingOrder="1"/>
    </xf>
    <xf numFmtId="0" fontId="26" fillId="16" borderId="76" xfId="22" applyNumberFormat="1" applyFont="1" applyFill="1" applyBorder="1" applyAlignment="1">
      <alignment horizontal="left" vertical="center" indent="1" readingOrder="1"/>
    </xf>
    <xf numFmtId="0" fontId="26" fillId="49" borderId="0" xfId="22" applyNumberFormat="1" applyFont="1" applyFill="1" applyBorder="1" applyAlignment="1">
      <alignment horizontal="left" vertical="center" indent="1" readingOrder="1"/>
    </xf>
    <xf numFmtId="0" fontId="26" fillId="45" borderId="0" xfId="22" applyNumberFormat="1" applyFont="1" applyFill="1" applyBorder="1" applyAlignment="1">
      <alignment horizontal="left" vertical="center" indent="1" readingOrder="1"/>
    </xf>
    <xf numFmtId="9" fontId="24" fillId="27" borderId="0" xfId="19" applyNumberFormat="1" applyFont="1" applyFill="1" applyBorder="1" applyAlignment="1">
      <alignment horizontal="left" vertical="center" wrapText="1" readingOrder="1"/>
    </xf>
    <xf numFmtId="0" fontId="24" fillId="47" borderId="0" xfId="19" applyFont="1" applyFill="1" applyBorder="1" applyAlignment="1">
      <alignment horizontal="left" vertical="center" wrapText="1"/>
    </xf>
    <xf numFmtId="0" fontId="24" fillId="48" borderId="0" xfId="19" applyFont="1" applyFill="1" applyBorder="1" applyAlignment="1">
      <alignment horizontal="left" vertical="center" wrapText="1"/>
    </xf>
    <xf numFmtId="0" fontId="24" fillId="48" borderId="0" xfId="19" applyFont="1" applyFill="1" applyAlignment="1">
      <alignment horizontal="left" vertical="center"/>
    </xf>
    <xf numFmtId="9" fontId="24" fillId="50" borderId="79" xfId="19" applyNumberFormat="1" applyFont="1" applyFill="1" applyBorder="1" applyAlignment="1">
      <alignment horizontal="left" vertical="center" wrapText="1" readingOrder="1"/>
    </xf>
    <xf numFmtId="0" fontId="120" fillId="0" borderId="0" xfId="22" applyFont="1" applyAlignment="1">
      <alignment horizontal="left" vertical="center"/>
    </xf>
    <xf numFmtId="0" fontId="120" fillId="43" borderId="76" xfId="22" applyFont="1" applyFill="1" applyBorder="1" applyAlignment="1">
      <alignment horizontal="left" vertical="center"/>
    </xf>
    <xf numFmtId="0" fontId="120" fillId="43" borderId="77" xfId="22" applyFont="1" applyFill="1" applyBorder="1" applyAlignment="1">
      <alignment horizontal="left" vertical="center"/>
    </xf>
    <xf numFmtId="0" fontId="120" fillId="43" borderId="79" xfId="22" applyFont="1" applyFill="1" applyBorder="1" applyAlignment="1">
      <alignment horizontal="left" vertical="center"/>
    </xf>
    <xf numFmtId="9" fontId="120" fillId="37" borderId="0" xfId="19" applyNumberFormat="1" applyFont="1" applyFill="1" applyBorder="1" applyAlignment="1">
      <alignment horizontal="center" vertical="center" wrapText="1" readingOrder="1"/>
    </xf>
    <xf numFmtId="0" fontId="108" fillId="38" borderId="76" xfId="22" applyNumberFormat="1" applyFont="1" applyFill="1" applyBorder="1" applyAlignment="1">
      <alignment horizontal="center" vertical="center" readingOrder="1"/>
    </xf>
    <xf numFmtId="0" fontId="108" fillId="9" borderId="76" xfId="22" applyNumberFormat="1" applyFont="1" applyFill="1" applyBorder="1" applyAlignment="1">
      <alignment horizontal="center" vertical="center" readingOrder="1"/>
    </xf>
    <xf numFmtId="0" fontId="108" fillId="16" borderId="76" xfId="22" applyNumberFormat="1" applyFont="1" applyFill="1" applyBorder="1" applyAlignment="1">
      <alignment horizontal="center" vertical="center" readingOrder="1"/>
    </xf>
    <xf numFmtId="0" fontId="108" fillId="45" borderId="0" xfId="22" applyNumberFormat="1" applyFont="1" applyFill="1" applyBorder="1" applyAlignment="1">
      <alignment horizontal="center" vertical="center" readingOrder="1"/>
    </xf>
    <xf numFmtId="0" fontId="108" fillId="49" borderId="0" xfId="22" applyNumberFormat="1" applyFont="1" applyFill="1" applyBorder="1" applyAlignment="1">
      <alignment horizontal="center" vertical="center" readingOrder="1"/>
    </xf>
    <xf numFmtId="0" fontId="108" fillId="14" borderId="76" xfId="22" applyNumberFormat="1" applyFont="1" applyFill="1" applyBorder="1" applyAlignment="1">
      <alignment horizontal="center" vertical="center" readingOrder="1"/>
    </xf>
    <xf numFmtId="1" fontId="33" fillId="9" borderId="86" xfId="1" applyNumberFormat="1" applyFont="1" applyFill="1" applyBorder="1" applyAlignment="1">
      <alignment horizontal="center" vertical="center"/>
    </xf>
    <xf numFmtId="1" fontId="27" fillId="9" borderId="86" xfId="0" applyNumberFormat="1" applyFont="1" applyFill="1" applyBorder="1" applyAlignment="1">
      <alignment horizontal="center" vertical="center" wrapText="1"/>
    </xf>
    <xf numFmtId="9" fontId="27" fillId="9" borderId="93" xfId="1" applyFont="1" applyFill="1" applyBorder="1" applyAlignment="1">
      <alignment horizontal="center" vertical="center" wrapText="1"/>
    </xf>
    <xf numFmtId="9" fontId="27" fillId="9" borderId="104" xfId="1" applyFont="1" applyFill="1" applyBorder="1" applyAlignment="1">
      <alignment horizontal="center" vertical="center" wrapText="1"/>
    </xf>
    <xf numFmtId="1" fontId="27" fillId="9" borderId="87" xfId="0" applyNumberFormat="1" applyFont="1" applyFill="1" applyBorder="1" applyAlignment="1">
      <alignment horizontal="center" vertical="center" wrapText="1"/>
    </xf>
    <xf numFmtId="0" fontId="26" fillId="22" borderId="13" xfId="0" applyNumberFormat="1" applyFont="1" applyFill="1" applyBorder="1" applyAlignment="1">
      <alignment horizontal="center" vertical="center" readingOrder="1"/>
    </xf>
    <xf numFmtId="0" fontId="26" fillId="22" borderId="2" xfId="0" applyNumberFormat="1" applyFont="1" applyFill="1" applyBorder="1" applyAlignment="1">
      <alignment horizontal="center" vertical="center" readingOrder="1"/>
    </xf>
    <xf numFmtId="0" fontId="28" fillId="0" borderId="0" xfId="0" applyFont="1" applyAlignment="1">
      <alignment horizontal="center"/>
    </xf>
    <xf numFmtId="49" fontId="111" fillId="0" borderId="0" xfId="4" applyNumberFormat="1" applyFont="1" applyFill="1" applyAlignment="1">
      <alignment horizontal="left" vertical="center" readingOrder="1"/>
    </xf>
    <xf numFmtId="49" fontId="17" fillId="0" borderId="0" xfId="4" applyNumberFormat="1" applyFont="1" applyFill="1" applyAlignment="1">
      <alignment horizontal="left" vertical="center" readingOrder="1"/>
    </xf>
    <xf numFmtId="0" fontId="16" fillId="14" borderId="107" xfId="22" applyNumberFormat="1" applyFont="1" applyFill="1" applyBorder="1" applyAlignment="1">
      <alignment horizontal="center" vertical="center" wrapText="1"/>
    </xf>
    <xf numFmtId="0" fontId="16" fillId="38" borderId="77" xfId="22" applyNumberFormat="1" applyFont="1" applyFill="1" applyBorder="1" applyAlignment="1">
      <alignment horizontal="center" vertical="center"/>
    </xf>
    <xf numFmtId="0" fontId="16" fillId="9" borderId="77" xfId="22" applyNumberFormat="1" applyFont="1" applyFill="1" applyBorder="1" applyAlignment="1">
      <alignment horizontal="center" vertical="center" wrapText="1"/>
    </xf>
    <xf numFmtId="9" fontId="120" fillId="16" borderId="107" xfId="19" applyNumberFormat="1" applyFont="1" applyFill="1" applyBorder="1" applyAlignment="1">
      <alignment horizontal="center" vertical="center" wrapText="1" readingOrder="1"/>
    </xf>
    <xf numFmtId="9" fontId="120" fillId="49" borderId="107" xfId="19" applyNumberFormat="1" applyFont="1" applyFill="1" applyBorder="1" applyAlignment="1">
      <alignment horizontal="center" vertical="center" wrapText="1" readingOrder="1"/>
    </xf>
    <xf numFmtId="1" fontId="58" fillId="7" borderId="14" xfId="19" applyNumberFormat="1" applyFont="1" applyFill="1" applyBorder="1" applyAlignment="1">
      <alignment horizontal="left" vertical="center" wrapText="1" readingOrder="1"/>
    </xf>
    <xf numFmtId="0" fontId="58" fillId="7" borderId="14" xfId="19" applyFont="1" applyFill="1" applyBorder="1" applyAlignment="1">
      <alignment horizontal="left" vertical="center" wrapText="1" readingOrder="1"/>
    </xf>
    <xf numFmtId="9" fontId="58" fillId="11" borderId="14" xfId="19" applyNumberFormat="1" applyFont="1" applyFill="1" applyBorder="1" applyAlignment="1">
      <alignment horizontal="center" vertical="center" wrapText="1"/>
    </xf>
    <xf numFmtId="9" fontId="58" fillId="34" borderId="14" xfId="19" applyNumberFormat="1" applyFont="1" applyFill="1" applyBorder="1" applyAlignment="1">
      <alignment horizontal="left" vertical="center" wrapText="1" readingOrder="1"/>
    </xf>
    <xf numFmtId="9" fontId="58" fillId="27" borderId="14" xfId="19" applyNumberFormat="1" applyFont="1" applyFill="1" applyBorder="1" applyAlignment="1">
      <alignment horizontal="left" vertical="center" wrapText="1" readingOrder="1"/>
    </xf>
    <xf numFmtId="9" fontId="58" fillId="50" borderId="14" xfId="19" applyNumberFormat="1" applyFont="1" applyFill="1" applyBorder="1" applyAlignment="1">
      <alignment horizontal="left" vertical="center" wrapText="1" readingOrder="1"/>
    </xf>
    <xf numFmtId="49" fontId="111" fillId="0" borderId="0" xfId="1" applyNumberFormat="1" applyFont="1" applyFill="1" applyAlignment="1">
      <alignment horizontal="left" vertical="center" readingOrder="1"/>
    </xf>
    <xf numFmtId="49" fontId="17" fillId="0" borderId="0" xfId="1" applyNumberFormat="1" applyFont="1" applyFill="1" applyAlignment="1">
      <alignment horizontal="left" vertical="center" readingOrder="1"/>
    </xf>
    <xf numFmtId="164" fontId="58" fillId="11" borderId="14" xfId="4" applyNumberFormat="1" applyFont="1" applyFill="1" applyBorder="1" applyAlignment="1">
      <alignment horizontal="center" vertical="center" wrapText="1"/>
    </xf>
    <xf numFmtId="0" fontId="108" fillId="18" borderId="88" xfId="0" applyFont="1" applyFill="1" applyBorder="1" applyAlignment="1">
      <alignment vertical="top" wrapText="1"/>
    </xf>
    <xf numFmtId="0" fontId="108" fillId="18" borderId="86" xfId="0" applyFont="1" applyFill="1" applyBorder="1" applyAlignment="1">
      <alignment vertical="top" wrapText="1"/>
    </xf>
    <xf numFmtId="1" fontId="108" fillId="18" borderId="89" xfId="0" applyNumberFormat="1" applyFont="1" applyFill="1" applyBorder="1" applyAlignment="1">
      <alignment vertical="top" wrapText="1"/>
    </xf>
    <xf numFmtId="1" fontId="108" fillId="18" borderId="86" xfId="0" applyNumberFormat="1" applyFont="1" applyFill="1" applyBorder="1" applyAlignment="1">
      <alignment vertical="top" wrapText="1"/>
    </xf>
    <xf numFmtId="1" fontId="122" fillId="18" borderId="93" xfId="0" applyNumberFormat="1" applyFont="1" applyFill="1" applyBorder="1" applyAlignment="1">
      <alignment vertical="top" wrapText="1"/>
    </xf>
    <xf numFmtId="1" fontId="122" fillId="18" borderId="86" xfId="0" applyNumberFormat="1" applyFont="1" applyFill="1" applyBorder="1" applyAlignment="1">
      <alignment vertical="top" wrapText="1"/>
    </xf>
    <xf numFmtId="1" fontId="108" fillId="18" borderId="93" xfId="0" applyNumberFormat="1" applyFont="1" applyFill="1" applyBorder="1" applyAlignment="1">
      <alignment vertical="top" wrapText="1"/>
    </xf>
    <xf numFmtId="0" fontId="108" fillId="18" borderId="89" xfId="0" applyFont="1" applyFill="1" applyBorder="1" applyAlignment="1">
      <alignment vertical="top" wrapText="1"/>
    </xf>
    <xf numFmtId="1" fontId="123" fillId="6" borderId="86" xfId="0" applyNumberFormat="1" applyFont="1" applyFill="1" applyBorder="1" applyAlignment="1">
      <alignment vertical="top" wrapText="1"/>
    </xf>
    <xf numFmtId="1" fontId="108" fillId="6" borderId="86" xfId="0" applyNumberFormat="1" applyFont="1" applyFill="1" applyBorder="1" applyAlignment="1">
      <alignment vertical="top" wrapText="1"/>
    </xf>
    <xf numFmtId="1" fontId="108" fillId="6" borderId="93" xfId="0" applyNumberFormat="1" applyFont="1" applyFill="1" applyBorder="1" applyAlignment="1">
      <alignment vertical="top" wrapText="1"/>
    </xf>
    <xf numFmtId="1" fontId="108" fillId="6" borderId="88" xfId="0" applyNumberFormat="1" applyFont="1" applyFill="1" applyBorder="1" applyAlignment="1">
      <alignment vertical="top" wrapText="1"/>
    </xf>
    <xf numFmtId="0" fontId="108" fillId="6" borderId="89" xfId="0" applyFont="1" applyFill="1" applyBorder="1" applyAlignment="1">
      <alignment vertical="top" wrapText="1"/>
    </xf>
    <xf numFmtId="0" fontId="108" fillId="6" borderId="87" xfId="0" applyFont="1" applyFill="1" applyBorder="1" applyAlignment="1">
      <alignment vertical="top" wrapText="1"/>
    </xf>
    <xf numFmtId="1" fontId="108" fillId="9" borderId="86" xfId="0" applyNumberFormat="1" applyFont="1" applyFill="1" applyBorder="1" applyAlignment="1">
      <alignment vertical="top" wrapText="1"/>
    </xf>
    <xf numFmtId="1" fontId="126" fillId="9" borderId="86" xfId="0" applyNumberFormat="1" applyFont="1" applyFill="1" applyBorder="1" applyAlignment="1">
      <alignment vertical="top" wrapText="1"/>
    </xf>
    <xf numFmtId="9" fontId="108" fillId="9" borderId="93" xfId="1" applyNumberFormat="1" applyFont="1" applyFill="1" applyBorder="1" applyAlignment="1">
      <alignment vertical="top" wrapText="1"/>
    </xf>
    <xf numFmtId="9" fontId="108" fillId="9" borderId="104" xfId="1" applyNumberFormat="1" applyFont="1" applyFill="1" applyBorder="1" applyAlignment="1">
      <alignment vertical="top" wrapText="1"/>
    </xf>
    <xf numFmtId="1" fontId="108" fillId="9" borderId="87" xfId="0" applyNumberFormat="1" applyFont="1" applyFill="1" applyBorder="1" applyAlignment="1">
      <alignment vertical="top" wrapText="1"/>
    </xf>
    <xf numFmtId="0" fontId="23" fillId="0" borderId="0" xfId="0" applyFont="1" applyAlignment="1"/>
    <xf numFmtId="0" fontId="27" fillId="8" borderId="93" xfId="0" applyFont="1" applyFill="1" applyBorder="1" applyAlignment="1">
      <alignment horizontal="center" vertical="center" wrapText="1"/>
    </xf>
    <xf numFmtId="0" fontId="27" fillId="8" borderId="86" xfId="0" applyFont="1" applyFill="1" applyBorder="1" applyAlignment="1">
      <alignment horizontal="center" vertical="center" wrapText="1"/>
    </xf>
    <xf numFmtId="0" fontId="24" fillId="18" borderId="76" xfId="19" applyFont="1" applyFill="1" applyBorder="1" applyAlignment="1">
      <alignment horizontal="center" vertical="center" wrapText="1"/>
    </xf>
    <xf numFmtId="0" fontId="24" fillId="18" borderId="76" xfId="19" applyFont="1" applyFill="1" applyBorder="1" applyAlignment="1">
      <alignment horizontal="center" vertical="center" wrapText="1" readingOrder="1"/>
    </xf>
    <xf numFmtId="14" fontId="24" fillId="18" borderId="76" xfId="19" applyNumberFormat="1" applyFont="1" applyFill="1" applyBorder="1" applyAlignment="1">
      <alignment horizontal="center" vertical="center" wrapText="1" readingOrder="1"/>
    </xf>
    <xf numFmtId="1" fontId="24" fillId="7" borderId="76" xfId="19" applyNumberFormat="1" applyFont="1" applyFill="1" applyBorder="1" applyAlignment="1">
      <alignment horizontal="center" vertical="center" wrapText="1" readingOrder="1"/>
    </xf>
    <xf numFmtId="1" fontId="119" fillId="7" borderId="76" xfId="19" applyNumberFormat="1" applyFont="1" applyFill="1" applyBorder="1" applyAlignment="1">
      <alignment horizontal="center" vertical="center" wrapText="1" readingOrder="1"/>
    </xf>
    <xf numFmtId="0" fontId="24" fillId="7" borderId="76" xfId="19" applyFont="1" applyFill="1" applyBorder="1" applyAlignment="1">
      <alignment horizontal="center" vertical="center" wrapText="1" readingOrder="1"/>
    </xf>
    <xf numFmtId="0" fontId="24" fillId="11" borderId="76" xfId="20" applyNumberFormat="1" applyFont="1" applyFill="1" applyBorder="1" applyAlignment="1">
      <alignment horizontal="center" vertical="center" wrapText="1" readingOrder="1"/>
    </xf>
    <xf numFmtId="0" fontId="24" fillId="11" borderId="76" xfId="19" applyFont="1" applyFill="1" applyBorder="1" applyAlignment="1">
      <alignment horizontal="center" vertical="center" wrapText="1"/>
    </xf>
    <xf numFmtId="9" fontId="24" fillId="11" borderId="79" xfId="19" applyNumberFormat="1" applyFont="1" applyFill="1" applyBorder="1" applyAlignment="1">
      <alignment horizontal="center" vertical="center" wrapText="1" readingOrder="1"/>
    </xf>
    <xf numFmtId="9" fontId="24" fillId="34" borderId="79" xfId="19" applyNumberFormat="1" applyFont="1" applyFill="1" applyBorder="1" applyAlignment="1">
      <alignment horizontal="center" vertical="center" wrapText="1" readingOrder="1"/>
    </xf>
    <xf numFmtId="9" fontId="24" fillId="27" borderId="0" xfId="19" applyNumberFormat="1" applyFont="1" applyFill="1" applyBorder="1" applyAlignment="1">
      <alignment horizontal="center" vertical="center" wrapText="1" readingOrder="1"/>
    </xf>
    <xf numFmtId="9" fontId="24" fillId="50" borderId="79" xfId="19" applyNumberFormat="1" applyFont="1" applyFill="1" applyBorder="1" applyAlignment="1">
      <alignment horizontal="center" vertical="center" wrapText="1" readingOrder="1"/>
    </xf>
    <xf numFmtId="0" fontId="27" fillId="5" borderId="100" xfId="0" applyFont="1" applyFill="1" applyBorder="1" applyAlignment="1">
      <alignment vertical="center"/>
    </xf>
    <xf numFmtId="0" fontId="27" fillId="5" borderId="110" xfId="0" applyFont="1" applyFill="1" applyBorder="1" applyAlignment="1">
      <alignment vertical="center"/>
    </xf>
    <xf numFmtId="1" fontId="92" fillId="18" borderId="112" xfId="0" applyNumberFormat="1" applyFont="1" applyFill="1" applyBorder="1" applyAlignment="1">
      <alignment vertical="top" wrapText="1"/>
    </xf>
    <xf numFmtId="1" fontId="92" fillId="18" borderId="114" xfId="0" applyNumberFormat="1" applyFont="1" applyFill="1" applyBorder="1" applyAlignment="1">
      <alignment vertical="top" wrapText="1"/>
    </xf>
    <xf numFmtId="9" fontId="58" fillId="50" borderId="118" xfId="19" applyNumberFormat="1" applyFont="1" applyFill="1" applyBorder="1" applyAlignment="1">
      <alignment horizontal="left" vertical="center" wrapText="1" readingOrder="1"/>
    </xf>
    <xf numFmtId="0" fontId="27" fillId="5" borderId="111" xfId="0" applyFont="1" applyFill="1" applyBorder="1" applyAlignment="1">
      <alignment horizontal="center" vertical="center" wrapText="1"/>
    </xf>
    <xf numFmtId="0" fontId="27" fillId="5" borderId="113" xfId="0" applyFont="1" applyFill="1" applyBorder="1" applyAlignment="1">
      <alignment horizontal="center" vertical="center" wrapText="1"/>
    </xf>
    <xf numFmtId="0" fontId="120" fillId="14" borderId="76" xfId="22" applyFont="1" applyFill="1" applyBorder="1" applyAlignment="1">
      <alignment horizontal="left" vertical="center" wrapText="1"/>
    </xf>
    <xf numFmtId="0" fontId="120" fillId="8" borderId="76" xfId="22" applyFont="1" applyFill="1" applyBorder="1" applyAlignment="1">
      <alignment horizontal="left" vertical="center" wrapText="1"/>
    </xf>
    <xf numFmtId="1" fontId="27" fillId="8" borderId="86" xfId="0" applyNumberFormat="1" applyFont="1" applyFill="1" applyBorder="1" applyAlignment="1">
      <alignment horizontal="center" vertical="center" wrapText="1"/>
    </xf>
    <xf numFmtId="1" fontId="32" fillId="8" borderId="86" xfId="0" applyNumberFormat="1" applyFont="1" applyFill="1" applyBorder="1" applyAlignment="1">
      <alignment horizontal="center" vertical="center" wrapText="1"/>
    </xf>
    <xf numFmtId="0" fontId="27" fillId="8" borderId="88" xfId="0" applyFont="1" applyFill="1" applyBorder="1" applyAlignment="1">
      <alignment horizontal="center" vertical="center" wrapText="1"/>
    </xf>
    <xf numFmtId="0" fontId="27" fillId="8" borderId="89" xfId="0" applyFont="1" applyFill="1" applyBorder="1" applyAlignment="1">
      <alignment horizontal="center" vertical="center" wrapText="1"/>
    </xf>
    <xf numFmtId="164" fontId="59" fillId="10" borderId="38" xfId="4" applyNumberFormat="1" applyFont="1" applyFill="1" applyBorder="1" applyAlignment="1">
      <alignment horizontal="center" vertical="center"/>
    </xf>
    <xf numFmtId="9" fontId="59" fillId="10" borderId="38" xfId="1" applyFont="1" applyFill="1" applyBorder="1" applyAlignment="1">
      <alignment horizontal="center" vertical="center"/>
    </xf>
    <xf numFmtId="164" fontId="59" fillId="7" borderId="33" xfId="4" applyNumberFormat="1" applyFont="1" applyFill="1" applyBorder="1" applyAlignment="1">
      <alignment horizontal="center" vertical="center"/>
    </xf>
    <xf numFmtId="164" fontId="113" fillId="7" borderId="38" xfId="4" applyNumberFormat="1" applyFont="1" applyFill="1" applyBorder="1" applyAlignment="1">
      <alignment horizontal="center" vertical="center"/>
    </xf>
    <xf numFmtId="9" fontId="59" fillId="7" borderId="38" xfId="1" applyFont="1" applyFill="1" applyBorder="1" applyAlignment="1">
      <alignment horizontal="center" vertical="center"/>
    </xf>
    <xf numFmtId="164" fontId="59" fillId="7" borderId="38" xfId="4" applyNumberFormat="1" applyFont="1" applyFill="1" applyBorder="1" applyAlignment="1">
      <alignment horizontal="center" vertical="center"/>
    </xf>
    <xf numFmtId="164" fontId="59" fillId="11" borderId="33" xfId="4" applyNumberFormat="1" applyFont="1" applyFill="1" applyBorder="1" applyAlignment="1">
      <alignment horizontal="center" vertical="center"/>
    </xf>
    <xf numFmtId="164" fontId="113" fillId="11" borderId="38" xfId="4" applyNumberFormat="1" applyFont="1" applyFill="1" applyBorder="1" applyAlignment="1">
      <alignment horizontal="center" vertical="center"/>
    </xf>
    <xf numFmtId="9" fontId="59" fillId="11" borderId="38" xfId="1" applyFont="1" applyFill="1" applyBorder="1" applyAlignment="1">
      <alignment horizontal="center" vertical="center"/>
    </xf>
    <xf numFmtId="164" fontId="59" fillId="11" borderId="38" xfId="4" applyNumberFormat="1" applyFont="1" applyFill="1" applyBorder="1" applyAlignment="1">
      <alignment horizontal="center" vertical="center"/>
    </xf>
    <xf numFmtId="164" fontId="113" fillId="12" borderId="33" xfId="4" applyNumberFormat="1" applyFont="1" applyFill="1" applyBorder="1" applyAlignment="1">
      <alignment horizontal="center" vertical="center"/>
    </xf>
    <xf numFmtId="164" fontId="113" fillId="12" borderId="38" xfId="4" applyNumberFormat="1" applyFont="1" applyFill="1" applyBorder="1" applyAlignment="1">
      <alignment horizontal="center" vertical="center"/>
    </xf>
    <xf numFmtId="9" fontId="113" fillId="12" borderId="38" xfId="1" applyFont="1" applyFill="1" applyBorder="1" applyAlignment="1">
      <alignment horizontal="center" vertical="center"/>
    </xf>
    <xf numFmtId="164" fontId="113" fillId="12" borderId="33" xfId="4" applyNumberFormat="1" applyFont="1" applyFill="1" applyBorder="1" applyAlignment="1">
      <alignment horizontal="left" vertical="center" wrapText="1"/>
    </xf>
    <xf numFmtId="9" fontId="17" fillId="0" borderId="0" xfId="1" applyFont="1" applyFill="1" applyBorder="1" applyAlignment="1">
      <alignment horizontal="left" vertical="center" readingOrder="1"/>
    </xf>
    <xf numFmtId="49" fontId="17" fillId="0" borderId="0" xfId="1" applyNumberFormat="1" applyFont="1" applyFill="1" applyAlignment="1">
      <alignment horizontal="left" vertical="center" wrapText="1" readingOrder="1"/>
    </xf>
    <xf numFmtId="0" fontId="67" fillId="0" borderId="35" xfId="0" applyFont="1" applyBorder="1" applyAlignment="1">
      <alignment horizontal="center" vertical="center" wrapText="1"/>
    </xf>
    <xf numFmtId="0" fontId="120" fillId="9" borderId="76" xfId="22" applyFont="1" applyFill="1" applyBorder="1" applyAlignment="1">
      <alignment horizontal="left" vertical="center" wrapText="1"/>
    </xf>
    <xf numFmtId="0" fontId="128" fillId="45" borderId="36" xfId="0" applyFont="1" applyFill="1" applyBorder="1" applyAlignment="1">
      <alignment horizontal="center" vertical="center" wrapText="1"/>
    </xf>
    <xf numFmtId="164" fontId="59" fillId="10" borderId="119" xfId="4" applyNumberFormat="1" applyFont="1" applyFill="1" applyBorder="1" applyAlignment="1">
      <alignment vertical="center" wrapText="1"/>
    </xf>
    <xf numFmtId="164" fontId="78" fillId="14" borderId="86" xfId="4" applyNumberFormat="1" applyFont="1" applyFill="1" applyBorder="1" applyAlignment="1">
      <alignment vertical="center" wrapText="1"/>
    </xf>
    <xf numFmtId="164" fontId="59" fillId="10" borderId="33" xfId="4" applyNumberFormat="1" applyFont="1" applyFill="1" applyBorder="1" applyAlignment="1">
      <alignment vertical="center" wrapText="1"/>
    </xf>
    <xf numFmtId="164" fontId="59" fillId="7" borderId="120" xfId="4" applyNumberFormat="1" applyFont="1" applyFill="1" applyBorder="1" applyAlignment="1">
      <alignment vertical="center" wrapText="1"/>
    </xf>
    <xf numFmtId="164" fontId="59" fillId="7" borderId="33" xfId="4" applyNumberFormat="1" applyFont="1" applyFill="1" applyBorder="1" applyAlignment="1">
      <alignment vertical="center" wrapText="1"/>
    </xf>
    <xf numFmtId="164" fontId="78" fillId="8" borderId="33" xfId="4" applyNumberFormat="1" applyFont="1" applyFill="1" applyBorder="1" applyAlignment="1">
      <alignment vertical="center" wrapText="1"/>
    </xf>
    <xf numFmtId="164" fontId="59" fillId="11" borderId="33" xfId="4" applyNumberFormat="1" applyFont="1" applyFill="1" applyBorder="1" applyAlignment="1">
      <alignment vertical="center" wrapText="1"/>
    </xf>
    <xf numFmtId="164" fontId="78" fillId="36" borderId="33" xfId="4" applyNumberFormat="1" applyFont="1" applyFill="1" applyBorder="1" applyAlignment="1">
      <alignment vertical="center" wrapText="1"/>
    </xf>
    <xf numFmtId="164" fontId="59" fillId="10" borderId="33" xfId="4" applyNumberFormat="1" applyFont="1" applyFill="1" applyBorder="1"/>
    <xf numFmtId="0" fontId="78" fillId="0" borderId="0" xfId="0" applyFont="1"/>
    <xf numFmtId="164" fontId="78" fillId="14" borderId="33" xfId="4" applyNumberFormat="1" applyFont="1" applyFill="1" applyBorder="1" applyAlignment="1">
      <alignment horizontal="center" vertical="center"/>
    </xf>
    <xf numFmtId="164" fontId="78" fillId="14" borderId="38" xfId="4" applyNumberFormat="1" applyFont="1" applyFill="1" applyBorder="1" applyAlignment="1">
      <alignment horizontal="center" vertical="center"/>
    </xf>
    <xf numFmtId="9" fontId="78" fillId="14" borderId="38" xfId="1" applyFont="1" applyFill="1" applyBorder="1" applyAlignment="1">
      <alignment horizontal="center" vertical="center"/>
    </xf>
    <xf numFmtId="164" fontId="78" fillId="8" borderId="33" xfId="4" applyNumberFormat="1" applyFont="1" applyFill="1" applyBorder="1" applyAlignment="1">
      <alignment horizontal="center" vertical="center"/>
    </xf>
    <xf numFmtId="164" fontId="78" fillId="8" borderId="38" xfId="4" applyNumberFormat="1" applyFont="1" applyFill="1" applyBorder="1" applyAlignment="1">
      <alignment horizontal="center" vertical="center"/>
    </xf>
    <xf numFmtId="9" fontId="78" fillId="8" borderId="38" xfId="1" applyFont="1" applyFill="1" applyBorder="1" applyAlignment="1">
      <alignment horizontal="center" vertical="center"/>
    </xf>
    <xf numFmtId="164" fontId="78" fillId="36" borderId="33" xfId="4" applyNumberFormat="1" applyFont="1" applyFill="1" applyBorder="1" applyAlignment="1">
      <alignment horizontal="center" vertical="center"/>
    </xf>
    <xf numFmtId="164" fontId="78" fillId="36" borderId="38" xfId="4" applyNumberFormat="1" applyFont="1" applyFill="1" applyBorder="1" applyAlignment="1">
      <alignment horizontal="center" vertical="center"/>
    </xf>
    <xf numFmtId="9" fontId="78" fillId="36" borderId="38" xfId="1" applyFont="1" applyFill="1" applyBorder="1" applyAlignment="1">
      <alignment horizontal="center" vertical="center"/>
    </xf>
    <xf numFmtId="164" fontId="65" fillId="26" borderId="33" xfId="4" applyNumberFormat="1" applyFont="1" applyFill="1" applyBorder="1" applyAlignment="1">
      <alignment horizontal="left" vertical="center" wrapText="1"/>
    </xf>
    <xf numFmtId="164" fontId="65" fillId="26" borderId="33" xfId="4" applyNumberFormat="1" applyFont="1" applyFill="1" applyBorder="1" applyAlignment="1">
      <alignment horizontal="center" vertical="center"/>
    </xf>
    <xf numFmtId="164" fontId="65" fillId="26" borderId="38" xfId="4" applyNumberFormat="1" applyFont="1" applyFill="1" applyBorder="1" applyAlignment="1">
      <alignment horizontal="center" vertical="center"/>
    </xf>
    <xf numFmtId="9" fontId="65" fillId="26" borderId="38" xfId="1" applyFont="1" applyFill="1" applyBorder="1" applyAlignment="1">
      <alignment horizontal="center" vertical="center"/>
    </xf>
    <xf numFmtId="0" fontId="67" fillId="0" borderId="125" xfId="0" applyFont="1" applyBorder="1" applyAlignment="1">
      <alignment vertical="center" wrapText="1"/>
    </xf>
    <xf numFmtId="0" fontId="67" fillId="0" borderId="126" xfId="0" applyFont="1" applyBorder="1" applyAlignment="1">
      <alignment vertical="center" wrapText="1"/>
    </xf>
    <xf numFmtId="0" fontId="67" fillId="33" borderId="34" xfId="0" applyFont="1" applyFill="1" applyBorder="1" applyAlignment="1">
      <alignment horizontal="center" vertical="center" wrapText="1"/>
    </xf>
    <xf numFmtId="0" fontId="67" fillId="33" borderId="35" xfId="0" applyFont="1" applyFill="1" applyBorder="1" applyAlignment="1">
      <alignment horizontal="center" vertical="center" wrapText="1"/>
    </xf>
    <xf numFmtId="0" fontId="67" fillId="33" borderId="36" xfId="0" applyFont="1" applyFill="1" applyBorder="1" applyAlignment="1">
      <alignment horizontal="center" vertical="center" wrapText="1"/>
    </xf>
    <xf numFmtId="164" fontId="78" fillId="26" borderId="40" xfId="4" applyNumberFormat="1" applyFont="1" applyFill="1" applyBorder="1" applyAlignment="1">
      <alignment horizontal="left" vertical="center" wrapText="1"/>
    </xf>
    <xf numFmtId="9" fontId="78" fillId="26" borderId="41" xfId="1" applyFont="1" applyFill="1" applyBorder="1" applyAlignment="1">
      <alignment horizontal="center" vertical="center"/>
    </xf>
    <xf numFmtId="164" fontId="78" fillId="26" borderId="41" xfId="4" applyNumberFormat="1" applyFont="1" applyFill="1" applyBorder="1" applyAlignment="1">
      <alignment horizontal="center" vertical="center"/>
    </xf>
    <xf numFmtId="9" fontId="78" fillId="14" borderId="33" xfId="1" applyFont="1" applyFill="1" applyBorder="1" applyAlignment="1">
      <alignment horizontal="center" vertical="center"/>
    </xf>
    <xf numFmtId="9" fontId="113" fillId="7" borderId="38" xfId="1" applyFont="1" applyFill="1" applyBorder="1" applyAlignment="1">
      <alignment horizontal="center" vertical="center"/>
    </xf>
    <xf numFmtId="9" fontId="78" fillId="8" borderId="33" xfId="1" applyFont="1" applyFill="1" applyBorder="1" applyAlignment="1">
      <alignment horizontal="center" vertical="center"/>
    </xf>
    <xf numFmtId="9" fontId="113" fillId="11" borderId="38" xfId="1" applyFont="1" applyFill="1" applyBorder="1" applyAlignment="1">
      <alignment horizontal="center" vertical="center"/>
    </xf>
    <xf numFmtId="9" fontId="78" fillId="36" borderId="33" xfId="1" applyFont="1" applyFill="1" applyBorder="1" applyAlignment="1">
      <alignment horizontal="center" vertical="center"/>
    </xf>
    <xf numFmtId="9" fontId="65" fillId="26" borderId="33" xfId="1" applyFont="1" applyFill="1" applyBorder="1" applyAlignment="1">
      <alignment horizontal="center" vertical="center"/>
    </xf>
    <xf numFmtId="9" fontId="78" fillId="26" borderId="40" xfId="1" applyFont="1" applyFill="1" applyBorder="1" applyAlignment="1">
      <alignment horizontal="left" vertical="center" wrapText="1"/>
    </xf>
    <xf numFmtId="0" fontId="58" fillId="51" borderId="129" xfId="0" applyNumberFormat="1" applyFont="1" applyFill="1" applyBorder="1" applyAlignment="1">
      <alignment horizontal="center" vertical="center" wrapText="1" readingOrder="1"/>
    </xf>
    <xf numFmtId="0" fontId="76" fillId="39" borderId="130" xfId="0" applyFont="1" applyFill="1" applyBorder="1"/>
    <xf numFmtId="0" fontId="0" fillId="0" borderId="4" xfId="0" applyBorder="1"/>
    <xf numFmtId="0" fontId="3" fillId="0" borderId="4" xfId="0" applyFont="1" applyBorder="1"/>
    <xf numFmtId="0" fontId="73" fillId="0" borderId="4" xfId="0" applyFont="1" applyBorder="1"/>
    <xf numFmtId="0" fontId="75" fillId="0" borderId="4" xfId="0" applyFont="1" applyBorder="1" applyAlignment="1">
      <alignment horizontal="left"/>
    </xf>
    <xf numFmtId="9" fontId="9" fillId="0" borderId="4" xfId="1" applyFont="1" applyBorder="1"/>
    <xf numFmtId="0" fontId="3" fillId="0" borderId="59" xfId="0" applyNumberFormat="1" applyFont="1" applyBorder="1"/>
    <xf numFmtId="0" fontId="76" fillId="39" borderId="57" xfId="0" applyFont="1" applyFill="1" applyBorder="1"/>
    <xf numFmtId="0" fontId="3" fillId="0" borderId="58" xfId="0" applyNumberFormat="1" applyFont="1" applyBorder="1"/>
    <xf numFmtId="0" fontId="73" fillId="0" borderId="0" xfId="0" pivotButton="1" applyFont="1"/>
    <xf numFmtId="0" fontId="76" fillId="39" borderId="130" xfId="0" applyFont="1" applyFill="1" applyBorder="1" applyAlignment="1">
      <alignment vertical="top"/>
    </xf>
    <xf numFmtId="9" fontId="129" fillId="0" borderId="135" xfId="0" applyNumberFormat="1" applyFont="1" applyBorder="1"/>
    <xf numFmtId="9" fontId="129" fillId="0" borderId="137" xfId="0" applyNumberFormat="1" applyFont="1" applyBorder="1"/>
    <xf numFmtId="0" fontId="112" fillId="9" borderId="131" xfId="0" applyFont="1" applyFill="1" applyBorder="1" applyAlignment="1">
      <alignment horizontal="center" vertical="center"/>
    </xf>
    <xf numFmtId="0" fontId="72" fillId="9" borderId="132" xfId="0" applyFont="1" applyFill="1" applyBorder="1" applyAlignment="1">
      <alignment horizontal="center" vertical="center"/>
    </xf>
    <xf numFmtId="0" fontId="72" fillId="9" borderId="133" xfId="0" applyFont="1" applyFill="1" applyBorder="1" applyAlignment="1">
      <alignment horizontal="center" vertical="center"/>
    </xf>
    <xf numFmtId="0" fontId="22" fillId="0" borderId="134" xfId="0" applyFont="1" applyBorder="1"/>
    <xf numFmtId="0" fontId="22" fillId="0" borderId="136" xfId="0" applyFont="1" applyBorder="1"/>
    <xf numFmtId="0" fontId="73" fillId="0" borderId="142" xfId="0" applyFont="1" applyBorder="1"/>
    <xf numFmtId="0" fontId="130" fillId="0" borderId="145" xfId="0" applyFont="1" applyBorder="1"/>
    <xf numFmtId="9" fontId="131" fillId="0" borderId="146" xfId="0" applyNumberFormat="1" applyFont="1" applyBorder="1"/>
    <xf numFmtId="9" fontId="131" fillId="0" borderId="147" xfId="0" applyNumberFormat="1" applyFont="1" applyBorder="1"/>
    <xf numFmtId="0" fontId="130" fillId="0" borderId="148" xfId="0" applyFont="1" applyBorder="1"/>
    <xf numFmtId="9" fontId="131" fillId="0" borderId="149" xfId="0" applyNumberFormat="1" applyFont="1" applyBorder="1"/>
    <xf numFmtId="9" fontId="131" fillId="0" borderId="150" xfId="0" applyNumberFormat="1" applyFont="1" applyBorder="1"/>
    <xf numFmtId="0" fontId="2" fillId="0" borderId="0" xfId="0" applyFont="1"/>
    <xf numFmtId="0" fontId="133" fillId="52" borderId="141" xfId="0" applyFont="1" applyFill="1" applyBorder="1"/>
    <xf numFmtId="0" fontId="133" fillId="52" borderId="96" xfId="0" applyFont="1" applyFill="1" applyBorder="1"/>
    <xf numFmtId="9" fontId="132" fillId="52" borderId="140" xfId="0" applyNumberFormat="1" applyFont="1" applyFill="1" applyBorder="1"/>
    <xf numFmtId="9" fontId="132" fillId="52" borderId="139" xfId="0" applyNumberFormat="1" applyFont="1" applyFill="1" applyBorder="1"/>
    <xf numFmtId="0" fontId="73" fillId="12" borderId="143" xfId="0" applyFont="1" applyFill="1" applyBorder="1"/>
    <xf numFmtId="0" fontId="73" fillId="12" borderId="144" xfId="0" applyFont="1" applyFill="1" applyBorder="1"/>
    <xf numFmtId="0" fontId="69" fillId="16" borderId="0" xfId="0" applyFont="1" applyFill="1"/>
    <xf numFmtId="0" fontId="22" fillId="16" borderId="0" xfId="0" applyFont="1" applyFill="1"/>
    <xf numFmtId="0" fontId="133" fillId="52" borderId="97" xfId="0" applyFont="1" applyFill="1" applyBorder="1"/>
    <xf numFmtId="9" fontId="132" fillId="52" borderId="138" xfId="0" applyNumberFormat="1" applyFont="1" applyFill="1" applyBorder="1"/>
    <xf numFmtId="0" fontId="129" fillId="0" borderId="154" xfId="0" applyFont="1" applyBorder="1" applyAlignment="1">
      <alignment horizontal="left"/>
    </xf>
    <xf numFmtId="0" fontId="59" fillId="0" borderId="70" xfId="0" applyFont="1" applyFill="1" applyBorder="1" applyAlignment="1">
      <alignment vertical="center"/>
    </xf>
    <xf numFmtId="0" fontId="59" fillId="0" borderId="23" xfId="0" applyFont="1" applyFill="1" applyBorder="1" applyAlignment="1">
      <alignment vertical="center"/>
    </xf>
    <xf numFmtId="164" fontId="59" fillId="0" borderId="23" xfId="4" applyNumberFormat="1" applyFont="1" applyFill="1" applyBorder="1" applyAlignment="1">
      <alignment vertical="center"/>
    </xf>
    <xf numFmtId="9" fontId="59" fillId="0" borderId="23" xfId="0" applyNumberFormat="1" applyFont="1" applyFill="1" applyBorder="1" applyAlignment="1">
      <alignment horizontal="center" vertical="center"/>
    </xf>
    <xf numFmtId="9" fontId="59" fillId="0" borderId="71" xfId="0" applyNumberFormat="1" applyFont="1" applyFill="1" applyBorder="1" applyAlignment="1">
      <alignment horizontal="center" vertical="center"/>
    </xf>
    <xf numFmtId="0" fontId="59" fillId="0" borderId="72" xfId="0" applyFont="1" applyFill="1" applyBorder="1" applyAlignment="1">
      <alignment vertical="center"/>
    </xf>
    <xf numFmtId="0" fontId="59" fillId="0" borderId="67" xfId="0" applyFont="1" applyFill="1" applyBorder="1" applyAlignment="1">
      <alignment vertical="center" wrapText="1"/>
    </xf>
    <xf numFmtId="164" fontId="59" fillId="0" borderId="67" xfId="4" applyNumberFormat="1" applyFont="1" applyFill="1" applyBorder="1" applyAlignment="1">
      <alignment vertical="center"/>
    </xf>
    <xf numFmtId="9" fontId="59" fillId="0" borderId="67" xfId="0" applyNumberFormat="1" applyFont="1" applyFill="1" applyBorder="1" applyAlignment="1">
      <alignment horizontal="center" vertical="center"/>
    </xf>
    <xf numFmtId="9" fontId="59" fillId="0" borderId="73" xfId="0" applyNumberFormat="1" applyFont="1" applyFill="1" applyBorder="1" applyAlignment="1">
      <alignment horizontal="center" vertical="center"/>
    </xf>
    <xf numFmtId="0" fontId="60" fillId="0" borderId="74" xfId="0" applyFont="1" applyFill="1" applyBorder="1" applyAlignment="1">
      <alignment horizontal="left" vertical="center"/>
    </xf>
    <xf numFmtId="0" fontId="60" fillId="0" borderId="75" xfId="0" applyFont="1" applyFill="1" applyBorder="1" applyAlignment="1">
      <alignment vertical="center"/>
    </xf>
    <xf numFmtId="164" fontId="60" fillId="0" borderId="75" xfId="0" applyNumberFormat="1" applyFont="1" applyFill="1" applyBorder="1" applyAlignment="1">
      <alignment vertical="center"/>
    </xf>
    <xf numFmtId="9" fontId="60" fillId="0" borderId="75" xfId="1" applyFont="1" applyFill="1" applyBorder="1" applyAlignment="1">
      <alignment horizontal="center" vertical="center"/>
    </xf>
    <xf numFmtId="0" fontId="1" fillId="0" borderId="0" xfId="0" applyFont="1"/>
    <xf numFmtId="0" fontId="1" fillId="0" borderId="68" xfId="0" applyFont="1" applyBorder="1" applyAlignment="1">
      <alignment vertical="center" wrapText="1"/>
    </xf>
    <xf numFmtId="0" fontId="72" fillId="35" borderId="61" xfId="0" applyFont="1" applyFill="1" applyBorder="1" applyAlignment="1">
      <alignment horizontal="center" vertical="center"/>
    </xf>
    <xf numFmtId="0" fontId="72" fillId="35" borderId="61" xfId="0" applyFont="1" applyFill="1" applyBorder="1" applyAlignment="1">
      <alignment horizontal="center" vertical="center" wrapText="1"/>
    </xf>
    <xf numFmtId="0" fontId="72" fillId="35" borderId="69" xfId="0" applyFont="1" applyFill="1" applyBorder="1" applyAlignment="1">
      <alignment horizontal="center" vertical="center" wrapText="1"/>
    </xf>
    <xf numFmtId="0" fontId="76" fillId="39" borderId="151" xfId="0" applyFont="1" applyFill="1" applyBorder="1" applyAlignment="1">
      <alignment wrapText="1"/>
    </xf>
    <xf numFmtId="0" fontId="0" fillId="0" borderId="0" xfId="0" applyAlignment="1">
      <alignment wrapText="1"/>
    </xf>
    <xf numFmtId="0" fontId="0" fillId="0" borderId="155" xfId="0" applyFont="1" applyBorder="1" applyAlignment="1">
      <alignment wrapText="1"/>
    </xf>
    <xf numFmtId="0" fontId="76" fillId="53" borderId="157" xfId="0" applyFont="1" applyFill="1" applyBorder="1" applyAlignment="1">
      <alignment wrapText="1"/>
    </xf>
    <xf numFmtId="0" fontId="0" fillId="0" borderId="55" xfId="0" applyFont="1" applyBorder="1" applyAlignment="1">
      <alignment wrapText="1"/>
    </xf>
    <xf numFmtId="0" fontId="76" fillId="53" borderId="158" xfId="0" applyFont="1" applyFill="1" applyBorder="1" applyAlignment="1">
      <alignment wrapText="1"/>
    </xf>
    <xf numFmtId="0" fontId="76" fillId="54" borderId="159" xfId="0" applyFont="1" applyFill="1" applyBorder="1" applyAlignment="1">
      <alignment wrapText="1"/>
    </xf>
    <xf numFmtId="0" fontId="76" fillId="56" borderId="156" xfId="0" applyFont="1" applyFill="1" applyBorder="1" applyAlignment="1">
      <alignment wrapText="1"/>
    </xf>
    <xf numFmtId="0" fontId="76" fillId="56" borderId="0" xfId="0" applyFont="1" applyFill="1" applyBorder="1" applyAlignment="1">
      <alignment wrapText="1"/>
    </xf>
    <xf numFmtId="0" fontId="76" fillId="57" borderId="163" xfId="0" applyFont="1" applyFill="1" applyBorder="1" applyAlignment="1">
      <alignment wrapText="1"/>
    </xf>
    <xf numFmtId="0" fontId="76" fillId="57" borderId="140" xfId="0" applyFont="1" applyFill="1" applyBorder="1" applyAlignment="1">
      <alignment wrapText="1"/>
    </xf>
    <xf numFmtId="0" fontId="76" fillId="55" borderId="160" xfId="0" applyFont="1" applyFill="1" applyBorder="1" applyAlignment="1">
      <alignment wrapText="1"/>
    </xf>
    <xf numFmtId="0" fontId="0" fillId="0" borderId="161" xfId="0" applyFont="1" applyBorder="1" applyAlignment="1">
      <alignment horizontal="left" vertical="center" wrapText="1"/>
    </xf>
    <xf numFmtId="0" fontId="76" fillId="55" borderId="162" xfId="0" applyFont="1" applyFill="1" applyBorder="1" applyAlignment="1">
      <alignment wrapText="1"/>
    </xf>
    <xf numFmtId="164" fontId="129" fillId="0" borderId="153" xfId="0" applyNumberFormat="1" applyFont="1" applyBorder="1"/>
    <xf numFmtId="164" fontId="129" fillId="0" borderId="152" xfId="0" applyNumberFormat="1" applyFont="1" applyBorder="1"/>
    <xf numFmtId="0" fontId="129" fillId="0" borderId="164" xfId="0" applyFont="1" applyBorder="1" applyAlignment="1">
      <alignment horizontal="left"/>
    </xf>
    <xf numFmtId="164" fontId="3" fillId="0" borderId="59" xfId="4" applyNumberFormat="1" applyFont="1" applyBorder="1"/>
    <xf numFmtId="0" fontId="78" fillId="0" borderId="0" xfId="0" applyFont="1" applyFill="1"/>
    <xf numFmtId="0" fontId="134" fillId="0" borderId="0" xfId="0" applyNumberFormat="1" applyFont="1" applyFill="1" applyAlignment="1">
      <alignment horizontal="left" vertical="center" readingOrder="1"/>
    </xf>
    <xf numFmtId="0" fontId="69" fillId="37" borderId="0" xfId="0" applyFont="1" applyFill="1"/>
    <xf numFmtId="0" fontId="22" fillId="37" borderId="0" xfId="0" applyFont="1" applyFill="1"/>
    <xf numFmtId="0" fontId="0" fillId="0" borderId="0" xfId="0" applyAlignment="1">
      <alignment horizontal="center" vertical="center" wrapText="1"/>
    </xf>
    <xf numFmtId="169" fontId="73" fillId="0" borderId="0" xfId="1" applyNumberFormat="1" applyFont="1"/>
    <xf numFmtId="0" fontId="25" fillId="0" borderId="0" xfId="0" applyFont="1" applyAlignment="1">
      <alignment horizontal="center" vertical="center" wrapText="1"/>
    </xf>
    <xf numFmtId="0" fontId="72" fillId="0" borderId="97" xfId="0" applyFont="1" applyFill="1" applyBorder="1" applyAlignment="1">
      <alignment horizontal="center" vertical="center" wrapText="1"/>
    </xf>
    <xf numFmtId="0" fontId="72" fillId="0" borderId="141" xfId="0" applyFont="1" applyFill="1" applyBorder="1" applyAlignment="1">
      <alignment horizontal="center" vertical="center" wrapText="1"/>
    </xf>
    <xf numFmtId="1" fontId="72" fillId="0" borderId="141" xfId="0" applyNumberFormat="1" applyFont="1" applyFill="1" applyBorder="1" applyAlignment="1">
      <alignment horizontal="center" vertical="center" wrapText="1"/>
    </xf>
    <xf numFmtId="0" fontId="72" fillId="0" borderId="96" xfId="0" applyFont="1" applyFill="1" applyBorder="1" applyAlignment="1">
      <alignment horizontal="center" vertical="center" wrapText="1"/>
    </xf>
    <xf numFmtId="1" fontId="133" fillId="0" borderId="140" xfId="0" applyNumberFormat="1" applyFont="1" applyFill="1" applyBorder="1"/>
    <xf numFmtId="10" fontId="133" fillId="0" borderId="139" xfId="0" applyNumberFormat="1" applyFont="1" applyFill="1" applyBorder="1"/>
    <xf numFmtId="0" fontId="132" fillId="0" borderId="138" xfId="0" applyFont="1" applyFill="1" applyBorder="1" applyAlignment="1">
      <alignment horizontal="left"/>
    </xf>
    <xf numFmtId="1" fontId="136" fillId="52" borderId="140" xfId="0" applyNumberFormat="1" applyFont="1" applyFill="1" applyBorder="1"/>
    <xf numFmtId="1" fontId="136" fillId="58" borderId="140" xfId="0" applyNumberFormat="1" applyFont="1" applyFill="1" applyBorder="1"/>
    <xf numFmtId="0" fontId="135" fillId="58" borderId="166" xfId="0" applyFont="1" applyFill="1" applyBorder="1" applyAlignment="1">
      <alignment horizontal="left"/>
    </xf>
    <xf numFmtId="1" fontId="136" fillId="52" borderId="167" xfId="0" applyNumberFormat="1" applyFont="1" applyFill="1" applyBorder="1"/>
    <xf numFmtId="1" fontId="136" fillId="58" borderId="167" xfId="0" applyNumberFormat="1" applyFont="1" applyFill="1" applyBorder="1"/>
    <xf numFmtId="0" fontId="133" fillId="58" borderId="168" xfId="0" applyFont="1" applyFill="1" applyBorder="1" applyAlignment="1">
      <alignment horizontal="left"/>
    </xf>
    <xf numFmtId="1" fontId="133" fillId="52" borderId="169" xfId="0" applyNumberFormat="1" applyFont="1" applyFill="1" applyBorder="1"/>
    <xf numFmtId="1" fontId="133" fillId="52" borderId="170" xfId="0" applyNumberFormat="1" applyFont="1" applyFill="1" applyBorder="1"/>
    <xf numFmtId="0" fontId="135" fillId="58" borderId="168" xfId="0" applyFont="1" applyFill="1" applyBorder="1"/>
    <xf numFmtId="0" fontId="135" fillId="52" borderId="169" xfId="0" applyFont="1" applyFill="1" applyBorder="1"/>
    <xf numFmtId="0" fontId="135" fillId="52" borderId="170" xfId="0" applyFont="1" applyFill="1" applyBorder="1"/>
    <xf numFmtId="165" fontId="17" fillId="0" borderId="0" xfId="0" applyNumberFormat="1" applyFont="1" applyFill="1" applyAlignment="1">
      <alignment horizontal="left" vertical="center" readingOrder="1"/>
    </xf>
    <xf numFmtId="49" fontId="17" fillId="0" borderId="0" xfId="0" applyNumberFormat="1" applyFont="1" applyFill="1" applyAlignment="1">
      <alignment horizontal="left" vertical="center" readingOrder="1"/>
    </xf>
    <xf numFmtId="0" fontId="137" fillId="0" borderId="0" xfId="0" applyFont="1"/>
    <xf numFmtId="9" fontId="137" fillId="0" borderId="0" xfId="0" applyNumberFormat="1" applyFont="1"/>
    <xf numFmtId="9" fontId="0" fillId="0" borderId="0" xfId="1" applyFont="1"/>
    <xf numFmtId="9" fontId="9" fillId="0" borderId="0" xfId="1" applyFont="1"/>
    <xf numFmtId="164" fontId="113" fillId="12" borderId="38" xfId="4" applyNumberFormat="1" applyFont="1" applyFill="1" applyBorder="1" applyAlignment="1">
      <alignment vertical="center"/>
    </xf>
    <xf numFmtId="9" fontId="73" fillId="0" borderId="0" xfId="1" applyFont="1"/>
    <xf numFmtId="0" fontId="138" fillId="0" borderId="138" xfId="0" applyFont="1" applyFill="1" applyBorder="1" applyAlignment="1">
      <alignment horizontal="left"/>
    </xf>
    <xf numFmtId="164" fontId="133" fillId="0" borderId="140" xfId="0" applyNumberFormat="1" applyFont="1" applyFill="1" applyBorder="1"/>
    <xf numFmtId="1" fontId="139" fillId="0" borderId="140" xfId="0" applyNumberFormat="1" applyFont="1" applyFill="1" applyBorder="1" applyAlignment="1">
      <alignment horizontal="right" vertical="center" wrapText="1"/>
    </xf>
    <xf numFmtId="164" fontId="139" fillId="0" borderId="140" xfId="4" applyNumberFormat="1" applyFont="1" applyFill="1" applyBorder="1" applyAlignment="1">
      <alignment horizontal="right" vertical="center" wrapText="1"/>
    </xf>
    <xf numFmtId="10" fontId="139" fillId="0" borderId="139" xfId="0" applyNumberFormat="1" applyFont="1" applyFill="1" applyBorder="1" applyAlignment="1">
      <alignment horizontal="right" vertical="center" wrapText="1"/>
    </xf>
    <xf numFmtId="1" fontId="139" fillId="0" borderId="140" xfId="0" applyNumberFormat="1" applyFont="1" applyFill="1" applyBorder="1" applyAlignment="1">
      <alignment horizontal="right"/>
    </xf>
    <xf numFmtId="164" fontId="139" fillId="0" borderId="140" xfId="4" applyNumberFormat="1" applyFont="1" applyFill="1" applyBorder="1" applyAlignment="1">
      <alignment horizontal="right"/>
    </xf>
    <xf numFmtId="10" fontId="139" fillId="0" borderId="139" xfId="0" applyNumberFormat="1" applyFont="1" applyFill="1" applyBorder="1" applyAlignment="1">
      <alignment horizontal="right"/>
    </xf>
    <xf numFmtId="1" fontId="139" fillId="0" borderId="139" xfId="0" applyNumberFormat="1" applyFont="1" applyFill="1" applyBorder="1" applyAlignment="1">
      <alignment horizontal="right" vertical="center" wrapText="1"/>
    </xf>
    <xf numFmtId="1" fontId="139" fillId="0" borderId="139" xfId="0" applyNumberFormat="1" applyFont="1" applyFill="1" applyBorder="1" applyAlignment="1">
      <alignment horizontal="right"/>
    </xf>
    <xf numFmtId="1" fontId="133" fillId="0" borderId="139" xfId="0" applyNumberFormat="1" applyFont="1" applyFill="1" applyBorder="1"/>
    <xf numFmtId="167" fontId="140" fillId="0" borderId="0" xfId="0" applyNumberFormat="1" applyFont="1" applyFill="1" applyAlignment="1">
      <alignment horizontal="left" vertical="center" readingOrder="1"/>
    </xf>
    <xf numFmtId="0" fontId="140" fillId="0" borderId="0" xfId="1" applyNumberFormat="1" applyFont="1" applyFill="1" applyBorder="1" applyAlignment="1">
      <alignment horizontal="left" vertical="center" readingOrder="1"/>
    </xf>
    <xf numFmtId="164" fontId="140" fillId="0" borderId="0" xfId="4" applyNumberFormat="1" applyFont="1" applyFill="1" applyAlignment="1">
      <alignment horizontal="left" vertical="center" readingOrder="1"/>
    </xf>
    <xf numFmtId="168" fontId="140" fillId="0" borderId="0" xfId="0" applyNumberFormat="1" applyFont="1" applyFill="1" applyAlignment="1">
      <alignment horizontal="left" vertical="center" readingOrder="1"/>
    </xf>
    <xf numFmtId="165" fontId="140" fillId="0" borderId="0" xfId="0" applyNumberFormat="1" applyFont="1" applyFill="1" applyAlignment="1">
      <alignment horizontal="left" vertical="center" readingOrder="1"/>
    </xf>
    <xf numFmtId="1" fontId="140" fillId="0" borderId="0" xfId="0" applyNumberFormat="1" applyFont="1" applyFill="1" applyAlignment="1">
      <alignment horizontal="left" vertical="center" readingOrder="1"/>
    </xf>
    <xf numFmtId="49" fontId="140" fillId="0" borderId="0" xfId="4" applyNumberFormat="1" applyFont="1" applyFill="1" applyAlignment="1">
      <alignment horizontal="left" vertical="center" readingOrder="1"/>
    </xf>
    <xf numFmtId="9" fontId="140" fillId="0" borderId="0" xfId="1" applyFont="1" applyFill="1" applyAlignment="1">
      <alignment horizontal="left" vertical="center" readingOrder="1"/>
    </xf>
    <xf numFmtId="49" fontId="140" fillId="0" borderId="0" xfId="1" applyNumberFormat="1" applyFont="1" applyFill="1" applyAlignment="1">
      <alignment horizontal="left" vertical="center" readingOrder="1"/>
    </xf>
    <xf numFmtId="49" fontId="140" fillId="0" borderId="0" xfId="0" applyNumberFormat="1" applyFont="1" applyFill="1" applyAlignment="1">
      <alignment horizontal="left" vertical="center" readingOrder="1"/>
    </xf>
    <xf numFmtId="9" fontId="140" fillId="0" borderId="0" xfId="1" applyNumberFormat="1" applyFont="1" applyFill="1" applyAlignment="1">
      <alignment horizontal="left" vertical="center" readingOrder="1"/>
    </xf>
    <xf numFmtId="1" fontId="140" fillId="0" borderId="0" xfId="1" applyNumberFormat="1" applyFont="1" applyFill="1" applyAlignment="1">
      <alignment horizontal="left" vertical="center" readingOrder="1"/>
    </xf>
    <xf numFmtId="9" fontId="140" fillId="0" borderId="0" xfId="0" applyNumberFormat="1" applyFont="1" applyFill="1" applyAlignment="1">
      <alignment horizontal="left" vertical="center" readingOrder="1"/>
    </xf>
    <xf numFmtId="0" fontId="140" fillId="0" borderId="0" xfId="1" applyNumberFormat="1" applyFont="1" applyFill="1" applyAlignment="1">
      <alignment horizontal="left" vertical="center" readingOrder="1"/>
    </xf>
    <xf numFmtId="0" fontId="140" fillId="0" borderId="0" xfId="0" applyNumberFormat="1" applyFont="1" applyFill="1" applyAlignment="1">
      <alignment horizontal="left" vertical="center" readingOrder="1"/>
    </xf>
    <xf numFmtId="9" fontId="24" fillId="0" borderId="0" xfId="1" applyFont="1" applyFill="1" applyAlignment="1">
      <alignment horizontal="left" vertical="center" readingOrder="1"/>
    </xf>
    <xf numFmtId="49" fontId="17" fillId="0" borderId="0" xfId="0" applyNumberFormat="1" applyFont="1" applyFill="1" applyAlignment="1">
      <alignment horizontal="left" vertical="center" wrapText="1" readingOrder="1"/>
    </xf>
    <xf numFmtId="164" fontId="141" fillId="10" borderId="38" xfId="4" applyNumberFormat="1" applyFont="1" applyFill="1" applyBorder="1" applyAlignment="1">
      <alignment horizontal="center" vertical="center"/>
    </xf>
    <xf numFmtId="164" fontId="141" fillId="7" borderId="38" xfId="4" applyNumberFormat="1" applyFont="1" applyFill="1" applyBorder="1" applyAlignment="1">
      <alignment horizontal="center" vertical="center"/>
    </xf>
    <xf numFmtId="164" fontId="59" fillId="10" borderId="0" xfId="4" applyNumberFormat="1" applyFont="1" applyFill="1" applyBorder="1" applyAlignment="1">
      <alignment vertical="center" wrapText="1"/>
    </xf>
    <xf numFmtId="164" fontId="59" fillId="10" borderId="171" xfId="4" applyNumberFormat="1" applyFont="1" applyFill="1" applyBorder="1" applyAlignment="1">
      <alignment horizontal="center" vertical="center"/>
    </xf>
    <xf numFmtId="164" fontId="113" fillId="7" borderId="171" xfId="4" applyNumberFormat="1" applyFont="1" applyFill="1" applyBorder="1" applyAlignment="1">
      <alignment horizontal="center" vertical="center"/>
    </xf>
    <xf numFmtId="164" fontId="113" fillId="11" borderId="171" xfId="4" applyNumberFormat="1" applyFont="1" applyFill="1" applyBorder="1" applyAlignment="1">
      <alignment horizontal="center" vertical="center"/>
    </xf>
    <xf numFmtId="1" fontId="27" fillId="9" borderId="0" xfId="0" applyNumberFormat="1" applyFont="1" applyFill="1" applyBorder="1" applyAlignment="1">
      <alignment horizontal="center" vertical="center" wrapText="1"/>
    </xf>
    <xf numFmtId="1" fontId="99" fillId="9" borderId="0" xfId="0" applyNumberFormat="1" applyFont="1" applyFill="1" applyBorder="1" applyAlignment="1">
      <alignment vertical="top" wrapText="1"/>
    </xf>
    <xf numFmtId="164" fontId="58" fillId="34" borderId="14" xfId="4" applyNumberFormat="1" applyFont="1" applyFill="1" applyBorder="1" applyAlignment="1">
      <alignment horizontal="left" vertical="center" wrapText="1" readingOrder="1"/>
    </xf>
    <xf numFmtId="0" fontId="142" fillId="0" borderId="0" xfId="0" pivotButton="1" applyFont="1"/>
    <xf numFmtId="0" fontId="142" fillId="0" borderId="0" xfId="0" applyFont="1"/>
    <xf numFmtId="0" fontId="142" fillId="0" borderId="0" xfId="0" applyFont="1" applyAlignment="1">
      <alignment horizontal="left"/>
    </xf>
    <xf numFmtId="0" fontId="142" fillId="0" borderId="0" xfId="0" applyNumberFormat="1" applyFont="1"/>
    <xf numFmtId="0" fontId="143" fillId="0" borderId="0" xfId="0" pivotButton="1" applyFont="1"/>
    <xf numFmtId="0" fontId="143" fillId="0" borderId="0" xfId="0" applyFont="1"/>
    <xf numFmtId="0" fontId="143" fillId="0" borderId="0" xfId="0" applyFont="1" applyAlignment="1">
      <alignment horizontal="left"/>
    </xf>
    <xf numFmtId="0" fontId="143" fillId="0" borderId="0" xfId="0" applyNumberFormat="1" applyFont="1"/>
    <xf numFmtId="1" fontId="143" fillId="0" borderId="0" xfId="0" applyNumberFormat="1" applyFont="1"/>
    <xf numFmtId="0" fontId="143" fillId="0" borderId="0" xfId="0" pivotButton="1" applyFont="1" applyAlignment="1">
      <alignment wrapText="1"/>
    </xf>
    <xf numFmtId="0" fontId="143" fillId="0" borderId="0" xfId="0" applyFont="1" applyAlignment="1">
      <alignment wrapText="1"/>
    </xf>
    <xf numFmtId="164" fontId="143" fillId="0" borderId="0" xfId="0" applyNumberFormat="1" applyFont="1"/>
    <xf numFmtId="9" fontId="143" fillId="0" borderId="0" xfId="0" applyNumberFormat="1" applyFont="1"/>
    <xf numFmtId="0" fontId="144" fillId="29" borderId="0" xfId="0" applyFont="1" applyFill="1"/>
    <xf numFmtId="3" fontId="143" fillId="0" borderId="0" xfId="0" applyNumberFormat="1" applyFont="1"/>
    <xf numFmtId="0" fontId="142" fillId="0" borderId="0" xfId="0" applyFont="1" applyAlignment="1">
      <alignment wrapText="1"/>
    </xf>
    <xf numFmtId="0" fontId="144" fillId="29" borderId="0" xfId="0" applyFont="1" applyFill="1" applyAlignment="1">
      <alignment horizontal="left" vertical="center" wrapText="1"/>
    </xf>
    <xf numFmtId="0" fontId="144" fillId="40" borderId="0" xfId="0" applyFont="1" applyFill="1"/>
    <xf numFmtId="0" fontId="143" fillId="0" borderId="0" xfId="0" pivotButton="1" applyFont="1" applyAlignment="1">
      <alignment horizontal="center" wrapText="1"/>
    </xf>
    <xf numFmtId="0" fontId="143" fillId="0" borderId="0" xfId="0" pivotButton="1" applyFont="1" applyAlignment="1">
      <alignment horizontal="center" vertical="center" wrapText="1"/>
    </xf>
    <xf numFmtId="0" fontId="144" fillId="40" borderId="0" xfId="0" applyFont="1" applyFill="1" applyAlignment="1"/>
    <xf numFmtId="10" fontId="143" fillId="0" borderId="0" xfId="0" applyNumberFormat="1" applyFont="1"/>
    <xf numFmtId="9" fontId="143" fillId="0" borderId="0" xfId="0" pivotButton="1" applyNumberFormat="1" applyFont="1"/>
    <xf numFmtId="0" fontId="144" fillId="40" borderId="0" xfId="0" applyFont="1" applyFill="1" applyAlignment="1">
      <alignment wrapText="1"/>
    </xf>
    <xf numFmtId="3" fontId="142" fillId="0" borderId="0" xfId="0" applyNumberFormat="1" applyFont="1"/>
    <xf numFmtId="164" fontId="145" fillId="14" borderId="0" xfId="0" applyNumberFormat="1" applyFont="1" applyFill="1"/>
    <xf numFmtId="164" fontId="145" fillId="8" borderId="0" xfId="0" applyNumberFormat="1" applyFont="1" applyFill="1"/>
    <xf numFmtId="164" fontId="145" fillId="9" borderId="0" xfId="0" applyNumberFormat="1" applyFont="1" applyFill="1"/>
    <xf numFmtId="164" fontId="145" fillId="26" borderId="0" xfId="0" applyNumberFormat="1" applyFont="1" applyFill="1"/>
    <xf numFmtId="0" fontId="145" fillId="14" borderId="0" xfId="0" applyFont="1" applyFill="1" applyAlignment="1">
      <alignment horizontal="center"/>
    </xf>
    <xf numFmtId="0" fontId="145" fillId="26" borderId="0" xfId="0" applyFont="1" applyFill="1" applyAlignment="1">
      <alignment horizontal="center" vertical="center" wrapText="1"/>
    </xf>
    <xf numFmtId="0" fontId="145" fillId="14" borderId="0" xfId="0" applyFont="1" applyFill="1" applyAlignment="1">
      <alignment horizontal="center" vertical="center"/>
    </xf>
    <xf numFmtId="0" fontId="145" fillId="8" borderId="0" xfId="0" applyFont="1" applyFill="1" applyAlignment="1">
      <alignment horizontal="center" vertical="center"/>
    </xf>
    <xf numFmtId="0" fontId="145" fillId="9" borderId="0" xfId="0" applyFont="1" applyFill="1" applyAlignment="1">
      <alignment horizontal="center" vertical="center"/>
    </xf>
    <xf numFmtId="164" fontId="146" fillId="12" borderId="0" xfId="0" applyNumberFormat="1" applyFont="1" applyFill="1"/>
    <xf numFmtId="0" fontId="146" fillId="12" borderId="0" xfId="0" applyFont="1" applyFill="1" applyAlignment="1">
      <alignment horizontal="center" vertical="center" wrapText="1"/>
    </xf>
    <xf numFmtId="0" fontId="146" fillId="12" borderId="0" xfId="0" applyFont="1" applyFill="1" applyAlignment="1">
      <alignment vertical="center" wrapText="1"/>
    </xf>
    <xf numFmtId="0" fontId="142" fillId="0" borderId="0" xfId="0" pivotButton="1" applyFont="1" applyAlignment="1">
      <alignment horizontal="center" vertical="center" wrapText="1"/>
    </xf>
    <xf numFmtId="0" fontId="143" fillId="0" borderId="172" xfId="0" applyNumberFormat="1" applyFont="1" applyBorder="1"/>
    <xf numFmtId="0" fontId="143" fillId="0" borderId="173" xfId="0" applyNumberFormat="1" applyFont="1" applyBorder="1"/>
    <xf numFmtId="0" fontId="143" fillId="0" borderId="174" xfId="0" applyNumberFormat="1" applyFont="1" applyBorder="1"/>
    <xf numFmtId="169" fontId="59" fillId="0" borderId="67" xfId="0" applyNumberFormat="1" applyFont="1" applyFill="1" applyBorder="1" applyAlignment="1">
      <alignment horizontal="center" vertical="center"/>
    </xf>
    <xf numFmtId="169" fontId="60" fillId="0" borderId="75" xfId="1" applyNumberFormat="1" applyFont="1" applyFill="1" applyBorder="1" applyAlignment="1">
      <alignment horizontal="center" vertical="center"/>
    </xf>
    <xf numFmtId="169" fontId="143" fillId="0" borderId="0" xfId="0" applyNumberFormat="1" applyFont="1"/>
    <xf numFmtId="0" fontId="76" fillId="53" borderId="175" xfId="0" applyFont="1" applyFill="1" applyBorder="1" applyAlignment="1">
      <alignment wrapText="1"/>
    </xf>
    <xf numFmtId="0" fontId="140" fillId="0" borderId="0" xfId="0" applyFont="1" applyFill="1" applyAlignment="1">
      <alignment horizontal="left" vertical="center" readingOrder="1"/>
    </xf>
    <xf numFmtId="0" fontId="140" fillId="0" borderId="0" xfId="0" applyFont="1" applyFill="1" applyBorder="1" applyAlignment="1">
      <alignment horizontal="left" vertical="center" readingOrder="1"/>
    </xf>
    <xf numFmtId="166" fontId="29" fillId="15" borderId="5" xfId="8" applyFont="1" applyFill="1" applyBorder="1" applyAlignment="1">
      <alignment horizontal="center" vertical="center"/>
    </xf>
    <xf numFmtId="166" fontId="29" fillId="15" borderId="6" xfId="8" applyFont="1" applyFill="1" applyBorder="1" applyAlignment="1">
      <alignment horizontal="center" vertical="center"/>
    </xf>
    <xf numFmtId="166" fontId="29" fillId="15" borderId="7" xfId="8" applyFont="1" applyFill="1" applyBorder="1" applyAlignment="1">
      <alignment horizontal="center" vertical="center"/>
    </xf>
    <xf numFmtId="166" fontId="6" fillId="20" borderId="0" xfId="8" applyFont="1" applyFill="1" applyBorder="1" applyAlignment="1">
      <alignment horizontal="left" wrapText="1"/>
    </xf>
    <xf numFmtId="166" fontId="13" fillId="20" borderId="0" xfId="8" applyFill="1" applyBorder="1" applyAlignment="1">
      <alignment horizontal="left" wrapText="1"/>
    </xf>
    <xf numFmtId="166" fontId="13" fillId="20" borderId="9" xfId="8" applyFill="1" applyBorder="1" applyAlignment="1">
      <alignment horizontal="left" wrapText="1"/>
    </xf>
    <xf numFmtId="0" fontId="27" fillId="5" borderId="93" xfId="0" applyFont="1" applyFill="1" applyBorder="1" applyAlignment="1">
      <alignment horizontal="center" vertical="center" wrapText="1"/>
    </xf>
    <xf numFmtId="0" fontId="27" fillId="5" borderId="88" xfId="0" applyFont="1" applyFill="1" applyBorder="1" applyAlignment="1">
      <alignment horizontal="center" vertical="center" wrapText="1"/>
    </xf>
    <xf numFmtId="0" fontId="27" fillId="5" borderId="86" xfId="0" applyFont="1" applyFill="1" applyBorder="1" applyAlignment="1">
      <alignment horizontal="center" vertical="center" wrapText="1"/>
    </xf>
    <xf numFmtId="0" fontId="27" fillId="5" borderId="89" xfId="0" applyFont="1" applyFill="1" applyBorder="1" applyAlignment="1">
      <alignment horizontal="center" vertical="center" wrapText="1"/>
    </xf>
    <xf numFmtId="0" fontId="16" fillId="44" borderId="82" xfId="22" applyNumberFormat="1" applyFont="1" applyFill="1" applyBorder="1" applyAlignment="1">
      <alignment horizontal="center" vertical="center"/>
    </xf>
    <xf numFmtId="0" fontId="16" fillId="44" borderId="78" xfId="22" applyNumberFormat="1" applyFont="1" applyFill="1" applyBorder="1" applyAlignment="1">
      <alignment horizontal="center" vertical="center"/>
    </xf>
    <xf numFmtId="0" fontId="27" fillId="5" borderId="115" xfId="0" applyFont="1" applyFill="1" applyBorder="1" applyAlignment="1">
      <alignment horizontal="center" vertical="center"/>
    </xf>
    <xf numFmtId="0" fontId="27" fillId="5" borderId="116" xfId="0" applyFont="1" applyFill="1" applyBorder="1" applyAlignment="1">
      <alignment horizontal="center" vertical="center"/>
    </xf>
    <xf numFmtId="0" fontId="27" fillId="5" borderId="117" xfId="0" applyFont="1" applyFill="1" applyBorder="1" applyAlignment="1">
      <alignment horizontal="center" vertical="center"/>
    </xf>
    <xf numFmtId="0" fontId="27" fillId="5" borderId="88" xfId="0" applyFont="1" applyFill="1" applyBorder="1" applyAlignment="1">
      <alignment horizontal="center" vertical="center"/>
    </xf>
    <xf numFmtId="0" fontId="27" fillId="5" borderId="86" xfId="0" applyFont="1" applyFill="1" applyBorder="1" applyAlignment="1">
      <alignment horizontal="center" vertical="center"/>
    </xf>
    <xf numFmtId="0" fontId="27" fillId="5" borderId="89" xfId="0" applyFont="1" applyFill="1" applyBorder="1" applyAlignment="1">
      <alignment horizontal="center" vertical="center"/>
    </xf>
    <xf numFmtId="0" fontId="32" fillId="5" borderId="93" xfId="0" applyFont="1" applyFill="1" applyBorder="1" applyAlignment="1">
      <alignment horizontal="center" vertical="center" wrapText="1"/>
    </xf>
    <xf numFmtId="0" fontId="27" fillId="5" borderId="94" xfId="0" applyFont="1" applyFill="1" applyBorder="1" applyAlignment="1">
      <alignment horizontal="center" vertical="center" wrapText="1"/>
    </xf>
    <xf numFmtId="0" fontId="27" fillId="5" borderId="95" xfId="0" applyFont="1" applyFill="1" applyBorder="1" applyAlignment="1">
      <alignment horizontal="center" vertical="center" wrapText="1"/>
    </xf>
    <xf numFmtId="0" fontId="27" fillId="5" borderId="96" xfId="0" applyFont="1" applyFill="1" applyBorder="1" applyAlignment="1">
      <alignment horizontal="center" vertical="center" wrapText="1"/>
    </xf>
    <xf numFmtId="0" fontId="27" fillId="5" borderId="97" xfId="0" applyFont="1" applyFill="1" applyBorder="1" applyAlignment="1">
      <alignment horizontal="center" vertical="center" wrapText="1"/>
    </xf>
    <xf numFmtId="9" fontId="24" fillId="27" borderId="165" xfId="19" applyNumberFormat="1" applyFont="1" applyFill="1" applyBorder="1" applyAlignment="1">
      <alignment horizontal="center" vertical="center" wrapText="1" readingOrder="1"/>
    </xf>
    <xf numFmtId="9" fontId="24" fillId="27" borderId="0" xfId="19" applyNumberFormat="1" applyFont="1" applyFill="1" applyBorder="1" applyAlignment="1">
      <alignment horizontal="center" vertical="center" wrapText="1" readingOrder="1"/>
    </xf>
    <xf numFmtId="0" fontId="27" fillId="8" borderId="87" xfId="0" applyFont="1" applyFill="1" applyBorder="1" applyAlignment="1">
      <alignment horizontal="center" vertical="center" wrapText="1"/>
    </xf>
    <xf numFmtId="0" fontId="27" fillId="8" borderId="93" xfId="0" applyFont="1" applyFill="1" applyBorder="1" applyAlignment="1">
      <alignment horizontal="center" vertical="center" wrapText="1"/>
    </xf>
    <xf numFmtId="0" fontId="27" fillId="8" borderId="98" xfId="0" applyFont="1" applyFill="1" applyBorder="1" applyAlignment="1">
      <alignment horizontal="center" vertical="center" wrapText="1"/>
    </xf>
    <xf numFmtId="0" fontId="27" fillId="8" borderId="99" xfId="0" applyFont="1" applyFill="1" applyBorder="1" applyAlignment="1">
      <alignment horizontal="center" vertical="center" wrapText="1"/>
    </xf>
    <xf numFmtId="0" fontId="27" fillId="8" borderId="100" xfId="0" applyFont="1" applyFill="1" applyBorder="1" applyAlignment="1">
      <alignment horizontal="center" vertical="center" wrapText="1"/>
    </xf>
    <xf numFmtId="0" fontId="27" fillId="8" borderId="101" xfId="0" applyFont="1" applyFill="1" applyBorder="1" applyAlignment="1">
      <alignment horizontal="center" vertical="center" wrapText="1"/>
    </xf>
    <xf numFmtId="0" fontId="27" fillId="5" borderId="102" xfId="0" applyFont="1" applyFill="1" applyBorder="1" applyAlignment="1">
      <alignment horizontal="center" vertical="center"/>
    </xf>
    <xf numFmtId="0" fontId="27" fillId="5" borderId="103" xfId="0" applyFont="1" applyFill="1" applyBorder="1" applyAlignment="1">
      <alignment horizontal="center" vertical="center"/>
    </xf>
    <xf numFmtId="0" fontId="27" fillId="8" borderId="86" xfId="0" applyFont="1" applyFill="1" applyBorder="1" applyAlignment="1">
      <alignment horizontal="center" vertical="center" wrapText="1"/>
    </xf>
    <xf numFmtId="0" fontId="27" fillId="5" borderId="108" xfId="0" applyFont="1" applyFill="1" applyBorder="1" applyAlignment="1">
      <alignment horizontal="center" vertical="center" wrapText="1"/>
    </xf>
    <xf numFmtId="0" fontId="27" fillId="5" borderId="109" xfId="0" applyFont="1" applyFill="1" applyBorder="1" applyAlignment="1">
      <alignment horizontal="center" vertical="center" wrapText="1"/>
    </xf>
    <xf numFmtId="0" fontId="27" fillId="5" borderId="100" xfId="0" applyFont="1" applyFill="1" applyBorder="1" applyAlignment="1">
      <alignment horizontal="center" vertical="center" wrapText="1"/>
    </xf>
    <xf numFmtId="0" fontId="27" fillId="5" borderId="101" xfId="0" applyFont="1" applyFill="1" applyBorder="1" applyAlignment="1">
      <alignment horizontal="center" vertical="center" wrapText="1"/>
    </xf>
    <xf numFmtId="0" fontId="27" fillId="5" borderId="108" xfId="0" applyFont="1" applyFill="1" applyBorder="1" applyAlignment="1">
      <alignment horizontal="center" vertical="center"/>
    </xf>
    <xf numFmtId="0" fontId="27" fillId="5" borderId="109" xfId="0" applyFont="1" applyFill="1" applyBorder="1" applyAlignment="1">
      <alignment horizontal="center" vertical="center"/>
    </xf>
    <xf numFmtId="0" fontId="101" fillId="0" borderId="0" xfId="19" applyFont="1" applyAlignment="1">
      <alignment horizontal="left" vertical="center"/>
    </xf>
    <xf numFmtId="0" fontId="103" fillId="0" borderId="0" xfId="19" applyFont="1" applyAlignment="1">
      <alignment horizontal="left" vertical="center"/>
    </xf>
    <xf numFmtId="0" fontId="4" fillId="0" borderId="0" xfId="0" applyFont="1" applyAlignment="1">
      <alignment horizontal="center"/>
    </xf>
    <xf numFmtId="0" fontId="9" fillId="0" borderId="0" xfId="0" applyFont="1" applyAlignment="1">
      <alignment horizontal="center"/>
    </xf>
    <xf numFmtId="0" fontId="67" fillId="0" borderId="126" xfId="0" applyFont="1" applyBorder="1" applyAlignment="1">
      <alignment horizontal="center" vertical="center" wrapText="1"/>
    </xf>
    <xf numFmtId="0" fontId="67" fillId="0" borderId="127" xfId="0" applyFont="1" applyBorder="1" applyAlignment="1">
      <alignment horizontal="center" vertical="center" wrapText="1"/>
    </xf>
    <xf numFmtId="0" fontId="60" fillId="2" borderId="62" xfId="0" applyFont="1" applyFill="1" applyBorder="1" applyAlignment="1">
      <alignment horizontal="center"/>
    </xf>
    <xf numFmtId="0" fontId="60" fillId="2" borderId="63" xfId="0" applyFont="1" applyFill="1" applyBorder="1" applyAlignment="1">
      <alignment horizontal="center"/>
    </xf>
    <xf numFmtId="0" fontId="65" fillId="14" borderId="64" xfId="0" applyFont="1" applyFill="1" applyBorder="1" applyAlignment="1">
      <alignment horizontal="center" vertical="top" wrapText="1"/>
    </xf>
    <xf numFmtId="0" fontId="65" fillId="14" borderId="65" xfId="0" applyFont="1" applyFill="1" applyBorder="1" applyAlignment="1">
      <alignment horizontal="center" vertical="top" wrapText="1"/>
    </xf>
    <xf numFmtId="0" fontId="65" fillId="8" borderId="66" xfId="0" applyFont="1" applyFill="1" applyBorder="1" applyAlignment="1">
      <alignment horizontal="center" vertical="top" wrapText="1"/>
    </xf>
    <xf numFmtId="0" fontId="65" fillId="8" borderId="63" xfId="0" applyFont="1" applyFill="1" applyBorder="1" applyAlignment="1">
      <alignment horizontal="center" vertical="top" wrapText="1"/>
    </xf>
    <xf numFmtId="0" fontId="65" fillId="9" borderId="66" xfId="0" applyFont="1" applyFill="1" applyBorder="1" applyAlignment="1">
      <alignment horizontal="center" vertical="top" wrapText="1"/>
    </xf>
    <xf numFmtId="0" fontId="65" fillId="9" borderId="63" xfId="0" applyFont="1" applyFill="1" applyBorder="1" applyAlignment="1">
      <alignment horizontal="center" vertical="top" wrapText="1"/>
    </xf>
    <xf numFmtId="0" fontId="59" fillId="0" borderId="0" xfId="0" applyFont="1" applyFill="1" applyBorder="1" applyAlignment="1">
      <alignment horizontal="center" vertical="center"/>
    </xf>
    <xf numFmtId="0" fontId="128" fillId="45" borderId="124" xfId="0" applyFont="1" applyFill="1" applyBorder="1" applyAlignment="1">
      <alignment horizontal="center" vertical="center" wrapText="1"/>
    </xf>
    <xf numFmtId="0" fontId="128" fillId="45" borderId="0" xfId="0" applyFont="1" applyFill="1" applyBorder="1" applyAlignment="1">
      <alignment horizontal="center" vertical="center" wrapText="1"/>
    </xf>
    <xf numFmtId="0" fontId="65" fillId="14" borderId="121" xfId="0" applyFont="1" applyFill="1" applyBorder="1" applyAlignment="1">
      <alignment horizontal="center" vertical="center" wrapText="1"/>
    </xf>
    <xf numFmtId="0" fontId="65" fillId="14" borderId="122" xfId="0" applyFont="1" applyFill="1" applyBorder="1" applyAlignment="1">
      <alignment horizontal="center" vertical="center" wrapText="1"/>
    </xf>
    <xf numFmtId="0" fontId="65" fillId="14" borderId="123" xfId="0" applyFont="1" applyFill="1" applyBorder="1" applyAlignment="1">
      <alignment horizontal="center" vertical="center" wrapText="1"/>
    </xf>
    <xf numFmtId="0" fontId="113" fillId="12" borderId="121" xfId="0" applyFont="1" applyFill="1" applyBorder="1" applyAlignment="1">
      <alignment horizontal="center" vertical="top" wrapText="1"/>
    </xf>
    <xf numFmtId="0" fontId="113" fillId="12" borderId="122" xfId="0" applyFont="1" applyFill="1" applyBorder="1" applyAlignment="1">
      <alignment horizontal="center" vertical="top" wrapText="1"/>
    </xf>
    <xf numFmtId="0" fontId="113" fillId="12" borderId="123" xfId="0" applyFont="1" applyFill="1" applyBorder="1" applyAlignment="1">
      <alignment horizontal="center" vertical="top" wrapText="1"/>
    </xf>
    <xf numFmtId="0" fontId="65" fillId="36" borderId="121" xfId="0" applyFont="1" applyFill="1" applyBorder="1" applyAlignment="1">
      <alignment horizontal="center" vertical="top" wrapText="1"/>
    </xf>
    <xf numFmtId="0" fontId="65" fillId="36" borderId="122" xfId="0" applyFont="1" applyFill="1" applyBorder="1" applyAlignment="1">
      <alignment horizontal="center" vertical="top" wrapText="1"/>
    </xf>
    <xf numFmtId="0" fontId="65" fillId="36" borderId="123" xfId="0" applyFont="1" applyFill="1" applyBorder="1" applyAlignment="1">
      <alignment horizontal="center" vertical="top" wrapText="1"/>
    </xf>
    <xf numFmtId="0" fontId="65" fillId="8" borderId="121" xfId="0" applyFont="1" applyFill="1" applyBorder="1" applyAlignment="1">
      <alignment horizontal="center" vertical="top" wrapText="1"/>
    </xf>
    <xf numFmtId="0" fontId="65" fillId="8" borderId="122" xfId="0" applyFont="1" applyFill="1" applyBorder="1" applyAlignment="1">
      <alignment horizontal="center" vertical="top" wrapText="1"/>
    </xf>
    <xf numFmtId="0" fontId="65" fillId="8" borderId="123" xfId="0" applyFont="1" applyFill="1" applyBorder="1" applyAlignment="1">
      <alignment horizontal="center" vertical="top" wrapText="1"/>
    </xf>
    <xf numFmtId="0" fontId="113" fillId="12" borderId="128" xfId="0" applyFont="1" applyFill="1" applyBorder="1" applyAlignment="1">
      <alignment horizontal="center" vertical="top" wrapText="1"/>
    </xf>
    <xf numFmtId="0" fontId="84" fillId="41" borderId="0" xfId="0" applyFont="1" applyFill="1" applyAlignment="1">
      <alignment horizontal="center" vertical="center"/>
    </xf>
    <xf numFmtId="0" fontId="71" fillId="26" borderId="0" xfId="0" applyFont="1" applyFill="1" applyAlignment="1">
      <alignment horizontal="center" vertical="center" wrapText="1"/>
    </xf>
    <xf numFmtId="164" fontId="70" fillId="15" borderId="0" xfId="4" applyNumberFormat="1" applyFont="1" applyFill="1" applyAlignment="1">
      <alignment horizontal="center" vertical="center" wrapText="1"/>
    </xf>
  </cellXfs>
  <cellStyles count="43">
    <cellStyle name="Bad 2" xfId="24" xr:uid="{00000000-0005-0000-0000-000000000000}"/>
    <cellStyle name="Comma" xfId="4" builtinId="3"/>
    <cellStyle name="Comma 2" xfId="7" xr:uid="{00000000-0005-0000-0000-000002000000}"/>
    <cellStyle name="Comma 2 2" xfId="17" xr:uid="{00000000-0005-0000-0000-000003000000}"/>
    <cellStyle name="Comma 2 2 2" xfId="32" xr:uid="{00000000-0005-0000-0000-000003000000}"/>
    <cellStyle name="Comma 2 2 3" xfId="41" xr:uid="{00000000-0005-0000-0000-000003000000}"/>
    <cellStyle name="Comma 2 3" xfId="27" xr:uid="{00000000-0005-0000-0000-000002000000}"/>
    <cellStyle name="Comma 2 4" xfId="36" xr:uid="{00000000-0005-0000-0000-000001000000}"/>
    <cellStyle name="Comma 4" xfId="5" xr:uid="{00000000-0005-0000-0000-000004000000}"/>
    <cellStyle name="Good 2" xfId="23" xr:uid="{00000000-0005-0000-0000-000005000000}"/>
    <cellStyle name="Heading 1 2" xfId="13" xr:uid="{00000000-0005-0000-0000-000006000000}"/>
    <cellStyle name="Normal" xfId="0" builtinId="0"/>
    <cellStyle name="Normal 2" xfId="8" xr:uid="{00000000-0005-0000-0000-000008000000}"/>
    <cellStyle name="Normal 2 2" xfId="14" xr:uid="{00000000-0005-0000-0000-000009000000}"/>
    <cellStyle name="Normal 2 2 2" xfId="29" xr:uid="{00000000-0005-0000-0000-000009000000}"/>
    <cellStyle name="Normal 2 2 3" xfId="38" xr:uid="{00000000-0005-0000-0000-00001F000000}"/>
    <cellStyle name="Normal 2 3" xfId="18" xr:uid="{00000000-0005-0000-0000-00000A000000}"/>
    <cellStyle name="Normal 2 3 2" xfId="33" xr:uid="{00000000-0005-0000-0000-00000A000000}"/>
    <cellStyle name="Normal 2 3 3" xfId="42" xr:uid="{00000000-0005-0000-0000-000020000000}"/>
    <cellStyle name="Normal 2 4" xfId="22" xr:uid="{00000000-0005-0000-0000-00000B000000}"/>
    <cellStyle name="Normal 2 5" xfId="28" xr:uid="{00000000-0005-0000-0000-000008000000}"/>
    <cellStyle name="Normal 2 6" xfId="37" xr:uid="{00000000-0005-0000-0000-000005000000}"/>
    <cellStyle name="Normal 3" xfId="11" xr:uid="{00000000-0005-0000-0000-00000C000000}"/>
    <cellStyle name="Normal 3 2" xfId="19" xr:uid="{00000000-0005-0000-0000-00000D000000}"/>
    <cellStyle name="Normal 4" xfId="2" xr:uid="{00000000-0005-0000-0000-00000E000000}"/>
    <cellStyle name="Normal 4 2" xfId="15" xr:uid="{00000000-0005-0000-0000-00000F000000}"/>
    <cellStyle name="Normal 4 2 2" xfId="30" xr:uid="{00000000-0005-0000-0000-00000F000000}"/>
    <cellStyle name="Normal 4 2 3" xfId="39" xr:uid="{00000000-0005-0000-0000-000025000000}"/>
    <cellStyle name="Normal 4 3" xfId="25" xr:uid="{00000000-0005-0000-0000-00000E000000}"/>
    <cellStyle name="Normal 4 4" xfId="34" xr:uid="{00000000-0005-0000-0000-000006000000}"/>
    <cellStyle name="Normal_Sheet1" xfId="9" xr:uid="{00000000-0005-0000-0000-000010000000}"/>
    <cellStyle name="Normal_Sheet3_1" xfId="21" xr:uid="{00000000-0005-0000-0000-000011000000}"/>
    <cellStyle name="Normal_Township" xfId="10" xr:uid="{00000000-0005-0000-0000-000012000000}"/>
    <cellStyle name="Percent" xfId="1" builtinId="5"/>
    <cellStyle name="Percent 2" xfId="3" xr:uid="{00000000-0005-0000-0000-000014000000}"/>
    <cellStyle name="Percent 2 2" xfId="6" xr:uid="{00000000-0005-0000-0000-000015000000}"/>
    <cellStyle name="Percent 2 3" xfId="16" xr:uid="{00000000-0005-0000-0000-000016000000}"/>
    <cellStyle name="Percent 2 3 2" xfId="31" xr:uid="{00000000-0005-0000-0000-000016000000}"/>
    <cellStyle name="Percent 2 3 3" xfId="40" xr:uid="{00000000-0005-0000-0000-00002C000000}"/>
    <cellStyle name="Percent 2 4" xfId="26" xr:uid="{00000000-0005-0000-0000-000014000000}"/>
    <cellStyle name="Percent 2 5" xfId="35" xr:uid="{00000000-0005-0000-0000-000008000000}"/>
    <cellStyle name="Percent 3" xfId="12" xr:uid="{00000000-0005-0000-0000-000017000000}"/>
    <cellStyle name="Percent 3 2" xfId="20" xr:uid="{00000000-0005-0000-0000-000018000000}"/>
  </cellStyles>
  <dxfs count="980">
    <dxf>
      <font>
        <b val="0"/>
        <i val="0"/>
        <strike val="0"/>
        <condense val="0"/>
        <extend val="0"/>
        <outline val="0"/>
        <shadow val="0"/>
        <u val="none"/>
        <vertAlign val="baseline"/>
        <sz val="10"/>
        <color indexed="8"/>
        <name val="Corbel"/>
        <scheme val="none"/>
      </font>
      <fill>
        <patternFill patternType="none">
          <fgColor indexed="64"/>
          <bgColor indexed="65"/>
        </patternFill>
      </fill>
      <alignment horizontal="general" vertical="center" textRotation="0" wrapText="0" indent="0" justifyLastLine="0" shrinkToFit="0" readingOrder="0"/>
      <border diagonalUp="0" diagonalDown="0" outline="0">
        <left/>
        <right/>
        <top style="thin">
          <color theme="4" tint="0.39997558519241921"/>
        </top>
        <bottom style="thin">
          <color theme="4" tint="0.39997558519241921"/>
        </bottom>
      </border>
    </dxf>
    <dxf>
      <font>
        <b val="0"/>
        <i val="0"/>
        <strike val="0"/>
        <condense val="0"/>
        <extend val="0"/>
        <outline val="0"/>
        <shadow val="0"/>
        <u val="none"/>
        <vertAlign val="baseline"/>
        <sz val="10"/>
        <color indexed="8"/>
        <name val="Corbel"/>
        <scheme val="none"/>
      </font>
      <fill>
        <patternFill patternType="none">
          <fgColor indexed="64"/>
          <bgColor indexed="65"/>
        </patternFill>
      </fill>
      <alignment horizontal="general" vertical="center" textRotation="0" wrapText="0" indent="0" justifyLastLine="0" shrinkToFit="0" readingOrder="0"/>
      <border diagonalUp="0" diagonalDown="0" outline="0">
        <left/>
        <right/>
        <top style="thin">
          <color theme="4" tint="0.39997558519241921"/>
        </top>
        <bottom style="thin">
          <color theme="4" tint="0.39997558519241921"/>
        </bottom>
      </border>
    </dxf>
    <dxf>
      <border outline="0">
        <top style="thin">
          <color theme="4" tint="0.39997558519241921"/>
        </top>
        <bottom style="thin">
          <color theme="4" tint="0.39997558519241921"/>
        </bottom>
      </border>
    </dxf>
    <dxf>
      <font>
        <b val="0"/>
        <i val="0"/>
        <strike val="0"/>
        <condense val="0"/>
        <extend val="0"/>
        <outline val="0"/>
        <shadow val="0"/>
        <u val="none"/>
        <vertAlign val="baseline"/>
        <sz val="10"/>
        <color indexed="8"/>
        <name val="Corbel"/>
        <scheme val="none"/>
      </font>
      <fill>
        <patternFill patternType="none">
          <fgColor indexed="64"/>
          <bgColor indexed="65"/>
        </patternFill>
      </fill>
      <alignment horizontal="general" vertical="center" textRotation="0" wrapText="0" indent="0" justifyLastLine="0" shrinkToFit="0" readingOrder="0"/>
    </dxf>
    <dxf>
      <border outline="0">
        <bottom style="thin">
          <color theme="4" tint="0.39997558519241921"/>
        </bottom>
      </border>
    </dxf>
    <dxf>
      <font>
        <b val="0"/>
        <i val="0"/>
        <strike val="0"/>
        <condense val="0"/>
        <extend val="0"/>
        <outline val="0"/>
        <shadow val="0"/>
        <u val="none"/>
        <vertAlign val="baseline"/>
        <sz val="10"/>
        <color theme="1"/>
        <name val="Corbel"/>
        <scheme val="none"/>
      </font>
      <fill>
        <patternFill patternType="none">
          <fgColor indexed="64"/>
          <bgColor indexed="65"/>
        </patternFill>
      </fill>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color theme="0"/>
      </font>
    </dxf>
    <dxf>
      <fill>
        <patternFill patternType="solid">
          <bgColor theme="1"/>
        </patternFill>
      </fill>
    </dxf>
    <dxf>
      <alignment horizontal="center" readingOrder="0"/>
    </dxf>
    <dxf>
      <alignment horizontal="center" readingOrder="0"/>
    </dxf>
    <dxf>
      <alignment horizontal="center" readingOrder="0"/>
    </dxf>
    <dxf>
      <alignment vertical="center" readingOrder="0"/>
    </dxf>
    <dxf>
      <alignment vertical="center" readingOrder="0"/>
    </dxf>
    <dxf>
      <alignment vertical="center" readingOrder="0"/>
    </dxf>
    <dxf>
      <alignment wrapText="1" readingOrder="0"/>
    </dxf>
    <dxf>
      <alignment wrapText="1" readingOrder="0"/>
    </dxf>
    <dxf>
      <alignment wrapText="1" readingOrder="0"/>
    </dxf>
    <dxf>
      <font>
        <b/>
        <i val="0"/>
        <strike val="0"/>
        <condense val="0"/>
        <extend val="0"/>
        <outline val="0"/>
        <shadow val="0"/>
        <u val="none"/>
        <vertAlign val="baseline"/>
        <sz val="11"/>
        <color theme="6" tint="-0.249977111117893"/>
        <name val="Calibri"/>
        <family val="2"/>
        <scheme val="minor"/>
      </font>
      <numFmt numFmtId="1" formatCode="0"/>
      <fill>
        <patternFill patternType="none">
          <fgColor indexed="64"/>
          <bgColor indexed="65"/>
        </patternFill>
      </fill>
      <border diagonalUp="0" diagonalDown="0" outline="0">
        <left style="thin">
          <color theme="0"/>
        </left>
        <right/>
        <top/>
        <bottom/>
      </border>
    </dxf>
    <dxf>
      <font>
        <b val="0"/>
        <i val="0"/>
        <strike val="0"/>
        <condense val="0"/>
        <extend val="0"/>
        <outline val="0"/>
        <shadow val="0"/>
        <u val="none"/>
        <vertAlign val="baseline"/>
        <sz val="11"/>
        <color theme="6" tint="-0.249977111117893"/>
        <name val="Calibri"/>
        <scheme val="minor"/>
      </font>
      <numFmt numFmtId="1" formatCode="0"/>
      <fill>
        <patternFill patternType="none">
          <fgColor indexed="64"/>
          <bgColor auto="1"/>
        </patternFill>
      </fill>
      <alignment horizontal="right" textRotation="0" indent="0" justifyLastLine="0" shrinkToFit="0" readingOrder="0"/>
      <border diagonalUp="0" diagonalDown="0" outline="0">
        <left style="thin">
          <color theme="0"/>
        </left>
        <right/>
        <top/>
        <bottom/>
      </border>
    </dxf>
    <dxf>
      <font>
        <b/>
        <i val="0"/>
        <strike val="0"/>
        <condense val="0"/>
        <extend val="0"/>
        <outline val="0"/>
        <shadow val="0"/>
        <u val="none"/>
        <vertAlign val="baseline"/>
        <sz val="11"/>
        <color theme="6" tint="-0.249977111117893"/>
        <name val="Calibri"/>
        <family val="2"/>
        <scheme val="minor"/>
      </font>
      <numFmt numFmtId="14" formatCode="0.00%"/>
      <fill>
        <patternFill patternType="none">
          <fgColor indexed="64"/>
          <bgColor indexed="65"/>
        </patternFill>
      </fill>
      <border diagonalUp="0" diagonalDown="0" outline="0">
        <left style="thin">
          <color theme="0"/>
        </left>
        <right/>
        <top/>
        <bottom/>
      </border>
    </dxf>
    <dxf>
      <font>
        <b val="0"/>
        <i val="0"/>
        <strike val="0"/>
        <condense val="0"/>
        <extend val="0"/>
        <outline val="0"/>
        <shadow val="0"/>
        <u val="none"/>
        <vertAlign val="baseline"/>
        <sz val="11"/>
        <color theme="6" tint="-0.249977111117893"/>
        <name val="Calibri"/>
        <scheme val="minor"/>
      </font>
      <numFmt numFmtId="14" formatCode="0.00%"/>
      <fill>
        <patternFill patternType="none">
          <fgColor indexed="64"/>
          <bgColor auto="1"/>
        </patternFill>
      </fill>
      <alignment horizontal="right" textRotation="0" indent="0" justifyLastLine="0" shrinkToFit="0" readingOrder="0"/>
      <border diagonalUp="0" diagonalDown="0" outline="0">
        <left style="thin">
          <color theme="0"/>
        </left>
        <right style="thin">
          <color theme="0"/>
        </right>
        <top/>
        <bottom/>
      </border>
    </dxf>
    <dxf>
      <font>
        <b/>
        <i val="0"/>
        <strike val="0"/>
        <condense val="0"/>
        <extend val="0"/>
        <outline val="0"/>
        <shadow val="0"/>
        <u val="none"/>
        <vertAlign val="baseline"/>
        <sz val="11"/>
        <color theme="6" tint="-0.249977111117893"/>
        <name val="Calibri"/>
        <family val="2"/>
        <scheme val="minor"/>
      </font>
      <numFmt numFmtId="1" formatCode="0"/>
      <fill>
        <patternFill patternType="none">
          <fgColor indexed="64"/>
          <bgColor indexed="65"/>
        </patternFill>
      </fill>
      <border diagonalUp="0" diagonalDown="0" outline="0">
        <left style="thin">
          <color theme="0"/>
        </left>
        <right style="thin">
          <color theme="0"/>
        </right>
        <top/>
        <bottom/>
      </border>
    </dxf>
    <dxf>
      <font>
        <b val="0"/>
        <i val="0"/>
        <strike val="0"/>
        <condense val="0"/>
        <extend val="0"/>
        <outline val="0"/>
        <shadow val="0"/>
        <u val="none"/>
        <vertAlign val="baseline"/>
        <sz val="11"/>
        <color theme="6" tint="-0.249977111117893"/>
        <name val="Calibri"/>
        <scheme val="minor"/>
      </font>
      <numFmt numFmtId="1" formatCode="0"/>
      <fill>
        <patternFill patternType="none">
          <fgColor indexed="64"/>
          <bgColor auto="1"/>
        </patternFill>
      </fill>
      <alignment horizontal="right" textRotation="0" indent="0" justifyLastLine="0" shrinkToFit="0" readingOrder="0"/>
      <border diagonalUp="0" diagonalDown="0" outline="0">
        <left style="thin">
          <color theme="0"/>
        </left>
        <right style="thin">
          <color theme="0"/>
        </right>
        <top/>
        <bottom/>
      </border>
    </dxf>
    <dxf>
      <font>
        <b/>
        <i val="0"/>
        <strike val="0"/>
        <condense val="0"/>
        <extend val="0"/>
        <outline val="0"/>
        <shadow val="0"/>
        <u val="none"/>
        <vertAlign val="baseline"/>
        <sz val="11"/>
        <color theme="6" tint="-0.249977111117893"/>
        <name val="Calibri"/>
        <family val="2"/>
        <scheme val="minor"/>
      </font>
      <numFmt numFmtId="164" formatCode="_(* #,##0_);_(* \(#,##0\);_(* &quot;-&quot;??_);_(@_)"/>
      <fill>
        <patternFill patternType="none">
          <fgColor indexed="64"/>
          <bgColor indexed="65"/>
        </patternFill>
      </fill>
      <border diagonalUp="0" diagonalDown="0" outline="0">
        <left style="thin">
          <color theme="0"/>
        </left>
        <right style="thin">
          <color theme="0"/>
        </right>
        <top/>
        <bottom/>
      </border>
    </dxf>
    <dxf>
      <font>
        <b val="0"/>
        <i val="0"/>
        <strike val="0"/>
        <condense val="0"/>
        <extend val="0"/>
        <outline val="0"/>
        <shadow val="0"/>
        <u val="none"/>
        <vertAlign val="baseline"/>
        <sz val="11"/>
        <color theme="6" tint="-0.249977111117893"/>
        <name val="Calibri"/>
        <scheme val="minor"/>
      </font>
      <numFmt numFmtId="164" formatCode="_(* #,##0_);_(* \(#,##0\);_(* &quot;-&quot;??_);_(@_)"/>
      <fill>
        <patternFill patternType="none">
          <fgColor indexed="64"/>
          <bgColor indexed="65"/>
        </patternFill>
      </fill>
      <alignment horizontal="right" textRotation="0" indent="0" justifyLastLine="0" shrinkToFit="0" readingOrder="0"/>
      <border diagonalUp="0" diagonalDown="0" outline="0">
        <left style="thin">
          <color theme="0"/>
        </left>
        <right style="thin">
          <color theme="0"/>
        </right>
        <top/>
        <bottom/>
      </border>
    </dxf>
    <dxf>
      <font>
        <b/>
        <i val="0"/>
        <strike val="0"/>
        <condense val="0"/>
        <extend val="0"/>
        <outline val="0"/>
        <shadow val="0"/>
        <u val="none"/>
        <vertAlign val="baseline"/>
        <sz val="11"/>
        <color theme="6" tint="-0.249977111117893"/>
        <name val="Calibri"/>
        <family val="2"/>
        <scheme val="minor"/>
      </font>
      <numFmt numFmtId="1" formatCode="0"/>
      <fill>
        <patternFill patternType="none">
          <fgColor indexed="64"/>
          <bgColor indexed="65"/>
        </patternFill>
      </fill>
      <border diagonalUp="0" diagonalDown="0" outline="0">
        <left style="thin">
          <color theme="0"/>
        </left>
        <right style="thin">
          <color theme="0"/>
        </right>
        <top/>
        <bottom/>
      </border>
    </dxf>
    <dxf>
      <font>
        <b val="0"/>
        <i val="0"/>
        <strike val="0"/>
        <condense val="0"/>
        <extend val="0"/>
        <outline val="0"/>
        <shadow val="0"/>
        <u val="none"/>
        <vertAlign val="baseline"/>
        <sz val="11"/>
        <color theme="6" tint="-0.249977111117893"/>
        <name val="Calibri"/>
        <scheme val="minor"/>
      </font>
      <numFmt numFmtId="1" formatCode="0"/>
      <fill>
        <patternFill patternType="none">
          <fgColor indexed="64"/>
          <bgColor auto="1"/>
        </patternFill>
      </fill>
      <alignment horizontal="right" textRotation="0"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theme="6" tint="-0.249977111117893"/>
        <name val="Calibri"/>
        <family val="2"/>
        <scheme val="minor"/>
      </font>
      <fill>
        <patternFill patternType="none">
          <fgColor indexed="64"/>
          <bgColor indexed="65"/>
        </patternFill>
      </fill>
      <alignment horizontal="left" vertical="bottom" textRotation="0" wrapText="0" indent="0" justifyLastLine="0" shrinkToFit="0" readingOrder="0"/>
      <border diagonalUp="0" diagonalDown="0" outline="0">
        <left/>
        <right style="thin">
          <color theme="0"/>
        </right>
        <top/>
        <bottom/>
      </border>
    </dxf>
    <dxf>
      <font>
        <b/>
        <i val="0"/>
        <strike val="0"/>
        <condense val="0"/>
        <extend val="0"/>
        <outline val="0"/>
        <shadow val="0"/>
        <u val="none"/>
        <vertAlign val="baseline"/>
        <sz val="11"/>
        <color theme="6" tint="-0.249977111117893"/>
        <name val="Calibri"/>
        <scheme val="minor"/>
      </font>
      <fill>
        <patternFill patternType="none">
          <fgColor indexed="64"/>
          <bgColor auto="1"/>
        </patternFill>
      </fill>
      <alignment horizontal="left" vertical="bottom" textRotation="0" wrapText="0" indent="0" justifyLastLine="0" shrinkToFit="0" readingOrder="0"/>
      <border diagonalUp="0" diagonalDown="0" outline="0">
        <left/>
        <right style="thin">
          <color theme="0"/>
        </right>
        <top/>
        <bottom/>
      </border>
    </dxf>
    <dxf>
      <font>
        <b val="0"/>
        <i val="0"/>
        <strike val="0"/>
        <condense val="0"/>
        <extend val="0"/>
        <outline val="0"/>
        <shadow val="0"/>
        <u val="none"/>
        <vertAlign val="baseline"/>
        <sz val="11"/>
        <color theme="6" tint="-0.249977111117893"/>
        <name val="Calibri"/>
        <scheme val="minor"/>
      </font>
      <fill>
        <patternFill patternType="none">
          <fgColor indexed="64"/>
          <bgColor auto="1"/>
        </patternFill>
      </fill>
      <alignment horizontal="right" textRotation="0" indent="0" justifyLastLine="0" shrinkToFit="0" readingOrder="0"/>
    </dxf>
    <dxf>
      <border outline="0">
        <bottom style="thin">
          <color theme="0"/>
        </bottom>
      </border>
    </dxf>
    <dxf>
      <font>
        <b/>
        <i val="0"/>
        <strike val="0"/>
        <condense val="0"/>
        <extend val="0"/>
        <outline val="0"/>
        <shadow val="0"/>
        <u val="none"/>
        <vertAlign val="baseline"/>
        <sz val="11"/>
        <color theme="0"/>
        <name val="Calibri"/>
        <scheme val="minor"/>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border diagonalUp="0" diagonalDown="0" outline="0">
        <left style="thin">
          <color theme="4"/>
        </left>
        <right/>
        <top style="thin">
          <color theme="4"/>
        </top>
        <bottom style="thin">
          <color theme="4"/>
        </bottom>
      </border>
    </dxf>
    <dxf>
      <font>
        <b val="0"/>
        <i val="0"/>
        <strike val="0"/>
        <condense val="0"/>
        <extend val="0"/>
        <outline val="0"/>
        <shadow val="0"/>
        <u val="none"/>
        <vertAlign val="baseline"/>
        <sz val="12"/>
        <color theme="1"/>
        <name val="Calibri"/>
        <family val="2"/>
        <scheme val="minor"/>
      </font>
      <border diagonalUp="0" diagonalDown="0" outline="0">
        <left style="thin">
          <color theme="4"/>
        </left>
        <right style="thin">
          <color theme="4"/>
        </right>
        <top style="thin">
          <color theme="4"/>
        </top>
        <bottom style="thin">
          <color theme="4"/>
        </bottom>
      </border>
    </dxf>
    <dxf>
      <font>
        <b val="0"/>
        <i val="0"/>
        <strike val="0"/>
        <condense val="0"/>
        <extend val="0"/>
        <outline val="0"/>
        <shadow val="0"/>
        <u val="none"/>
        <vertAlign val="baseline"/>
        <sz val="12"/>
        <color theme="1"/>
        <name val="Calibri"/>
        <family val="2"/>
        <scheme val="minor"/>
      </font>
      <border diagonalUp="0" diagonalDown="0" outline="0">
        <left style="thin">
          <color theme="4"/>
        </left>
        <right style="thin">
          <color theme="4"/>
        </right>
        <top style="thin">
          <color theme="4"/>
        </top>
        <bottom style="thin">
          <color theme="4"/>
        </bottom>
      </border>
    </dxf>
    <dxf>
      <font>
        <b val="0"/>
        <i val="0"/>
        <strike val="0"/>
        <condense val="0"/>
        <extend val="0"/>
        <outline val="0"/>
        <shadow val="0"/>
        <u val="none"/>
        <vertAlign val="baseline"/>
        <sz val="12"/>
        <color theme="1"/>
        <name val="Calibri"/>
        <family val="2"/>
        <scheme val="minor"/>
      </font>
      <numFmt numFmtId="164" formatCode="_(* #,##0_);_(* \(#,##0\);_(* &quot;-&quot;??_);_(@_)"/>
      <border diagonalUp="0" diagonalDown="0" outline="0">
        <left style="thin">
          <color theme="4"/>
        </left>
        <right style="thin">
          <color theme="4"/>
        </right>
        <top style="thin">
          <color theme="4"/>
        </top>
        <bottom style="thin">
          <color theme="4"/>
        </bottom>
      </border>
    </dxf>
    <dxf>
      <font>
        <b val="0"/>
        <i val="0"/>
        <strike val="0"/>
        <condense val="0"/>
        <extend val="0"/>
        <outline val="0"/>
        <shadow val="0"/>
        <u val="none"/>
        <vertAlign val="baseline"/>
        <sz val="12"/>
        <color theme="1"/>
        <name val="Calibri"/>
        <family val="2"/>
        <scheme val="minor"/>
      </font>
      <border diagonalUp="0" diagonalDown="0" outline="0">
        <left style="thin">
          <color theme="4"/>
        </left>
        <right style="thin">
          <color theme="4"/>
        </right>
        <top style="thin">
          <color theme="4"/>
        </top>
        <bottom style="thin">
          <color theme="4"/>
        </bottom>
      </border>
    </dxf>
    <dxf>
      <font>
        <b val="0"/>
        <i val="0"/>
        <strike val="0"/>
        <condense val="0"/>
        <extend val="0"/>
        <outline val="0"/>
        <shadow val="0"/>
        <u val="none"/>
        <vertAlign val="baseline"/>
        <sz val="12"/>
        <color theme="1"/>
        <name val="Calibri"/>
        <family val="2"/>
        <scheme val="minor"/>
      </font>
      <border diagonalUp="0" diagonalDown="0" outline="0">
        <left/>
        <right style="thin">
          <color theme="4"/>
        </right>
        <top style="thin">
          <color theme="4"/>
        </top>
        <bottom style="thin">
          <color theme="4"/>
        </bottom>
      </border>
    </dxf>
    <dxf>
      <border>
        <top style="thin">
          <color rgb="FF5B9BD5"/>
        </top>
      </border>
    </dxf>
    <dxf>
      <border diagonalUp="0" diagonalDown="0">
        <left/>
        <right/>
        <top/>
        <bottom/>
      </border>
    </dxf>
    <dxf>
      <font>
        <b val="0"/>
        <i val="0"/>
        <strike val="0"/>
        <condense val="0"/>
        <extend val="0"/>
        <outline val="0"/>
        <shadow val="0"/>
        <u val="none"/>
        <vertAlign val="baseline"/>
        <sz val="12"/>
        <color theme="1"/>
        <name val="Calibri"/>
        <family val="2"/>
        <scheme val="minor"/>
      </font>
    </dxf>
    <dxf>
      <border>
        <bottom style="thin">
          <color rgb="FF5B9BD5"/>
        </bottom>
      </border>
    </dxf>
    <dxf>
      <font>
        <b val="0"/>
        <i val="0"/>
        <strike val="0"/>
        <condense val="0"/>
        <extend val="0"/>
        <outline val="0"/>
        <shadow val="0"/>
        <u val="none"/>
        <vertAlign val="baseline"/>
        <sz val="11"/>
        <color theme="1"/>
        <name val="Calibri"/>
        <family val="2"/>
        <scheme val="minor"/>
      </font>
      <border diagonalUp="0" diagonalDown="0" outline="0">
        <left style="thin">
          <color theme="4"/>
        </left>
        <right style="thin">
          <color theme="4"/>
        </right>
        <top/>
        <bottom/>
      </border>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color theme="0"/>
      </font>
    </dxf>
    <dxf>
      <fill>
        <patternFill patternType="solid">
          <bgColor theme="1"/>
        </patternFill>
      </fill>
    </dxf>
    <dxf>
      <alignment horizontal="center" readingOrder="0"/>
    </dxf>
    <dxf>
      <alignment horizontal="center" readingOrder="0"/>
    </dxf>
    <dxf>
      <alignment horizontal="center" readingOrder="0"/>
    </dxf>
    <dxf>
      <alignment vertical="center" readingOrder="0"/>
    </dxf>
    <dxf>
      <alignment vertical="center" readingOrder="0"/>
    </dxf>
    <dxf>
      <alignment vertical="center" readingOrder="0"/>
    </dxf>
    <dxf>
      <alignment wrapText="1" readingOrder="0"/>
    </dxf>
    <dxf>
      <alignment wrapText="1" readingOrder="0"/>
    </dxf>
    <dxf>
      <alignment wrapText="1" readingOrder="0"/>
    </dxf>
    <dxf>
      <font>
        <b/>
        <color theme="0"/>
      </font>
      <fill>
        <patternFill patternType="solid">
          <fgColor indexed="64"/>
          <bgColor theme="3" tint="-0.499984740745262"/>
        </patternFill>
      </fill>
    </dxf>
    <dxf>
      <font>
        <b/>
        <color theme="0"/>
      </font>
      <fill>
        <patternFill patternType="solid">
          <fgColor indexed="64"/>
          <bgColor theme="3" tint="-0.499984740745262"/>
        </patternFill>
      </fill>
    </dxf>
    <dxf>
      <font>
        <sz val="11"/>
      </font>
    </dxf>
    <dxf>
      <font>
        <sz val="11"/>
      </font>
    </dxf>
    <dxf>
      <font>
        <sz val="11"/>
      </font>
    </dxf>
    <dxf>
      <font>
        <sz val="11"/>
      </font>
    </dxf>
    <dxf>
      <font>
        <sz val="11"/>
      </font>
    </dxf>
    <dxf>
      <alignment wrapText="1"/>
    </dxf>
    <dxf>
      <font>
        <name val="Calibri"/>
        <scheme val="minor"/>
      </font>
    </dxf>
    <dxf>
      <font>
        <name val="Calibri"/>
        <scheme val="minor"/>
      </font>
    </dxf>
    <dxf>
      <font>
        <name val="Calibri"/>
        <scheme val="minor"/>
      </font>
    </dxf>
    <dxf>
      <font>
        <name val="Calibri"/>
        <scheme val="minor"/>
      </font>
    </dxf>
    <dxf>
      <font>
        <sz val="10"/>
      </font>
    </dxf>
    <dxf>
      <font>
        <sz val="10"/>
      </font>
    </dxf>
    <dxf>
      <font>
        <sz val="10"/>
      </font>
    </dxf>
    <dxf>
      <alignment wrapText="1"/>
    </dxf>
    <dxf>
      <font>
        <sz val="10"/>
      </font>
    </dxf>
    <dxf>
      <font>
        <sz val="10"/>
      </font>
    </dxf>
    <dxf>
      <font>
        <sz val="10"/>
      </font>
    </dxf>
    <dxf>
      <font>
        <sz val="10"/>
      </font>
    </dxf>
    <dxf>
      <font>
        <sz val="10"/>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color theme="0"/>
      </font>
      <numFmt numFmtId="164" formatCode="_(* #,##0_);_(* \(#,##0\);_(* &quot;-&quot;??_);_(@_)"/>
      <fill>
        <patternFill patternType="solid">
          <fgColor indexed="64"/>
          <bgColor rgb="FF0070C0"/>
        </patternFill>
      </fill>
    </dxf>
    <dxf>
      <font>
        <color theme="0"/>
      </font>
      <fill>
        <patternFill patternType="solid">
          <fgColor indexed="64"/>
          <bgColor rgb="FF0070C0"/>
        </patternFill>
      </fill>
      <alignment horizontal="center"/>
    </dxf>
    <dxf>
      <font>
        <sz val="12"/>
      </font>
    </dxf>
    <dxf>
      <font>
        <sz val="12"/>
      </font>
    </dxf>
    <dxf>
      <font>
        <sz val="12"/>
      </font>
    </dxf>
    <dxf>
      <font>
        <sz val="12"/>
      </font>
    </dxf>
    <dxf>
      <font>
        <sz val="12"/>
      </font>
    </dxf>
    <dxf>
      <font>
        <name val="Calibri"/>
        <scheme val="minor"/>
      </font>
    </dxf>
    <dxf>
      <font>
        <name val="Calibri"/>
        <scheme val="minor"/>
      </font>
    </dxf>
    <dxf>
      <font>
        <name val="Calibri"/>
        <scheme val="minor"/>
      </font>
    </dxf>
    <dxf>
      <font>
        <name val="Calibri"/>
        <scheme val="minor"/>
      </font>
    </dxf>
    <dxf>
      <font>
        <name val="Calibri"/>
        <scheme val="minor"/>
      </font>
    </dxf>
    <dxf>
      <alignment wrapText="1"/>
    </dxf>
    <dxf>
      <numFmt numFmtId="3" formatCode="#,##0"/>
    </dxf>
    <dxf>
      <font>
        <name val="Calibri"/>
        <scheme val="minor"/>
      </font>
    </dxf>
    <dxf>
      <font>
        <name val="Calibri"/>
        <scheme val="minor"/>
      </font>
    </dxf>
    <dxf>
      <alignment wrapText="1"/>
    </dxf>
    <dxf>
      <font>
        <color auto="1"/>
      </font>
    </dxf>
    <dxf>
      <font>
        <color auto="1"/>
      </font>
    </dxf>
    <dxf>
      <fill>
        <patternFill>
          <bgColor theme="0" tint="-0.249977111117893"/>
        </patternFill>
      </fill>
    </dxf>
    <dxf>
      <fill>
        <patternFill>
          <bgColor theme="0" tint="-0.249977111117893"/>
        </patternFill>
      </fill>
    </dxf>
    <dxf>
      <font>
        <color theme="0"/>
      </font>
      <fill>
        <patternFill patternType="solid">
          <fgColor indexed="64"/>
          <bgColor theme="9" tint="-0.249977111117893"/>
        </patternFill>
      </fill>
    </dxf>
    <dxf>
      <font>
        <color theme="0"/>
      </font>
      <fill>
        <patternFill patternType="solid">
          <fgColor indexed="64"/>
          <bgColor theme="9" tint="-0.249977111117893"/>
        </patternFill>
      </fill>
      <alignment horizontal="center" vertical="center" wrapText="1"/>
    </dxf>
    <dxf>
      <font>
        <color theme="0"/>
      </font>
      <fill>
        <patternFill patternType="solid">
          <fgColor indexed="64"/>
          <bgColor theme="9" tint="-0.249977111117893"/>
        </patternFill>
      </fill>
    </dxf>
    <dxf>
      <alignment wrapText="1"/>
    </dxf>
    <dxf>
      <font>
        <color theme="0"/>
      </font>
      <fill>
        <patternFill patternType="solid">
          <fgColor indexed="64"/>
          <bgColor theme="9" tint="-0.249977111117893"/>
        </patternFill>
      </fill>
      <alignment horizontal="center" vertical="center"/>
    </dxf>
    <dxf>
      <alignment wrapText="1"/>
    </dxf>
    <dxf>
      <font>
        <color theme="0"/>
      </font>
    </dxf>
    <dxf>
      <fill>
        <patternFill patternType="solid">
          <bgColor rgb="FF7030A0"/>
        </patternFill>
      </fill>
    </dxf>
    <dxf>
      <alignment vertical="center"/>
    </dxf>
    <dxf>
      <alignment horizontal="center"/>
    </dxf>
    <dxf>
      <font>
        <color theme="0"/>
      </font>
    </dxf>
    <dxf>
      <font>
        <color theme="0"/>
      </font>
    </dxf>
    <dxf>
      <fill>
        <patternFill patternType="solid">
          <bgColor theme="1"/>
        </patternFill>
      </fill>
    </dxf>
    <dxf>
      <fill>
        <patternFill patternType="solid">
          <bgColor theme="1"/>
        </patternFill>
      </fill>
    </dxf>
    <dxf>
      <font>
        <color theme="0"/>
      </font>
    </dxf>
    <dxf>
      <font>
        <color theme="0"/>
      </font>
    </dxf>
    <dxf>
      <fill>
        <patternFill patternType="solid">
          <bgColor theme="9" tint="-0.249977111117893"/>
        </patternFill>
      </fill>
    </dxf>
    <dxf>
      <fill>
        <patternFill patternType="solid">
          <bgColor theme="9" tint="-0.249977111117893"/>
        </patternFill>
      </fill>
    </dxf>
    <dxf>
      <font>
        <color theme="0"/>
      </font>
    </dxf>
    <dxf>
      <font>
        <color theme="0"/>
      </font>
    </dxf>
    <dxf>
      <fill>
        <patternFill patternType="solid">
          <bgColor theme="5" tint="-0.249977111117893"/>
        </patternFill>
      </fill>
    </dxf>
    <dxf>
      <fill>
        <patternFill patternType="solid">
          <bgColor theme="5" tint="-0.249977111117893"/>
        </patternFill>
      </fill>
    </dxf>
    <dxf>
      <font>
        <color theme="0"/>
      </font>
    </dxf>
    <dxf>
      <font>
        <color theme="0"/>
      </font>
    </dxf>
    <dxf>
      <fill>
        <patternFill patternType="solid">
          <bgColor rgb="FF0070C0"/>
        </patternFill>
      </fill>
    </dxf>
    <dxf>
      <fill>
        <patternFill patternType="solid">
          <bgColor rgb="FF0070C0"/>
        </patternFill>
      </fill>
    </dxf>
    <dxf>
      <numFmt numFmtId="164" formatCode="_(* #,##0_);_(* \(#,##0\);_(* &quot;-&quot;??_);_(@_)"/>
    </dxf>
    <dxf>
      <font>
        <sz val="12"/>
      </font>
    </dxf>
    <dxf>
      <font>
        <sz val="12"/>
      </font>
    </dxf>
    <dxf>
      <font>
        <sz val="12"/>
      </font>
    </dxf>
    <dxf>
      <font>
        <sz val="12"/>
      </font>
    </dxf>
    <dxf>
      <font>
        <sz val="12"/>
      </font>
    </dxf>
    <dxf>
      <font>
        <name val="Calibri"/>
        <scheme val="minor"/>
      </font>
    </dxf>
    <dxf>
      <font>
        <name val="Calibri"/>
        <scheme val="minor"/>
      </font>
    </dxf>
    <dxf>
      <font>
        <name val="Calibri"/>
        <scheme val="minor"/>
      </font>
    </dxf>
    <dxf>
      <font>
        <name val="Calibri"/>
        <scheme val="minor"/>
      </font>
    </dxf>
    <dxf>
      <font>
        <name val="Calibri"/>
        <scheme val="minor"/>
      </font>
    </dxf>
    <dxf>
      <alignment wrapText="1"/>
    </dxf>
    <dxf>
      <numFmt numFmtId="3" formatCode="#,##0"/>
    </dxf>
    <dxf>
      <font>
        <name val="Calibri"/>
        <scheme val="minor"/>
      </font>
    </dxf>
    <dxf>
      <font>
        <name val="Calibri"/>
        <scheme val="minor"/>
      </font>
    </dxf>
    <dxf>
      <alignment wrapText="1"/>
    </dxf>
    <dxf>
      <numFmt numFmtId="14" formatCode="0.00%"/>
    </dxf>
    <dxf>
      <numFmt numFmtId="1" formatCode="0"/>
    </dxf>
    <dxf>
      <numFmt numFmtId="1" formatCode="0"/>
    </dxf>
    <dxf>
      <alignment vertical="bottom"/>
    </dxf>
    <dxf>
      <alignment horizontal="center"/>
    </dxf>
    <dxf>
      <alignment wrapText="1"/>
    </dxf>
    <dxf>
      <font>
        <sz val="11"/>
      </font>
    </dxf>
    <dxf>
      <font>
        <sz val="11"/>
      </font>
    </dxf>
    <dxf>
      <font>
        <sz val="11"/>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b/>
        <color theme="0"/>
      </font>
      <fill>
        <patternFill patternType="solid">
          <fgColor indexed="64"/>
          <bgColor rgb="FF002060"/>
        </patternFill>
      </fill>
    </dxf>
    <dxf>
      <font>
        <b/>
        <color theme="0"/>
      </font>
      <fill>
        <patternFill patternType="solid">
          <fgColor indexed="64"/>
          <bgColor rgb="FF002060"/>
        </patternFill>
      </fill>
      <alignment horizontal="general" vertical="bottom" textRotation="0" wrapText="0" indent="0" justifyLastLine="0" shrinkToFit="0" readingOrder="0"/>
    </dxf>
    <dxf>
      <alignment horizontal="center" readingOrder="0"/>
    </dxf>
    <dxf>
      <alignment vertical="center" readingOrder="0"/>
    </dxf>
    <dxf>
      <alignment wrapText="1" readingOrder="0"/>
    </dxf>
    <dxf>
      <numFmt numFmtId="13" formatCode="0%"/>
    </dxf>
    <dxf>
      <font>
        <sz val="11"/>
      </font>
    </dxf>
    <dxf>
      <font>
        <sz val="11"/>
      </font>
    </dxf>
    <dxf>
      <font>
        <name val="Calibri"/>
        <scheme val="minor"/>
      </font>
    </dxf>
    <dxf>
      <font>
        <name val="Calibri"/>
        <scheme val="minor"/>
      </font>
    </dxf>
    <dxf>
      <font>
        <name val="Calibri"/>
        <scheme val="minor"/>
      </font>
    </dxf>
    <dxf>
      <alignment vertical="bottom"/>
    </dxf>
    <dxf>
      <alignment horizontal="center"/>
    </dxf>
    <dxf>
      <alignment wrapText="1"/>
    </dxf>
    <dxf>
      <numFmt numFmtId="164" formatCode="_(* #,##0_);_(* \(#,##0\);_(* &quot;-&quot;??_);_(@_)"/>
    </dxf>
    <dxf>
      <font>
        <sz val="11"/>
      </font>
    </dxf>
    <dxf>
      <font>
        <sz val="11"/>
      </font>
    </dxf>
    <dxf>
      <font>
        <sz val="11"/>
      </font>
    </dxf>
    <dxf>
      <font>
        <sz val="11"/>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sz val="11"/>
      </font>
    </dxf>
    <dxf>
      <font>
        <sz val="11"/>
      </font>
    </dxf>
    <dxf>
      <font>
        <sz val="11"/>
      </font>
    </dxf>
    <dxf>
      <font>
        <sz val="11"/>
      </font>
    </dxf>
    <dxf>
      <font>
        <sz val="11"/>
      </font>
    </dxf>
    <dxf>
      <font>
        <sz val="11"/>
      </font>
    </dxf>
    <dxf>
      <numFmt numFmtId="3" formatCode="#,##0"/>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sz val="10"/>
      </font>
    </dxf>
    <dxf>
      <font>
        <b/>
        <color theme="0"/>
      </font>
      <fill>
        <patternFill patternType="solid">
          <fgColor indexed="64"/>
          <bgColor rgb="FF002060"/>
        </patternFill>
      </fill>
    </dxf>
    <dxf>
      <font>
        <b/>
        <color theme="0"/>
      </font>
      <fill>
        <patternFill patternType="solid">
          <fgColor indexed="64"/>
          <bgColor rgb="FF002060"/>
        </patternFill>
      </fill>
    </dxf>
    <dxf>
      <font>
        <b/>
        <color theme="0"/>
      </font>
      <fill>
        <patternFill patternType="solid">
          <fgColor indexed="64"/>
          <bgColor rgb="FF002060"/>
        </patternFill>
      </fill>
      <alignment horizontal="general" vertical="bottom" textRotation="0" wrapText="0" indent="0" justifyLastLine="0" shrinkToFit="0" readingOrder="0"/>
    </dxf>
    <dxf>
      <alignment horizontal="center" readingOrder="0"/>
    </dxf>
    <dxf>
      <alignment vertical="center" readingOrder="0"/>
    </dxf>
    <dxf>
      <alignment wrapText="1" readingOrder="0"/>
    </dxf>
    <dxf>
      <numFmt numFmtId="13" formatCode="0%"/>
    </dxf>
    <dxf>
      <font>
        <sz val="11"/>
      </font>
    </dxf>
    <dxf>
      <font>
        <sz val="11"/>
      </font>
    </dxf>
    <dxf>
      <font>
        <name val="Calibri"/>
        <scheme val="minor"/>
      </font>
    </dxf>
    <dxf>
      <font>
        <name val="Calibri"/>
        <scheme val="minor"/>
      </font>
    </dxf>
    <dxf>
      <font>
        <name val="Calibri"/>
        <scheme val="minor"/>
      </font>
    </dxf>
    <dxf>
      <font>
        <sz val="11"/>
      </font>
    </dxf>
    <dxf>
      <font>
        <sz val="11"/>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numFmt numFmtId="13" formatCode="0%"/>
    </dxf>
    <dxf>
      <numFmt numFmtId="14" formatCode="0.00%"/>
    </dxf>
    <dxf>
      <font>
        <sz val="11"/>
      </font>
    </dxf>
    <dxf>
      <font>
        <sz val="11"/>
      </font>
    </dxf>
    <dxf>
      <font>
        <sz val="11"/>
      </font>
    </dxf>
    <dxf>
      <font>
        <sz val="11"/>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numFmt numFmtId="164" formatCode="_(* #,##0_);_(* \(#,##0\);_(* &quot;-&quot;??_);_(@_)"/>
    </dxf>
    <dxf>
      <numFmt numFmtId="164" formatCode="_(* #,##0_);_(* \(#,##0\);_(* &quot;-&quot;??_);_(@_)"/>
    </dxf>
    <dxf>
      <numFmt numFmtId="13" formatCode="0%"/>
    </dxf>
    <dxf>
      <numFmt numFmtId="13" formatCode="0%"/>
    </dxf>
    <dxf>
      <numFmt numFmtId="13" formatCode="0%"/>
    </dxf>
    <dxf>
      <font>
        <sz val="11"/>
      </font>
    </dxf>
    <dxf>
      <font>
        <sz val="11"/>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numFmt numFmtId="169" formatCode="0.0%"/>
    </dxf>
    <dxf>
      <numFmt numFmtId="169" formatCode="0.0%"/>
    </dxf>
    <dxf>
      <font>
        <b/>
        <color theme="0"/>
      </font>
      <fill>
        <patternFill patternType="solid">
          <fgColor indexed="64"/>
          <bgColor theme="3" tint="-0.499984740745262"/>
        </patternFill>
      </fill>
    </dxf>
    <dxf>
      <numFmt numFmtId="13" formatCode="0%"/>
    </dxf>
    <dxf>
      <numFmt numFmtId="13" formatCode="0%"/>
    </dxf>
    <dxf>
      <font>
        <b/>
        <color theme="0"/>
      </font>
      <fill>
        <patternFill patternType="solid">
          <fgColor indexed="64"/>
          <bgColor theme="3" tint="-0.499984740745262"/>
        </patternFill>
      </fill>
    </dxf>
    <dxf>
      <font>
        <b/>
        <color theme="0"/>
      </font>
      <fill>
        <patternFill patternType="solid">
          <fgColor indexed="64"/>
          <bgColor theme="3" tint="-0.499984740745262"/>
        </patternFill>
      </fill>
    </dxf>
    <dxf>
      <font>
        <b/>
        <color theme="0"/>
      </font>
      <fill>
        <patternFill patternType="solid">
          <fgColor indexed="64"/>
          <bgColor theme="3" tint="-0.499984740745262"/>
        </patternFill>
      </fill>
    </dxf>
    <dxf>
      <numFmt numFmtId="164" formatCode="_(* #,##0_);_(* \(#,##0\);_(* &quot;-&quot;??_);_(@_)"/>
    </dxf>
    <dxf>
      <font>
        <b/>
        <color theme="0"/>
      </font>
      <fill>
        <patternFill patternType="solid">
          <fgColor indexed="64"/>
          <bgColor theme="3" tint="-0.499984740745262"/>
        </patternFill>
      </fill>
    </dxf>
    <dxf>
      <font>
        <b/>
        <color theme="0"/>
      </font>
      <fill>
        <patternFill patternType="solid">
          <fgColor indexed="64"/>
          <bgColor theme="3" tint="-0.499984740745262"/>
        </patternFill>
      </fill>
    </dxf>
    <dxf>
      <font>
        <sz val="11"/>
      </font>
    </dxf>
    <dxf>
      <font>
        <sz val="11"/>
      </font>
    </dxf>
    <dxf>
      <font>
        <sz val="11"/>
      </font>
    </dxf>
    <dxf>
      <font>
        <sz val="11"/>
      </font>
    </dxf>
    <dxf>
      <font>
        <sz val="11"/>
      </font>
    </dxf>
    <dxf>
      <font>
        <sz val="11"/>
      </font>
    </dxf>
    <dxf>
      <alignment wrapText="1"/>
    </dxf>
    <dxf>
      <alignment wrapText="1"/>
    </dxf>
    <dxf>
      <font>
        <name val="Calibri"/>
        <scheme val="minor"/>
      </font>
    </dxf>
    <dxf>
      <font>
        <name val="Calibri"/>
        <scheme val="minor"/>
      </font>
    </dxf>
    <dxf>
      <font>
        <name val="Calibri"/>
        <scheme val="minor"/>
      </font>
    </dxf>
    <dxf>
      <font>
        <name val="Calibri"/>
        <scheme val="minor"/>
      </font>
    </dxf>
    <dxf>
      <font>
        <name val="Calibri"/>
        <scheme val="minor"/>
      </font>
    </dxf>
    <dxf>
      <font>
        <sz val="10"/>
      </font>
    </dxf>
    <dxf>
      <font>
        <sz val="10"/>
      </font>
    </dxf>
    <dxf>
      <font>
        <sz val="10"/>
      </font>
    </dxf>
    <dxf>
      <alignment wrapText="1"/>
    </dxf>
    <dxf>
      <font>
        <sz val="10"/>
      </font>
    </dxf>
    <dxf>
      <font>
        <sz val="10"/>
      </font>
    </dxf>
    <dxf>
      <font>
        <sz val="10"/>
      </font>
    </dxf>
    <dxf>
      <font>
        <sz val="10"/>
      </font>
    </dxf>
    <dxf>
      <font>
        <sz val="10"/>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numFmt numFmtId="164" formatCode="_(* #,##0_);_(* \(#,##0\);_(* &quot;-&quot;??_);_(@_)"/>
    </dxf>
    <dxf>
      <font>
        <sz val="11"/>
      </font>
    </dxf>
    <dxf>
      <font>
        <sz val="11"/>
      </font>
    </dxf>
    <dxf>
      <font>
        <sz val="11"/>
      </font>
    </dxf>
    <dxf>
      <font>
        <sz val="11"/>
      </font>
    </dxf>
    <dxf>
      <font>
        <name val="Calibri"/>
        <scheme val="minor"/>
      </font>
    </dxf>
    <dxf>
      <font>
        <name val="Calibri"/>
        <scheme val="minor"/>
      </font>
    </dxf>
    <dxf>
      <font>
        <name val="Calibri"/>
        <scheme val="minor"/>
      </font>
    </dxf>
    <dxf>
      <font>
        <name val="Calibri"/>
        <scheme val="minor"/>
      </font>
    </dxf>
    <dxf>
      <font>
        <sz val="10"/>
      </font>
    </dxf>
    <dxf>
      <font>
        <sz val="11"/>
      </font>
    </dxf>
    <dxf>
      <font>
        <sz val="11"/>
      </font>
    </dxf>
    <dxf>
      <font>
        <sz val="11"/>
      </font>
    </dxf>
    <dxf>
      <font>
        <name val="Calibri"/>
        <scheme val="minor"/>
      </font>
    </dxf>
    <dxf>
      <font>
        <name val="Calibri"/>
        <scheme val="minor"/>
      </font>
    </dxf>
    <dxf>
      <font>
        <name val="Calibri"/>
        <scheme val="minor"/>
      </font>
    </dxf>
    <dxf>
      <font>
        <name val="Calibri"/>
        <scheme val="minor"/>
      </font>
    </dxf>
    <dxf>
      <alignment wrapText="1"/>
    </dxf>
    <dxf>
      <numFmt numFmtId="164" formatCode="_(* #,##0_);_(* \(#,##0\);_(* &quot;-&quot;??_);_(@_)"/>
    </dxf>
    <dxf>
      <font>
        <b/>
        <color theme="0"/>
      </font>
      <fill>
        <patternFill patternType="solid">
          <fgColor indexed="64"/>
          <bgColor theme="3" tint="-0.499984740745262"/>
        </patternFill>
      </fill>
    </dxf>
    <dxf>
      <font>
        <b/>
        <color theme="0"/>
      </font>
      <fill>
        <patternFill patternType="solid">
          <fgColor indexed="64"/>
          <bgColor theme="3" tint="-0.499984740745262"/>
        </patternFill>
      </fill>
    </dxf>
    <dxf>
      <font>
        <sz val="11"/>
      </font>
    </dxf>
    <dxf>
      <font>
        <sz val="11"/>
      </font>
    </dxf>
    <dxf>
      <font>
        <sz val="10"/>
      </font>
    </dxf>
    <dxf>
      <font>
        <name val="Calibri"/>
        <scheme val="minor"/>
      </font>
    </dxf>
    <dxf>
      <font>
        <name val="Calibri"/>
        <scheme val="minor"/>
      </font>
    </dxf>
    <dxf>
      <font>
        <b/>
        <color theme="0"/>
      </font>
      <fill>
        <patternFill patternType="solid">
          <fgColor indexed="64"/>
          <bgColor rgb="FF002060"/>
        </patternFill>
      </fill>
    </dxf>
    <dxf>
      <font>
        <sz val="11"/>
      </font>
    </dxf>
    <dxf>
      <font>
        <sz val="11"/>
      </font>
    </dxf>
    <dxf>
      <font>
        <sz val="11"/>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numFmt numFmtId="13" formatCode="0%"/>
    </dxf>
    <dxf>
      <numFmt numFmtId="13" formatCode="0%"/>
    </dxf>
    <dxf>
      <numFmt numFmtId="13" formatCode="0%"/>
    </dxf>
    <dxf>
      <font>
        <b/>
        <color theme="0"/>
      </font>
      <fill>
        <patternFill patternType="solid">
          <fgColor indexed="64"/>
          <bgColor theme="3" tint="-0.499984740745262"/>
        </patternFill>
      </fill>
      <alignment horizontal="left" vertical="center" wrapText="1" readingOrder="0"/>
    </dxf>
    <dxf>
      <font>
        <b/>
        <color theme="0"/>
      </font>
      <fill>
        <patternFill patternType="solid">
          <fgColor indexed="64"/>
          <bgColor theme="3" tint="-0.499984740745262"/>
        </patternFill>
      </fill>
      <alignment horizontal="left" vertical="center" readingOrder="0"/>
    </dxf>
    <dxf>
      <font>
        <sz val="11"/>
      </font>
    </dxf>
    <dxf>
      <font>
        <sz val="11"/>
      </font>
    </dxf>
    <dxf>
      <font>
        <name val="Calibri"/>
        <scheme val="minor"/>
      </font>
    </dxf>
    <dxf>
      <font>
        <name val="Calibri"/>
        <scheme val="minor"/>
      </font>
    </dxf>
    <dxf>
      <font>
        <name val="Calibri"/>
        <scheme val="minor"/>
      </font>
    </dxf>
    <dxf>
      <font>
        <name val="Calibri"/>
        <scheme val="minor"/>
      </font>
    </dxf>
    <dxf>
      <font>
        <name val="Calibri"/>
        <scheme val="minor"/>
      </font>
    </dxf>
    <dxf>
      <alignment wrapText="1"/>
    </dxf>
    <dxf>
      <numFmt numFmtId="164" formatCode="_(* #,##0_);_(* \(#,##0\);_(* &quot;-&quot;??_);_(@_)"/>
    </dxf>
    <dxf>
      <font>
        <b/>
        <color theme="0"/>
      </font>
      <fill>
        <patternFill patternType="solid">
          <fgColor indexed="64"/>
          <bgColor theme="3" tint="-0.499984740745262"/>
        </patternFill>
      </fill>
      <alignment horizontal="left" vertical="center" wrapText="1" readingOrder="0"/>
    </dxf>
    <dxf>
      <font>
        <b/>
        <color theme="0"/>
      </font>
      <fill>
        <patternFill patternType="solid">
          <fgColor indexed="64"/>
          <bgColor theme="3" tint="-0.499984740745262"/>
        </patternFill>
      </fill>
      <alignment horizontal="left" vertical="center" readingOrder="0"/>
    </dxf>
    <dxf>
      <font>
        <sz val="11"/>
      </font>
    </dxf>
    <dxf>
      <font>
        <sz val="11"/>
      </font>
    </dxf>
    <dxf>
      <font>
        <sz val="11"/>
      </font>
    </dxf>
    <dxf>
      <font>
        <name val="Calibri"/>
        <scheme val="minor"/>
      </font>
    </dxf>
    <dxf>
      <font>
        <name val="Calibri"/>
        <scheme val="minor"/>
      </font>
    </dxf>
    <dxf>
      <font>
        <name val="Calibri"/>
        <scheme val="minor"/>
      </font>
    </dxf>
    <dxf>
      <font>
        <name val="Calibri"/>
        <scheme val="minor"/>
      </font>
    </dxf>
    <dxf>
      <font>
        <name val="Calibri"/>
        <scheme val="minor"/>
      </font>
    </dxf>
    <dxf>
      <alignment wrapText="1"/>
    </dxf>
    <dxf>
      <alignment wrapText="1"/>
    </dxf>
    <dxf>
      <font>
        <sz val="11"/>
      </font>
    </dxf>
    <dxf>
      <font>
        <sz val="11"/>
      </font>
    </dxf>
    <dxf>
      <font>
        <sz val="11"/>
      </font>
    </dxf>
    <dxf>
      <font>
        <sz val="11"/>
      </font>
    </dxf>
    <dxf>
      <font>
        <sz val="11"/>
      </font>
    </dxf>
    <dxf>
      <font>
        <sz val="9"/>
      </font>
    </dxf>
    <dxf>
      <font>
        <name val="Calibri"/>
        <scheme val="minor"/>
      </font>
    </dxf>
    <dxf>
      <font>
        <name val="Calibri"/>
        <scheme val="minor"/>
      </font>
    </dxf>
    <dxf>
      <font>
        <name val="Calibri"/>
        <scheme val="minor"/>
      </font>
    </dxf>
    <dxf>
      <font>
        <name val="Calibri"/>
        <scheme val="minor"/>
      </font>
    </dxf>
    <dxf>
      <font>
        <name val="Calibri"/>
        <scheme val="minor"/>
      </font>
    </dxf>
    <dxf>
      <alignment wrapText="1"/>
    </dxf>
    <dxf>
      <alignment wrapText="1"/>
    </dxf>
    <dxf>
      <font>
        <b/>
        <color theme="0"/>
      </font>
      <fill>
        <patternFill patternType="solid">
          <fgColor indexed="64"/>
          <bgColor rgb="FF002060"/>
        </patternFill>
      </fill>
    </dxf>
    <dxf>
      <font>
        <b/>
        <color theme="0"/>
      </font>
      <fill>
        <patternFill patternType="solid">
          <fgColor indexed="64"/>
          <bgColor rgb="FF002060"/>
        </patternFill>
      </fill>
    </dxf>
    <dxf>
      <font>
        <b/>
        <color theme="0"/>
      </font>
      <fill>
        <patternFill patternType="solid">
          <fgColor indexed="64"/>
          <bgColor rgb="FF002060"/>
        </patternFill>
      </fill>
    </dxf>
    <dxf>
      <font>
        <b/>
        <color theme="0"/>
      </font>
      <fill>
        <patternFill patternType="solid">
          <fgColor indexed="64"/>
          <bgColor rgb="FF002060"/>
        </patternFill>
      </fill>
    </dxf>
    <dxf>
      <font>
        <sz val="11"/>
      </font>
    </dxf>
    <dxf>
      <font>
        <sz val="11"/>
      </font>
    </dxf>
    <dxf>
      <font>
        <sz val="11"/>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numFmt numFmtId="13" formatCode="0%"/>
    </dxf>
    <dxf>
      <alignment vertical="bottom"/>
    </dxf>
    <dxf>
      <alignment horizontal="center"/>
    </dxf>
    <dxf>
      <alignment wrapText="1"/>
    </dxf>
    <dxf>
      <font>
        <sz val="11"/>
      </font>
    </dxf>
    <dxf>
      <font>
        <sz val="11"/>
      </font>
    </dxf>
    <dxf>
      <font>
        <sz val="11"/>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numFmt numFmtId="14" formatCode="0.00%"/>
    </dxf>
    <dxf>
      <numFmt numFmtId="1" formatCode="0"/>
    </dxf>
    <dxf>
      <numFmt numFmtId="1" formatCode="0"/>
    </dxf>
    <dxf>
      <alignment vertical="bottom"/>
    </dxf>
    <dxf>
      <alignment horizontal="center"/>
    </dxf>
    <dxf>
      <alignment wrapText="1"/>
    </dxf>
    <dxf>
      <font>
        <sz val="11"/>
      </font>
    </dxf>
    <dxf>
      <font>
        <sz val="11"/>
      </font>
    </dxf>
    <dxf>
      <font>
        <sz val="11"/>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alignment wrapText="1"/>
    </dxf>
    <dxf>
      <font>
        <sz val="11"/>
      </font>
    </dxf>
    <dxf>
      <font>
        <sz val="11"/>
      </font>
    </dxf>
    <dxf>
      <font>
        <sz val="11"/>
      </font>
    </dxf>
    <dxf>
      <font>
        <sz val="11"/>
      </font>
    </dxf>
    <dxf>
      <font>
        <sz val="11"/>
      </font>
    </dxf>
    <dxf>
      <font>
        <sz val="9"/>
      </font>
    </dxf>
    <dxf>
      <font>
        <name val="Calibri"/>
        <scheme val="minor"/>
      </font>
    </dxf>
    <dxf>
      <font>
        <name val="Calibri"/>
        <scheme val="minor"/>
      </font>
    </dxf>
    <dxf>
      <font>
        <name val="Calibri"/>
        <scheme val="minor"/>
      </font>
    </dxf>
    <dxf>
      <font>
        <name val="Calibri"/>
        <scheme val="minor"/>
      </font>
    </dxf>
    <dxf>
      <font>
        <name val="Calibri"/>
        <scheme val="minor"/>
      </font>
    </dxf>
    <dxf>
      <alignment wrapText="1"/>
    </dxf>
    <dxf>
      <alignment wrapText="1"/>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numFmt numFmtId="164" formatCode="_(* #,##0_);_(* \(#,##0\);_(* &quot;-&quot;??_);_(@_)"/>
    </dxf>
    <dxf>
      <numFmt numFmtId="13" formatCode="0%"/>
    </dxf>
    <dxf>
      <font>
        <name val="Calibri"/>
        <scheme val="minor"/>
      </font>
    </dxf>
    <dxf>
      <font>
        <name val="Calibri"/>
        <scheme val="minor"/>
      </font>
    </dxf>
    <dxf>
      <font>
        <name val="Calibri"/>
        <scheme val="minor"/>
      </font>
    </dxf>
    <dxf>
      <font>
        <name val="Calibri"/>
        <scheme val="minor"/>
      </font>
    </dxf>
    <dxf>
      <font>
        <name val="Calibri"/>
        <scheme val="minor"/>
      </font>
    </dxf>
    <dxf>
      <font>
        <sz val="10"/>
      </font>
    </dxf>
    <dxf>
      <font>
        <sz val="10"/>
      </font>
    </dxf>
    <dxf>
      <font>
        <sz val="10"/>
      </font>
    </dxf>
    <dxf>
      <font>
        <sz val="10"/>
      </font>
    </dxf>
    <dxf>
      <font>
        <sz val="10"/>
      </font>
    </dxf>
    <dxf>
      <font>
        <sz val="10"/>
      </font>
    </dxf>
    <dxf>
      <font>
        <name val="Calibri"/>
        <scheme val="minor"/>
      </font>
    </dxf>
    <dxf>
      <font>
        <name val="Calibri"/>
        <scheme val="minor"/>
      </font>
    </dxf>
    <dxf>
      <font>
        <name val="Calibri"/>
        <scheme val="minor"/>
      </font>
    </dxf>
    <dxf>
      <font>
        <name val="Calibri"/>
        <scheme val="minor"/>
      </font>
    </dxf>
    <dxf>
      <numFmt numFmtId="13" formatCode="0%"/>
    </dxf>
    <dxf>
      <font>
        <sz val="11"/>
      </font>
    </dxf>
    <dxf>
      <font>
        <sz val="11"/>
      </font>
    </dxf>
    <dxf>
      <font>
        <sz val="11"/>
      </font>
    </dxf>
    <dxf>
      <font>
        <sz val="11"/>
      </font>
    </dxf>
    <dxf>
      <font>
        <name val="Calibri"/>
        <scheme val="minor"/>
      </font>
    </dxf>
    <dxf>
      <font>
        <name val="Calibri"/>
        <scheme val="minor"/>
      </font>
    </dxf>
    <dxf>
      <font>
        <name val="Calibri"/>
        <scheme val="minor"/>
      </font>
    </dxf>
    <dxf>
      <font>
        <name val="Calibri"/>
        <scheme val="minor"/>
      </font>
    </dxf>
    <dxf>
      <font>
        <sz val="10"/>
      </font>
    </dxf>
    <dxf>
      <numFmt numFmtId="1" formatCode="0"/>
    </dxf>
    <dxf>
      <alignment vertical="bottom"/>
    </dxf>
    <dxf>
      <alignment horizontal="center"/>
    </dxf>
    <dxf>
      <alignment wrapText="1"/>
    </dxf>
    <dxf>
      <font>
        <sz val="11"/>
      </font>
    </dxf>
    <dxf>
      <font>
        <sz val="11"/>
      </font>
    </dxf>
    <dxf>
      <font>
        <sz val="11"/>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b/>
        <color theme="0"/>
      </font>
      <fill>
        <patternFill patternType="solid">
          <fgColor indexed="64"/>
          <bgColor rgb="FF002060"/>
        </patternFill>
      </fill>
      <alignment wrapText="1"/>
    </dxf>
    <dxf>
      <font>
        <b/>
        <color theme="0"/>
      </font>
      <fill>
        <patternFill patternType="solid">
          <fgColor indexed="64"/>
          <bgColor rgb="FF002060"/>
        </patternFill>
      </fill>
      <alignment wrapText="1" readingOrder="0"/>
    </dxf>
    <dxf>
      <font>
        <b/>
        <color theme="0"/>
      </font>
      <fill>
        <patternFill patternType="solid">
          <fgColor indexed="64"/>
          <bgColor rgb="FF002060"/>
        </patternFill>
      </fill>
    </dxf>
    <dxf>
      <alignment horizontal="center" readingOrder="0"/>
    </dxf>
    <dxf>
      <alignment vertical="center" readingOrder="0"/>
    </dxf>
    <dxf>
      <alignment wrapText="1" readingOrder="0"/>
    </dxf>
    <dxf>
      <numFmt numFmtId="13" formatCode="0%"/>
    </dxf>
    <dxf>
      <font>
        <sz val="11"/>
      </font>
    </dxf>
    <dxf>
      <font>
        <sz val="11"/>
      </font>
    </dxf>
    <dxf>
      <font>
        <name val="Calibri"/>
        <scheme val="minor"/>
      </font>
    </dxf>
    <dxf>
      <font>
        <name val="Calibri"/>
        <scheme val="minor"/>
      </font>
    </dxf>
    <dxf>
      <font>
        <name val="Calibri"/>
        <scheme val="minor"/>
      </font>
    </dxf>
    <dxf>
      <alignment wrapText="1"/>
    </dxf>
    <dxf>
      <font>
        <sz val="11"/>
      </font>
    </dxf>
    <dxf>
      <font>
        <sz val="11"/>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numFmt numFmtId="13" formatCode="0%"/>
    </dxf>
    <dxf>
      <alignment vertical="bottom"/>
    </dxf>
    <dxf>
      <alignment horizontal="center"/>
    </dxf>
    <dxf>
      <alignment wrapText="1"/>
    </dxf>
    <dxf>
      <font>
        <sz val="11"/>
      </font>
    </dxf>
    <dxf>
      <font>
        <sz val="11"/>
      </font>
    </dxf>
    <dxf>
      <font>
        <sz val="11"/>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numFmt numFmtId="13" formatCode="0%"/>
    </dxf>
    <dxf>
      <alignment vertical="bottom"/>
    </dxf>
    <dxf>
      <alignment horizontal="center"/>
    </dxf>
    <dxf>
      <alignment wrapText="1"/>
    </dxf>
    <dxf>
      <font>
        <sz val="11"/>
      </font>
    </dxf>
    <dxf>
      <font>
        <sz val="11"/>
      </font>
    </dxf>
    <dxf>
      <font>
        <sz val="11"/>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sz val="11"/>
      </font>
    </dxf>
    <dxf>
      <font>
        <sz val="11"/>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numFmt numFmtId="164" formatCode="_(* #,##0_);_(* \(#,##0\);_(* &quot;-&quot;??_);_(@_)"/>
    </dxf>
    <dxf>
      <font>
        <sz val="11"/>
      </font>
    </dxf>
    <dxf>
      <font>
        <sz val="11"/>
      </font>
    </dxf>
    <dxf>
      <font>
        <sz val="11"/>
      </font>
    </dxf>
    <dxf>
      <font>
        <sz val="11"/>
      </font>
    </dxf>
    <dxf>
      <font>
        <name val="Calibri"/>
        <scheme val="minor"/>
      </font>
    </dxf>
    <dxf>
      <font>
        <name val="Calibri"/>
        <scheme val="minor"/>
      </font>
    </dxf>
    <dxf>
      <font>
        <name val="Calibri"/>
        <scheme val="minor"/>
      </font>
    </dxf>
    <dxf>
      <font>
        <name val="Calibri"/>
        <scheme val="minor"/>
      </font>
    </dxf>
    <dxf>
      <font>
        <sz val="10"/>
      </font>
    </dxf>
    <dxf>
      <font>
        <b/>
        <color theme="0"/>
      </font>
      <fill>
        <patternFill patternType="solid">
          <fgColor indexed="64"/>
          <bgColor theme="3" tint="-0.499984740745262"/>
        </patternFill>
      </fill>
    </dxf>
    <dxf>
      <font>
        <b/>
        <color theme="0"/>
      </font>
      <fill>
        <patternFill patternType="solid">
          <fgColor indexed="64"/>
          <bgColor theme="3" tint="-0.499984740745262"/>
        </patternFill>
      </fill>
    </dxf>
    <dxf>
      <font>
        <sz val="11"/>
      </font>
    </dxf>
    <dxf>
      <font>
        <sz val="11"/>
      </font>
    </dxf>
    <dxf>
      <font>
        <sz val="11"/>
      </font>
    </dxf>
    <dxf>
      <numFmt numFmtId="1" formatCode="0"/>
    </dxf>
    <dxf>
      <numFmt numFmtId="1" formatCode="0"/>
    </dxf>
    <dxf>
      <alignment wrapText="1"/>
    </dxf>
    <dxf>
      <font>
        <sz val="10"/>
      </font>
    </dxf>
    <dxf>
      <font>
        <name val="Calibri"/>
        <scheme val="minor"/>
      </font>
    </dxf>
    <dxf>
      <font>
        <name val="Calibri"/>
        <scheme val="minor"/>
      </font>
    </dxf>
    <dxf>
      <numFmt numFmtId="0" formatCode="General"/>
      <fill>
        <patternFill patternType="none">
          <bgColor auto="1"/>
        </patternFill>
      </fill>
    </dxf>
    <dxf>
      <numFmt numFmtId="0" formatCode="General"/>
      <fill>
        <patternFill patternType="none">
          <bgColor auto="1"/>
        </patternFill>
      </fill>
    </dxf>
    <dxf>
      <numFmt numFmtId="0" formatCode="General"/>
      <fill>
        <patternFill patternType="none">
          <bgColor auto="1"/>
        </patternFill>
      </fill>
    </dxf>
    <dxf>
      <numFmt numFmtId="0" formatCode="General"/>
      <fill>
        <patternFill patternType="none">
          <bgColor auto="1"/>
        </patternFill>
      </fill>
    </dxf>
    <dxf>
      <font>
        <strike val="0"/>
        <outline val="0"/>
        <shadow val="0"/>
        <u val="none"/>
        <vertAlign val="baseline"/>
        <sz val="10"/>
        <name val="Calibri"/>
        <scheme val="minor"/>
      </font>
      <fill>
        <patternFill patternType="none">
          <bgColor auto="1"/>
        </patternFill>
      </fill>
    </dxf>
    <dxf>
      <font>
        <strike val="0"/>
        <outline val="0"/>
        <shadow val="0"/>
        <u val="none"/>
        <vertAlign val="baseline"/>
        <sz val="10"/>
        <name val="Calibri"/>
        <scheme val="minor"/>
      </font>
      <fill>
        <patternFill patternType="none">
          <bgColor auto="1"/>
        </patternFill>
      </fill>
      <alignment horizontal="general" vertical="bottom" textRotation="0" wrapText="1" indent="0" justifyLastLine="0" shrinkToFit="0" readingOrder="1"/>
    </dxf>
    <dxf>
      <font>
        <strike val="0"/>
        <outline val="0"/>
        <shadow val="0"/>
        <u val="none"/>
        <vertAlign val="baseline"/>
        <sz val="10"/>
        <name val="Calibri"/>
        <scheme val="minor"/>
      </font>
      <numFmt numFmtId="165" formatCode="[$-409]d\-mmm\-yy;@"/>
      <fill>
        <patternFill patternType="none">
          <bgColor auto="1"/>
        </patternFill>
      </fill>
    </dxf>
    <dxf>
      <font>
        <strike val="0"/>
        <outline val="0"/>
        <shadow val="0"/>
        <u val="none"/>
        <vertAlign val="baseline"/>
        <sz val="10"/>
        <name val="Calibri"/>
        <scheme val="minor"/>
      </font>
      <numFmt numFmtId="1" formatCode="0"/>
      <fill>
        <patternFill patternType="none">
          <bgColor auto="1"/>
        </patternFill>
      </fill>
    </dxf>
    <dxf>
      <font>
        <strike val="0"/>
        <outline val="0"/>
        <shadow val="0"/>
        <u val="none"/>
        <vertAlign val="baseline"/>
        <sz val="10"/>
        <name val="Calibri"/>
        <scheme val="minor"/>
      </font>
      <numFmt numFmtId="0" formatCode="General"/>
      <fill>
        <patternFill patternType="none">
          <bgColor auto="1"/>
        </patternFill>
      </fill>
      <alignment horizontal="general" vertical="bottom" textRotation="0" wrapText="1" indent="0" justifyLastLine="0" shrinkToFit="0" readingOrder="1"/>
    </dxf>
    <dxf>
      <font>
        <strike val="0"/>
        <outline val="0"/>
        <shadow val="0"/>
        <u val="none"/>
        <vertAlign val="baseline"/>
        <sz val="10"/>
        <name val="Calibri"/>
        <scheme val="minor"/>
      </font>
      <fill>
        <patternFill patternType="none">
          <bgColor auto="1"/>
        </patternFill>
      </fill>
    </dxf>
    <dxf>
      <font>
        <strike val="0"/>
        <outline val="0"/>
        <shadow val="0"/>
        <u val="none"/>
        <vertAlign val="baseline"/>
        <sz val="10"/>
        <name val="Calibri"/>
        <scheme val="minor"/>
      </font>
      <fill>
        <patternFill patternType="none">
          <bgColor auto="1"/>
        </patternFill>
      </fill>
    </dxf>
    <dxf>
      <font>
        <strike val="0"/>
        <outline val="0"/>
        <shadow val="0"/>
        <u val="none"/>
        <vertAlign val="baseline"/>
        <sz val="10"/>
        <name val="Calibri"/>
        <scheme val="minor"/>
      </font>
      <fill>
        <patternFill patternType="none">
          <fgColor indexed="64"/>
          <bgColor auto="1"/>
        </patternFill>
      </fill>
    </dxf>
    <dxf>
      <font>
        <strike val="0"/>
        <outline val="0"/>
        <shadow val="0"/>
        <u val="none"/>
        <vertAlign val="baseline"/>
        <sz val="10"/>
        <name val="Calibri"/>
        <scheme val="minor"/>
      </font>
      <fill>
        <patternFill patternType="none">
          <fgColor indexed="64"/>
          <bgColor auto="1"/>
        </patternFill>
      </fill>
    </dxf>
    <dxf>
      <font>
        <strike val="0"/>
        <outline val="0"/>
        <shadow val="0"/>
        <u val="none"/>
        <vertAlign val="baseline"/>
        <sz val="10"/>
        <name val="Calibri"/>
        <scheme val="minor"/>
      </font>
      <fill>
        <patternFill patternType="none">
          <bgColor auto="1"/>
        </patternFill>
      </fill>
    </dxf>
    <dxf>
      <font>
        <strike val="0"/>
        <outline val="0"/>
        <shadow val="0"/>
        <u val="none"/>
        <vertAlign val="baseline"/>
        <sz val="10"/>
        <name val="Calibri"/>
        <scheme val="minor"/>
      </font>
      <fill>
        <patternFill patternType="none">
          <bgColor auto="1"/>
        </patternFill>
      </fill>
    </dxf>
    <dxf>
      <font>
        <strike val="0"/>
        <outline val="0"/>
        <shadow val="0"/>
        <u val="none"/>
        <vertAlign val="baseline"/>
        <sz val="10"/>
        <name val="Calibri"/>
        <scheme val="minor"/>
      </font>
      <fill>
        <patternFill patternType="none">
          <bgColor auto="1"/>
        </patternFill>
      </fill>
    </dxf>
    <dxf>
      <font>
        <strike val="0"/>
        <outline val="0"/>
        <shadow val="0"/>
        <u val="none"/>
        <vertAlign val="baseline"/>
        <sz val="10"/>
        <name val="Calibri"/>
        <scheme val="minor"/>
      </font>
      <fill>
        <patternFill patternType="none">
          <bgColor auto="1"/>
        </patternFill>
      </fill>
    </dxf>
    <dxf>
      <font>
        <strike val="0"/>
        <outline val="0"/>
        <shadow val="0"/>
        <u val="none"/>
        <vertAlign val="baseline"/>
        <sz val="10"/>
        <name val="Calibri"/>
        <scheme val="minor"/>
      </font>
      <fill>
        <patternFill patternType="none">
          <bgColor auto="1"/>
        </patternFill>
      </fill>
    </dxf>
    <dxf>
      <font>
        <strike val="0"/>
        <outline val="0"/>
        <shadow val="0"/>
        <u val="none"/>
        <vertAlign val="baseline"/>
        <sz val="10"/>
        <name val="Calibri"/>
        <scheme val="minor"/>
      </font>
      <fill>
        <patternFill patternType="none">
          <bgColor auto="1"/>
        </patternFill>
      </fill>
    </dxf>
    <dxf>
      <font>
        <b val="0"/>
        <i val="0"/>
        <strike val="0"/>
        <condense val="0"/>
        <extend val="0"/>
        <outline val="0"/>
        <shadow val="0"/>
        <u val="none"/>
        <vertAlign val="baseline"/>
        <sz val="10"/>
        <color theme="1"/>
        <name val="Calibri"/>
        <scheme val="minor"/>
      </font>
      <fill>
        <patternFill patternType="none">
          <bgColor auto="1"/>
        </patternFill>
      </fill>
    </dxf>
    <dxf>
      <font>
        <b val="0"/>
        <i val="0"/>
        <strike val="0"/>
        <condense val="0"/>
        <extend val="0"/>
        <outline val="0"/>
        <shadow val="0"/>
        <u val="none"/>
        <vertAlign val="baseline"/>
        <sz val="10"/>
        <color theme="1"/>
        <name val="Calibri"/>
        <scheme val="minor"/>
      </font>
      <fill>
        <patternFill patternType="none">
          <bgColor auto="1"/>
        </patternFill>
      </fill>
    </dxf>
    <dxf>
      <font>
        <strike val="0"/>
        <outline val="0"/>
        <shadow val="0"/>
        <u val="none"/>
        <vertAlign val="baseline"/>
        <sz val="10"/>
        <name val="Calibri"/>
        <scheme val="minor"/>
      </font>
      <fill>
        <patternFill patternType="none">
          <bgColor auto="1"/>
        </patternFill>
      </fill>
    </dxf>
    <dxf>
      <font>
        <b val="0"/>
        <i val="0"/>
        <strike val="0"/>
        <condense val="0"/>
        <extend val="0"/>
        <outline val="0"/>
        <shadow val="0"/>
        <u val="none"/>
        <vertAlign val="baseline"/>
        <sz val="10"/>
        <color auto="1"/>
        <name val="Calibri"/>
        <family val="2"/>
        <scheme val="minor"/>
      </font>
      <numFmt numFmtId="0" formatCode="General"/>
      <fill>
        <patternFill patternType="none">
          <fgColor indexed="64"/>
          <bgColor auto="1"/>
        </patternFill>
      </fill>
    </dxf>
    <dxf>
      <font>
        <strike val="0"/>
        <outline val="0"/>
        <shadow val="0"/>
        <u val="none"/>
        <vertAlign val="baseline"/>
        <sz val="10"/>
        <name val="Calibri"/>
        <scheme val="minor"/>
      </font>
      <numFmt numFmtId="1" formatCode="0"/>
      <fill>
        <patternFill patternType="none">
          <fgColor indexed="64"/>
          <bgColor auto="1"/>
        </patternFill>
      </fill>
      <border diagonalUp="0" diagonalDown="0" outline="0">
        <left/>
        <right/>
        <top style="thin">
          <color theme="4" tint="0.39997558519241921"/>
        </top>
        <bottom/>
      </border>
    </dxf>
    <dxf>
      <font>
        <strike val="0"/>
        <outline val="0"/>
        <shadow val="0"/>
        <u val="none"/>
        <vertAlign val="baseline"/>
        <sz val="10"/>
        <name val="Calibri"/>
        <scheme val="minor"/>
      </font>
      <numFmt numFmtId="0" formatCode="General"/>
      <fill>
        <patternFill patternType="none">
          <fgColor indexed="64"/>
          <bgColor auto="1"/>
        </patternFill>
      </fill>
      <border diagonalUp="0" diagonalDown="0" outline="0">
        <left/>
        <right/>
        <top style="thin">
          <color theme="4" tint="0.39997558519241921"/>
        </top>
        <bottom/>
      </border>
    </dxf>
    <dxf>
      <font>
        <strike val="0"/>
        <outline val="0"/>
        <shadow val="0"/>
        <u val="none"/>
        <vertAlign val="baseline"/>
        <sz val="10"/>
        <name val="Calibri"/>
        <scheme val="minor"/>
      </font>
      <numFmt numFmtId="1" formatCode="0"/>
      <fill>
        <patternFill patternType="none">
          <fgColor indexed="64"/>
          <bgColor indexed="65"/>
        </patternFill>
      </fill>
    </dxf>
    <dxf>
      <fill>
        <patternFill patternType="none">
          <bgColor auto="1"/>
        </patternFill>
      </fill>
    </dxf>
    <dxf>
      <font>
        <strike val="0"/>
        <outline val="0"/>
        <shadow val="0"/>
        <u val="none"/>
        <vertAlign val="baseline"/>
        <sz val="10"/>
        <name val="Calibri"/>
        <scheme val="minor"/>
      </font>
    </dxf>
    <dxf>
      <font>
        <b/>
        <i val="0"/>
        <color rgb="FFFF0000"/>
      </font>
      <fill>
        <patternFill>
          <bgColor theme="5" tint="0.59996337778862885"/>
        </patternFill>
      </fill>
    </dxf>
    <dxf>
      <font>
        <b/>
        <i val="0"/>
        <color rgb="FFFF0000"/>
      </font>
      <fill>
        <patternFill>
          <bgColor theme="5" tint="0.59996337778862885"/>
        </patternFill>
      </fill>
    </dxf>
    <dxf>
      <font>
        <b/>
        <i val="0"/>
        <color rgb="FFFF0000"/>
      </font>
      <fill>
        <patternFill>
          <bgColor theme="5" tint="0.59996337778862885"/>
        </patternFill>
      </fill>
    </dxf>
    <dxf>
      <font>
        <b/>
        <i val="0"/>
        <color rgb="FFFF0000"/>
      </font>
      <fill>
        <patternFill>
          <bgColor theme="5" tint="0.59996337778862885"/>
        </patternFill>
      </fill>
    </dxf>
    <dxf>
      <font>
        <b/>
        <i val="0"/>
        <color rgb="FFFF0000"/>
      </font>
      <fill>
        <patternFill>
          <bgColor theme="5" tint="0.59996337778862885"/>
        </patternFill>
      </fill>
    </dxf>
    <dxf>
      <font>
        <b/>
        <i val="0"/>
        <color rgb="FFFF0000"/>
      </font>
      <fill>
        <patternFill>
          <bgColor theme="5" tint="0.59996337778862885"/>
        </patternFill>
      </fill>
    </dxf>
    <dxf>
      <font>
        <b val="0"/>
        <i val="0"/>
        <strike val="0"/>
        <condense val="0"/>
        <extend val="0"/>
        <outline val="0"/>
        <shadow val="0"/>
        <u val="none"/>
        <vertAlign val="baseline"/>
        <sz val="10"/>
        <color rgb="FF2C2C2C"/>
        <name val="Corbel"/>
        <scheme val="none"/>
      </font>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0" formatCode="General"/>
      <fill>
        <patternFill patternType="none">
          <fgColor indexed="64"/>
          <bgColor auto="1"/>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0" formatCode="General"/>
      <fill>
        <patternFill patternType="none">
          <fgColor indexed="64"/>
          <bgColor auto="1"/>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0" formatCode="General"/>
      <fill>
        <patternFill patternType="none">
          <fgColor indexed="64"/>
          <bgColor auto="1"/>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3" formatCode="0%"/>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0" formatCode="General"/>
      <fill>
        <patternFill patternType="none">
          <fgColor indexed="64"/>
          <bgColor auto="1"/>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3" formatCode="0%"/>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family val="2"/>
        <scheme val="none"/>
      </font>
      <numFmt numFmtId="0" formatCode="General"/>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3" formatCode="0%"/>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family val="2"/>
        <scheme val="none"/>
      </font>
      <numFmt numFmtId="0" formatCode="General"/>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3" formatCode="0%"/>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family val="2"/>
        <scheme val="none"/>
      </font>
      <numFmt numFmtId="0" formatCode="General"/>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3" formatCode="0%"/>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0" formatCode="General"/>
      <fill>
        <patternFill patternType="none">
          <fgColor indexed="64"/>
          <bgColor auto="1"/>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0" formatCode="General"/>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0" formatCode="General"/>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0" formatCode="General"/>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0" formatCode="General"/>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0" formatCode="General"/>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0" formatCode="General"/>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0" formatCode="General"/>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0" formatCode="General"/>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0" formatCode="General"/>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0" formatCode="General"/>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0" formatCode="General"/>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0" formatCode="General"/>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0" formatCode="General"/>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0" formatCode="General"/>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0" formatCode="General"/>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0" formatCode="General"/>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 formatCode="0"/>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family val="2"/>
        <scheme val="none"/>
      </font>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 formatCode="0"/>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family val="2"/>
        <scheme val="none"/>
      </font>
      <numFmt numFmtId="1" formatCode="0"/>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3" formatCode="0%"/>
      <fill>
        <patternFill patternType="solid">
          <fgColor indexed="64"/>
          <bgColor theme="0" tint="-0.14999847407452621"/>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3" formatCode="0%"/>
      <fill>
        <patternFill patternType="none">
          <fgColor indexed="64"/>
          <bgColor auto="1"/>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3" formatCode="0%"/>
      <fill>
        <patternFill patternType="solid">
          <fgColor indexed="64"/>
          <bgColor theme="0" tint="-0.14999847407452621"/>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fill>
        <patternFill patternType="none">
          <fgColor indexed="64"/>
          <bgColor auto="1"/>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3" formatCode="0%"/>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3" formatCode="0%"/>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3" formatCode="0%"/>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3" formatCode="0%"/>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2" formatCode="0.00"/>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 formatCode="0"/>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2" formatCode="0.00"/>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 formatCode="0"/>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3" formatCode="0%"/>
      <fill>
        <patternFill patternType="solid">
          <fgColor indexed="64"/>
          <bgColor theme="0" tint="-0.14999847407452621"/>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 formatCode="0"/>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3" formatCode="0%"/>
      <fill>
        <patternFill patternType="solid">
          <fgColor indexed="64"/>
          <bgColor theme="0" tint="-0.14999847407452621"/>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 formatCode="0"/>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 formatCode="0"/>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 formatCode="0"/>
      <fill>
        <patternFill patternType="none">
          <fgColor indexed="64"/>
          <bgColor auto="1"/>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3" formatCode="0%"/>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3" formatCode="0%"/>
      <fill>
        <patternFill patternType="none">
          <fgColor indexed="64"/>
          <bgColor auto="1"/>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3" formatCode="0%"/>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3" formatCode="0%"/>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 formatCode="0"/>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 formatCode="0"/>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 formatCode="0"/>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 formatCode="0"/>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0" formatCode="General"/>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 formatCode="0"/>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3" formatCode="0%"/>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 formatCode="0"/>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 formatCode="0"/>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family val="2"/>
        <scheme val="none"/>
      </font>
      <numFmt numFmtId="13" formatCode="0%"/>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0" formatCode="General"/>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 formatCode="0"/>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0" formatCode="General"/>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family val="2"/>
        <scheme val="none"/>
      </font>
      <numFmt numFmtId="1" formatCode="0"/>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 formatCode="0"/>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 formatCode="0"/>
      <fill>
        <patternFill patternType="none">
          <fgColor indexed="64"/>
          <bgColor auto="1"/>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3" formatCode="0%"/>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3" formatCode="0%"/>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0" formatCode="General"/>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 formatCode="0"/>
      <fill>
        <patternFill patternType="none">
          <fgColor indexed="64"/>
          <bgColor auto="1"/>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 formatCode="0"/>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 formatCode="0"/>
      <fill>
        <patternFill patternType="none">
          <fgColor indexed="64"/>
          <bgColor auto="1"/>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3" formatCode="0%"/>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3" formatCode="0%"/>
      <fill>
        <patternFill patternType="none">
          <fgColor indexed="64"/>
          <bgColor auto="1"/>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 formatCode="0"/>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 formatCode="0"/>
      <fill>
        <patternFill patternType="none">
          <fgColor indexed="64"/>
          <bgColor auto="1"/>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0" formatCode="General"/>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3" formatCode="0%"/>
      <fill>
        <patternFill patternType="none">
          <fgColor indexed="64"/>
          <bgColor auto="1"/>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 formatCode="0"/>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 formatCode="0"/>
      <fill>
        <patternFill patternType="none">
          <fgColor indexed="64"/>
          <bgColor auto="1"/>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 formatCode="0"/>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3" formatCode="0%"/>
      <fill>
        <patternFill patternType="none">
          <fgColor indexed="64"/>
          <bgColor auto="1"/>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 formatCode="0"/>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 formatCode="0"/>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3" formatCode="0%"/>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fill>
        <patternFill patternType="none">
          <fgColor indexed="64"/>
          <bgColor auto="1"/>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3" formatCode="0%"/>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3" formatCode="0%"/>
      <fill>
        <patternFill patternType="none">
          <fgColor indexed="64"/>
          <bgColor auto="1"/>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 formatCode="0"/>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30" formatCode="@"/>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 formatCode="0"/>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30" formatCode="@"/>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 formatCode="0"/>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family val="2"/>
        <scheme val="none"/>
      </font>
      <numFmt numFmtId="1" formatCode="0"/>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 formatCode="0"/>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family val="2"/>
        <scheme val="none"/>
      </font>
      <numFmt numFmtId="164" formatCode="_(* #,##0_);_(* \(#,##0\);_(* &quot;-&quot;??_);_(@_)"/>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 formatCode="0"/>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family val="2"/>
        <scheme val="none"/>
      </font>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 formatCode="0"/>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family val="2"/>
        <scheme val="none"/>
      </font>
      <numFmt numFmtId="164" formatCode="_(* #,##0_);_(* \(#,##0\);_(* &quot;-&quot;??_);_(@_)"/>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 formatCode="0"/>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family val="2"/>
        <scheme val="none"/>
      </font>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 formatCode="0"/>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family val="2"/>
        <scheme val="none"/>
      </font>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 formatCode="0"/>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30" formatCode="@"/>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 formatCode="0"/>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 formatCode="0"/>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family val="2"/>
        <scheme val="none"/>
      </font>
      <numFmt numFmtId="164" formatCode="_(* #,##0_);_(* \(#,##0\);_(* &quot;-&quot;??_);_(@_)"/>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 formatCode="0"/>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64" formatCode="_(* #,##0_);_(* \(#,##0\);_(* &quot;-&quot;??_);_(@_)"/>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 formatCode="0"/>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family val="2"/>
        <scheme val="none"/>
      </font>
      <numFmt numFmtId="164" formatCode="_(* #,##0_);_(* \(#,##0\);_(* &quot;-&quot;??_);_(@_)"/>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 formatCode="0"/>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64" formatCode="_(* #,##0_);_(* \(#,##0\);_(* &quot;-&quot;??_);_(@_)"/>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 formatCode="0"/>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64" formatCode="_(* #,##0_);_(* \(#,##0\);_(* &quot;-&quot;??_);_(@_)"/>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 formatCode="0"/>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64" formatCode="_(* #,##0_);_(* \(#,##0\);_(* &quot;-&quot;??_);_(@_)"/>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 formatCode="0"/>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64" formatCode="_(* #,##0_);_(* \(#,##0\);_(* &quot;-&quot;??_);_(@_)"/>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 formatCode="0"/>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64" formatCode="_(* #,##0_);_(* \(#,##0\);_(* &quot;-&quot;??_);_(@_)"/>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 formatCode="0"/>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64" formatCode="_(* #,##0_);_(* \(#,##0\);_(* &quot;-&quot;??_);_(@_)"/>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 formatCode="0"/>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30" formatCode="@"/>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 formatCode="0"/>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64" formatCode="_(* #,##0_);_(* \(#,##0\);_(* &quot;-&quot;??_);_(@_)"/>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 formatCode="0"/>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64" formatCode="_(* #,##0_);_(* \(#,##0\);_(* &quot;-&quot;??_);_(@_)"/>
      <fill>
        <patternFill patternType="none">
          <fgColor indexed="64"/>
          <bgColor auto="1"/>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 formatCode="0"/>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64" formatCode="_(* #,##0_);_(* \(#,##0\);_(* &quot;-&quot;??_);_(@_)"/>
      <fill>
        <patternFill patternType="none">
          <fgColor indexed="64"/>
          <bgColor auto="1"/>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 formatCode="0"/>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64" formatCode="_(* #,##0_);_(* \(#,##0\);_(* &quot;-&quot;??_);_(@_)"/>
      <fill>
        <patternFill patternType="none">
          <fgColor indexed="64"/>
          <bgColor auto="1"/>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 formatCode="0"/>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 formatCode="0"/>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 formatCode="0"/>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 formatCode="0"/>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fill>
        <patternFill patternType="none">
          <fgColor indexed="64"/>
          <bgColor auto="1"/>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 formatCode="0"/>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64" formatCode="_(* #,##0_);_(* \(#,##0\);_(* &quot;-&quot;??_);_(@_)"/>
      <fill>
        <patternFill patternType="none">
          <fgColor indexed="64"/>
          <bgColor auto="1"/>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 formatCode="0"/>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fill>
        <patternFill patternType="none">
          <fgColor indexed="64"/>
          <bgColor auto="1"/>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64" formatCode="_(* #,##0_);_(* \(#,##0\);_(* &quot;-&quot;??_);_(@_)"/>
      <fill>
        <patternFill patternType="none">
          <fgColor indexed="64"/>
          <bgColor auto="1"/>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64" formatCode="_(* #,##0_);_(* \(#,##0\);_(* &quot;-&quot;??_);_(@_)"/>
      <fill>
        <patternFill patternType="none">
          <fgColor indexed="64"/>
          <bgColor auto="1"/>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 formatCode="0"/>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64" formatCode="_(* #,##0_);_(* \(#,##0\);_(* &quot;-&quot;??_);_(@_)"/>
      <fill>
        <patternFill patternType="none">
          <fgColor indexed="64"/>
          <bgColor auto="1"/>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 formatCode="0"/>
      <fill>
        <patternFill patternType="solid">
          <fgColor indexed="64"/>
          <bgColor theme="4" tint="0.5999938962981048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30" formatCode="@"/>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 formatCode="0"/>
      <fill>
        <patternFill patternType="solid">
          <fgColor indexed="64"/>
          <bgColor theme="4" tint="0.5999938962981048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64" formatCode="_(* #,##0_);_(* \(#,##0\);_(* &quot;-&quot;??_);_(@_)"/>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 formatCode="0"/>
      <fill>
        <patternFill patternType="solid">
          <fgColor indexed="64"/>
          <bgColor theme="4" tint="0.5999938962981048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64" formatCode="_(* #,##0_);_(* \(#,##0\);_(* &quot;-&quot;??_);_(@_)"/>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 formatCode="0"/>
      <fill>
        <patternFill patternType="solid">
          <fgColor indexed="64"/>
          <bgColor theme="4" tint="0.5999938962981048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64" formatCode="_(* #,##0_);_(* \(#,##0\);_(* &quot;-&quot;??_);_(@_)"/>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 formatCode="0"/>
      <fill>
        <patternFill patternType="solid">
          <fgColor indexed="64"/>
          <bgColor theme="4" tint="0.5999938962981048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64" formatCode="_(* #,##0_);_(* \(#,##0\);_(* &quot;-&quot;??_);_(@_)"/>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 formatCode="0"/>
      <fill>
        <patternFill patternType="solid">
          <fgColor indexed="64"/>
          <bgColor theme="4" tint="0.5999938962981048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64" formatCode="_(* #,##0_);_(* \(#,##0\);_(* &quot;-&quot;??_);_(@_)"/>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 formatCode="0"/>
      <fill>
        <patternFill patternType="solid">
          <fgColor indexed="64"/>
          <bgColor theme="4" tint="0.5999938962981048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64" formatCode="_(* #,##0_);_(* \(#,##0\);_(* &quot;-&quot;??_);_(@_)"/>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 formatCode="0"/>
      <fill>
        <patternFill patternType="solid">
          <fgColor indexed="64"/>
          <bgColor theme="4" tint="0.5999938962981048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64" formatCode="_(* #,##0_);_(* \(#,##0\);_(* &quot;-&quot;??_);_(@_)"/>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 formatCode="0"/>
      <fill>
        <patternFill patternType="solid">
          <fgColor indexed="64"/>
          <bgColor theme="4" tint="0.5999938962981048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64" formatCode="_(* #,##0_);_(* \(#,##0\);_(* &quot;-&quot;??_);_(@_)"/>
      <fill>
        <patternFill patternType="none">
          <fgColor indexed="64"/>
          <bgColor auto="1"/>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fill>
        <patternFill patternType="solid">
          <fgColor indexed="64"/>
          <bgColor theme="4" tint="0.5999938962981048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64" formatCode="_(* #,##0_);_(* \(#,##0\);_(* &quot;-&quot;??_);_(@_)"/>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fill>
        <patternFill patternType="solid">
          <fgColor indexed="64"/>
          <bgColor theme="4" tint="0.5999938962981048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64" formatCode="_(* #,##0_);_(* \(#,##0\);_(* &quot;-&quot;??_);_(@_)"/>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fill>
        <patternFill patternType="solid">
          <fgColor indexed="64"/>
          <bgColor theme="4" tint="0.5999938962981048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family val="2"/>
        <scheme val="none"/>
      </font>
      <numFmt numFmtId="164" formatCode="_(* #,##0_);_(* \(#,##0\);_(* &quot;-&quot;??_);_(@_)"/>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64" formatCode="_(* #,##0_);_(* \(#,##0\);_(* &quot;-&quot;??_);_(@_)"/>
      <fill>
        <patternFill patternType="none">
          <fgColor indexed="64"/>
          <bgColor auto="1"/>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64" formatCode="_(* #,##0_);_(* \(#,##0\);_(* &quot;-&quot;??_);_(@_)"/>
      <fill>
        <patternFill patternType="none">
          <fgColor indexed="64"/>
          <bgColor auto="1"/>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fill>
        <patternFill patternType="none">
          <fgColor indexed="64"/>
          <bgColor auto="1"/>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64" formatCode="_(* #,##0_);_(* \(#,##0\);_(* &quot;-&quot;??_);_(@_)"/>
      <fill>
        <patternFill patternType="none">
          <fgColor indexed="64"/>
          <bgColor auto="1"/>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0" formatCode="General"/>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64" formatCode="_(* #,##0_);_(* \(#,##0\);_(* &quot;-&quot;??_);_(@_)"/>
      <fill>
        <patternFill patternType="none">
          <fgColor indexed="64"/>
          <bgColor auto="1"/>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0" formatCode="General"/>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64" formatCode="_(* #,##0_);_(* \(#,##0\);_(* &quot;-&quot;??_);_(@_)"/>
      <fill>
        <patternFill patternType="none">
          <fgColor indexed="64"/>
          <bgColor auto="1"/>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64" formatCode="_(* #,##0_);_(* \(#,##0\);_(* &quot;-&quot;??_);_(@_)"/>
      <fill>
        <patternFill patternType="none">
          <fgColor indexed="64"/>
          <bgColor auto="1"/>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65" formatCode="[$-409]d\-mmm\-yy;@"/>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65" formatCode="[$-409]d\-mmm\-yy;@"/>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68" formatCode="[$-409]d\-mmm\-yyyy;@"/>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64" formatCode="_(* #,##0_);_(* \(#,##0\);_(* &quot;-&quot;??_);_(@_)"/>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64" formatCode="_(* #,##0_);_(* \(#,##0\);_(* &quot;-&quot;??_);_(@_)"/>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fill>
        <patternFill patternType="none">
          <fgColor indexed="64"/>
          <bgColor auto="1"/>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0" formatCode="General"/>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0" formatCode="General"/>
      <fill>
        <patternFill patternType="none">
          <fgColor indexed="64"/>
          <bgColor auto="1"/>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fill>
        <patternFill patternType="none">
          <fgColor indexed="64"/>
          <bgColor auto="1"/>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fill>
        <patternFill patternType="none">
          <fgColor indexed="64"/>
          <bgColor auto="1"/>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fill>
        <patternFill patternType="none">
          <fgColor indexed="64"/>
          <bgColor auto="1"/>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fill>
        <patternFill patternType="none">
          <fgColor indexed="64"/>
          <bgColor auto="1"/>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67" formatCode="yyyy/mm/dd"/>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67" formatCode="yyyy/mm/dd"/>
      <fill>
        <patternFill patternType="none">
          <fgColor indexed="64"/>
          <bgColor auto="1"/>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67" formatCode="yyyy/mm/dd"/>
      <fill>
        <patternFill patternType="none">
          <fgColor indexed="64"/>
          <bgColor indexed="65"/>
        </patternFill>
      </fill>
      <alignment horizontal="left" vertical="center" textRotation="0" wrapText="0" indent="0" justifyLastLine="0" shrinkToFit="0" readingOrder="1"/>
    </dxf>
    <dxf>
      <font>
        <b val="0"/>
        <i val="0"/>
        <strike val="0"/>
        <condense val="0"/>
        <extend val="0"/>
        <outline val="0"/>
        <shadow val="0"/>
        <u val="none"/>
        <vertAlign val="baseline"/>
        <sz val="10"/>
        <color rgb="FF2C2C2C"/>
        <name val="Corbel"/>
        <scheme val="none"/>
      </font>
      <numFmt numFmtId="167" formatCode="yyyy/mm/dd"/>
      <fill>
        <patternFill patternType="none">
          <fgColor indexed="64"/>
          <bgColor auto="1"/>
        </patternFill>
      </fill>
      <alignment horizontal="left" vertical="center" textRotation="0" wrapText="0" indent="0" justifyLastLine="0" shrinkToFit="0" readingOrder="1"/>
    </dxf>
    <dxf>
      <border outline="0">
        <left style="medium">
          <color rgb="FFFFFFFF"/>
        </left>
      </border>
    </dxf>
    <dxf>
      <font>
        <b val="0"/>
        <i val="0"/>
        <strike val="0"/>
        <condense val="0"/>
        <extend val="0"/>
        <outline val="0"/>
        <shadow val="0"/>
        <u val="none"/>
        <vertAlign val="baseline"/>
        <sz val="10"/>
        <color rgb="FF2C2C2C"/>
        <name val="Corbel"/>
        <scheme val="none"/>
      </font>
      <fill>
        <patternFill patternType="none">
          <fgColor indexed="64"/>
          <bgColor auto="1"/>
        </patternFill>
      </fill>
      <alignment horizontal="left" vertical="center" textRotation="0" wrapText="0" indent="0" justifyLastLine="0" shrinkToFit="0" readingOrder="1"/>
    </dxf>
    <dxf>
      <border outline="0">
        <bottom style="medium">
          <color rgb="FFFFFFFF"/>
        </bottom>
      </border>
    </dxf>
    <dxf>
      <font>
        <b val="0"/>
        <strike val="0"/>
        <outline val="0"/>
        <shadow val="0"/>
        <u val="none"/>
        <vertAlign val="baseline"/>
        <sz val="9"/>
        <name val="Corbel"/>
        <scheme val="none"/>
      </font>
      <fill>
        <patternFill patternType="none">
          <fgColor indexed="64"/>
          <bgColor auto="1"/>
        </patternFill>
      </fill>
      <alignment textRotation="0" wrapText="1" indent="0" justifyLastLine="0" shrinkToFit="0"/>
    </dxf>
    <dxf>
      <fill>
        <patternFill>
          <bgColor theme="4" tint="-0.24994659260841701"/>
        </patternFill>
      </fill>
    </dxf>
    <dxf>
      <fill>
        <patternFill>
          <bgColor rgb="FFCEFD95"/>
        </patternFill>
      </fill>
    </dxf>
    <dxf>
      <fill>
        <patternFill>
          <bgColor theme="4" tint="0.59996337778862885"/>
        </patternFill>
      </fill>
    </dxf>
    <dxf>
      <fill>
        <patternFill>
          <bgColor rgb="FFE1F3F2"/>
        </patternFill>
      </fill>
    </dxf>
    <dxf>
      <fill>
        <patternFill>
          <bgColor rgb="FFEAFFC1"/>
        </patternFill>
      </fill>
    </dxf>
    <dxf>
      <fill>
        <patternFill>
          <bgColor rgb="FFFCFCD0"/>
        </patternFill>
      </fill>
    </dxf>
    <dxf>
      <fill>
        <patternFill>
          <bgColor theme="7" tint="0.79998168889431442"/>
        </patternFill>
      </fill>
    </dxf>
    <dxf>
      <fill>
        <patternFill>
          <bgColor theme="4" tint="0.79998168889431442"/>
        </patternFill>
      </fill>
      <border>
        <left style="thin">
          <color theme="8"/>
        </left>
        <right style="thin">
          <color theme="8"/>
        </right>
        <top style="thin">
          <color theme="8"/>
        </top>
        <bottom style="thin">
          <color theme="8"/>
        </bottom>
        <vertical style="thin">
          <color theme="8"/>
        </vertical>
        <horizontal style="thin">
          <color theme="8"/>
        </horizontal>
      </border>
    </dxf>
    <dxf>
      <border>
        <vertical style="thin">
          <color auto="1"/>
        </vertical>
        <horizontal style="thin">
          <color auto="1"/>
        </horizontal>
      </border>
    </dxf>
    <dxf>
      <font>
        <b/>
        <color theme="1"/>
      </font>
    </dxf>
    <dxf>
      <font>
        <b/>
        <color theme="1"/>
      </font>
      <fill>
        <patternFill patternType="solid">
          <fgColor theme="4" tint="0.79998168889431442"/>
          <bgColor theme="4" tint="0.79998168889431442"/>
        </patternFill>
      </fill>
      <border>
        <bottom style="thin">
          <color theme="0"/>
        </bottom>
      </border>
    </dxf>
    <dxf>
      <border>
        <top style="thin">
          <color theme="4" tint="0.79998168889431442"/>
        </top>
      </border>
    </dxf>
    <dxf>
      <border>
        <top style="thin">
          <color theme="4" tint="0.79998168889431442"/>
        </top>
      </border>
    </dxf>
    <dxf>
      <font>
        <b/>
        <color theme="1"/>
      </font>
    </dxf>
    <dxf>
      <font>
        <b/>
        <color theme="1"/>
      </font>
      <fill>
        <patternFill patternType="solid">
          <fgColor theme="4" tint="0.79998168889431442"/>
          <bgColor theme="4" tint="0.79998168889431442"/>
        </patternFill>
      </fill>
      <border>
        <top style="thin">
          <color theme="4" tint="0.59999389629810485"/>
        </top>
        <bottom style="thin">
          <color theme="4" tint="0.59999389629810485"/>
        </bottom>
      </border>
    </dxf>
    <dxf>
      <border>
        <left style="thin">
          <color theme="4"/>
        </left>
        <right style="thin">
          <color theme="4"/>
        </right>
        <top style="thin">
          <color theme="4"/>
        </top>
        <bottom style="thin">
          <color theme="4"/>
        </bottom>
        <vertical style="thin">
          <color theme="4"/>
        </vertical>
        <horizontal style="thin">
          <color theme="4"/>
        </horizontal>
      </border>
    </dxf>
    <dxf>
      <border>
        <vertical style="thin">
          <color theme="4" tint="0.39994506668294322"/>
        </vertical>
        <horizontal style="thin">
          <color theme="4" tint="0.39994506668294322"/>
        </horizontal>
      </border>
    </dxf>
    <dxf>
      <border>
        <left style="thin">
          <color theme="4" tint="0.59999389629810485"/>
        </left>
        <right style="thin">
          <color theme="4" tint="0.59999389629810485"/>
        </right>
        <top style="thin">
          <color theme="4" tint="0.59999389629810485"/>
        </top>
        <bottom style="thin">
          <color theme="4" tint="0.59999389629810485"/>
        </bottom>
        <vertical style="thin">
          <color theme="4" tint="0.59999389629810485"/>
        </vertical>
        <horizontal style="thin">
          <color theme="4" tint="0.59999389629810485"/>
        </horizontal>
      </border>
    </dxf>
    <dxf>
      <border>
        <right style="thin">
          <color theme="4"/>
        </right>
      </border>
    </dxf>
    <dxf>
      <font>
        <b/>
        <color theme="1"/>
      </font>
      <border>
        <left style="medium">
          <color theme="4"/>
        </left>
        <right style="medium">
          <color theme="4"/>
        </right>
        <top style="medium">
          <color theme="4"/>
        </top>
        <bottom style="medium">
          <color theme="4"/>
        </bottom>
      </border>
    </dxf>
    <dxf>
      <font>
        <b/>
        <color theme="1"/>
      </font>
      <border>
        <left style="medium">
          <color theme="4"/>
        </left>
        <right style="medium">
          <color theme="4"/>
        </right>
        <top style="medium">
          <color theme="4"/>
        </top>
        <bottom style="medium">
          <color theme="4"/>
        </bottom>
        <horizontal style="thin">
          <color theme="0"/>
        </horizontal>
      </border>
    </dxf>
    <dxf>
      <font>
        <color theme="4" tint="-0.249977111117893"/>
      </font>
      <border>
        <left style="thin">
          <color theme="4"/>
        </left>
        <right style="thin">
          <color theme="4"/>
        </right>
        <top style="thin">
          <color theme="4"/>
        </top>
        <bottom style="thin">
          <color theme="4"/>
        </bottom>
        <vertical style="thin">
          <color theme="4"/>
        </vertical>
        <horizontal/>
      </border>
    </dxf>
    <dxf>
      <font>
        <color theme="4" tint="-0.249977111117893"/>
      </font>
    </dxf>
    <dxf>
      <font>
        <color theme="4" tint="-0.249977111117893"/>
      </font>
    </dxf>
    <dxf>
      <font>
        <color theme="4" tint="-0.249977111117893"/>
      </font>
    </dxf>
    <dxf>
      <font>
        <color theme="4" tint="-0.249977111117893"/>
      </font>
    </dxf>
    <dxf>
      <fill>
        <patternFill patternType="solid">
          <fgColor theme="4" tint="0.79998168889431442"/>
          <bgColor theme="4" tint="0.79998168889431442"/>
        </patternFill>
      </fill>
    </dxf>
    <dxf>
      <fill>
        <patternFill patternType="solid">
          <fgColor theme="4" tint="0.79998168889431442"/>
          <bgColor theme="4" tint="0.79998168889431442"/>
        </patternFill>
      </fill>
      <border>
        <top style="thin">
          <color theme="1" tint="0.499984740745262"/>
        </top>
        <bottom style="thin">
          <color theme="1" tint="0.499984740745262"/>
        </bottom>
      </border>
    </dxf>
    <dxf>
      <font>
        <color theme="4" tint="-0.249977111117893"/>
      </font>
    </dxf>
    <dxf>
      <font>
        <color theme="4" tint="-0.249977111117893"/>
      </font>
      <border>
        <top style="thin">
          <color theme="4"/>
        </top>
      </border>
    </dxf>
    <dxf>
      <font>
        <color theme="4" tint="-0.249977111117893"/>
      </font>
      <border>
        <bottom style="thin">
          <color theme="4"/>
        </bottom>
      </border>
    </dxf>
    <dxf>
      <font>
        <color theme="4" tint="-0.249977111117893"/>
      </font>
      <border>
        <left style="thin">
          <color theme="4"/>
        </left>
        <right style="thin">
          <color theme="4"/>
        </right>
        <top style="thin">
          <color theme="4"/>
        </top>
        <bottom style="thin">
          <color theme="4"/>
        </bottom>
        <vertical style="thin">
          <color theme="4"/>
        </vertical>
      </border>
    </dxf>
    <dxf>
      <font>
        <b/>
        <color theme="1"/>
      </font>
    </dxf>
    <dxf>
      <font>
        <b/>
        <color theme="1"/>
      </font>
      <fill>
        <patternFill patternType="solid">
          <fgColor theme="9" tint="0.79998168889431442"/>
          <bgColor theme="9" tint="0.79998168889431442"/>
        </patternFill>
      </fill>
      <border>
        <bottom style="thin">
          <color theme="0"/>
        </bottom>
      </border>
    </dxf>
    <dxf>
      <border>
        <top style="thin">
          <color theme="9" tint="0.79998168889431442"/>
        </top>
      </border>
    </dxf>
    <dxf>
      <border>
        <top style="thin">
          <color theme="9" tint="0.79998168889431442"/>
        </top>
      </border>
    </dxf>
    <dxf>
      <font>
        <b/>
        <color theme="1"/>
      </font>
    </dxf>
    <dxf>
      <font>
        <b/>
        <color theme="1"/>
      </font>
      <fill>
        <patternFill patternType="solid">
          <fgColor theme="9" tint="0.79998168889431442"/>
          <bgColor theme="9" tint="0.79998168889431442"/>
        </patternFill>
      </fill>
      <border>
        <top style="thin">
          <color theme="9" tint="0.59999389629810485"/>
        </top>
        <bottom style="thin">
          <color theme="9" tint="0.59999389629810485"/>
        </bottom>
      </border>
    </dxf>
    <dxf>
      <border>
        <left style="thin">
          <color theme="9"/>
        </left>
        <right style="thin">
          <color theme="9"/>
        </right>
        <top style="thin">
          <color theme="9"/>
        </top>
        <bottom style="thin">
          <color theme="9"/>
        </bottom>
      </border>
    </dxf>
    <dxf>
      <border>
        <left style="thin">
          <color theme="9" tint="0.59999389629810485"/>
        </left>
        <right style="thin">
          <color theme="9" tint="0.59999389629810485"/>
        </right>
        <top style="thin">
          <color theme="9" tint="0.59999389629810485"/>
        </top>
        <bottom style="thin">
          <color theme="9" tint="0.59999389629810485"/>
        </bottom>
      </border>
    </dxf>
    <dxf>
      <border>
        <right style="thin">
          <color theme="9"/>
        </right>
      </border>
    </dxf>
    <dxf>
      <font>
        <b/>
        <color theme="1"/>
      </font>
      <border>
        <left style="medium">
          <color theme="9"/>
        </left>
        <right style="medium">
          <color theme="9"/>
        </right>
        <top style="medium">
          <color theme="9"/>
        </top>
        <bottom style="medium">
          <color theme="9"/>
        </bottom>
      </border>
    </dxf>
    <dxf>
      <font>
        <b/>
        <color theme="1"/>
      </font>
      <border>
        <left style="medium">
          <color theme="9"/>
        </left>
        <right style="medium">
          <color theme="9"/>
        </right>
        <top style="medium">
          <color theme="9"/>
        </top>
        <bottom style="medium">
          <color theme="9"/>
        </bottom>
        <horizontal style="thin">
          <color theme="0"/>
        </horizontal>
      </border>
    </dxf>
    <dxf>
      <font>
        <color theme="9" tint="-0.249977111117893"/>
      </font>
      <border>
        <vertical style="thin">
          <color theme="9" tint="0.59996337778862885"/>
        </vertical>
        <horizontal style="thin">
          <color theme="9" tint="0.59996337778862885"/>
        </horizontal>
      </border>
    </dxf>
    <dxf>
      <font>
        <b/>
        <color theme="1"/>
      </font>
    </dxf>
    <dxf>
      <font>
        <b/>
        <color theme="1"/>
      </font>
      <fill>
        <patternFill patternType="solid">
          <fgColor theme="5" tint="0.79998168889431442"/>
          <bgColor theme="5" tint="0.79998168889431442"/>
        </patternFill>
      </fill>
      <border>
        <bottom style="thin">
          <color theme="0"/>
        </bottom>
      </border>
    </dxf>
    <dxf>
      <border>
        <top style="thin">
          <color theme="5" tint="0.79998168889431442"/>
        </top>
      </border>
    </dxf>
    <dxf>
      <border>
        <top style="thin">
          <color theme="5" tint="0.79998168889431442"/>
        </top>
      </border>
    </dxf>
    <dxf>
      <font>
        <b/>
        <color theme="1"/>
      </font>
    </dxf>
    <dxf>
      <font>
        <b/>
        <color theme="1"/>
      </font>
      <fill>
        <patternFill patternType="solid">
          <fgColor theme="5" tint="0.79998168889431442"/>
          <bgColor theme="5" tint="0.79998168889431442"/>
        </patternFill>
      </fill>
      <border>
        <top style="thin">
          <color theme="5" tint="0.59999389629810485"/>
        </top>
        <bottom style="thin">
          <color theme="5" tint="0.59999389629810485"/>
        </bottom>
      </border>
    </dxf>
    <dxf>
      <border>
        <left style="thin">
          <color theme="5"/>
        </left>
        <right style="thin">
          <color theme="5"/>
        </right>
        <top style="thin">
          <color theme="5"/>
        </top>
        <bottom style="thin">
          <color theme="5"/>
        </bottom>
      </border>
    </dxf>
    <dxf>
      <border>
        <left style="thin">
          <color theme="5" tint="0.59999389629810485"/>
        </left>
        <right style="thin">
          <color theme="5" tint="0.59999389629810485"/>
        </right>
        <top style="thin">
          <color theme="5" tint="0.59999389629810485"/>
        </top>
        <bottom style="thin">
          <color theme="5" tint="0.59999389629810485"/>
        </bottom>
      </border>
    </dxf>
    <dxf>
      <border>
        <right style="thin">
          <color theme="5"/>
        </right>
      </border>
    </dxf>
    <dxf>
      <font>
        <b/>
        <color theme="1"/>
      </font>
      <border>
        <left style="medium">
          <color theme="5"/>
        </left>
        <right style="medium">
          <color theme="5"/>
        </right>
        <top style="medium">
          <color theme="5"/>
        </top>
        <bottom style="medium">
          <color theme="5"/>
        </bottom>
      </border>
    </dxf>
    <dxf>
      <font>
        <b/>
        <color theme="1"/>
      </font>
      <border>
        <left style="medium">
          <color theme="5"/>
        </left>
        <right style="medium">
          <color theme="5"/>
        </right>
        <top style="medium">
          <color theme="5"/>
        </top>
        <bottom style="medium">
          <color theme="5"/>
        </bottom>
        <horizontal style="thin">
          <color theme="0"/>
        </horizontal>
      </border>
    </dxf>
    <dxf>
      <font>
        <color theme="5" tint="-0.249977111117893"/>
      </font>
      <border>
        <vertical style="thin">
          <color theme="5" tint="0.59996337778862885"/>
        </vertical>
        <horizontal style="thin">
          <color theme="5" tint="0.59996337778862885"/>
        </horizontal>
      </border>
    </dxf>
    <dxf>
      <font>
        <b/>
        <color theme="1"/>
      </font>
    </dxf>
    <dxf>
      <font>
        <b/>
        <color theme="1"/>
      </font>
      <fill>
        <patternFill patternType="solid">
          <fgColor theme="4" tint="0.79998168889431442"/>
          <bgColor theme="4" tint="0.79998168889431442"/>
        </patternFill>
      </fill>
      <border>
        <bottom style="thin">
          <color theme="0"/>
        </bottom>
      </border>
    </dxf>
    <dxf>
      <border>
        <top style="thin">
          <color theme="4" tint="0.79998168889431442"/>
        </top>
      </border>
    </dxf>
    <dxf>
      <border>
        <top style="thin">
          <color theme="4" tint="0.79998168889431442"/>
        </top>
      </border>
    </dxf>
    <dxf>
      <font>
        <b/>
        <color theme="1"/>
      </font>
    </dxf>
    <dxf>
      <font>
        <b/>
        <color theme="1"/>
      </font>
      <fill>
        <patternFill patternType="solid">
          <fgColor theme="4" tint="0.79998168889431442"/>
          <bgColor theme="4" tint="0.79998168889431442"/>
        </patternFill>
      </fill>
      <border>
        <top style="thin">
          <color theme="4" tint="0.59999389629810485"/>
        </top>
        <bottom style="thin">
          <color theme="4" tint="0.59999389629810485"/>
        </bottom>
      </border>
    </dxf>
    <dxf>
      <border>
        <left style="thin">
          <color theme="4"/>
        </left>
        <right style="thin">
          <color theme="4"/>
        </right>
        <top style="thin">
          <color theme="4"/>
        </top>
        <bottom style="thin">
          <color theme="4"/>
        </bottom>
        <vertical style="thin">
          <color theme="4"/>
        </vertical>
        <horizontal style="thin">
          <color theme="4"/>
        </horizontal>
      </border>
    </dxf>
    <dxf>
      <border>
        <vertical style="thin">
          <color theme="4" tint="0.39994506668294322"/>
        </vertical>
        <horizontal style="thin">
          <color theme="4" tint="0.39994506668294322"/>
        </horizontal>
      </border>
    </dxf>
    <dxf>
      <border>
        <left style="thin">
          <color theme="4" tint="0.59999389629810485"/>
        </left>
        <right style="thin">
          <color theme="4" tint="0.59999389629810485"/>
        </right>
        <top style="thin">
          <color theme="4" tint="0.59999389629810485"/>
        </top>
        <bottom style="thin">
          <color theme="4" tint="0.59999389629810485"/>
        </bottom>
        <vertical style="thin">
          <color theme="4" tint="0.59999389629810485"/>
        </vertical>
        <horizontal style="thin">
          <color theme="4" tint="0.59999389629810485"/>
        </horizontal>
      </border>
    </dxf>
    <dxf>
      <border>
        <right style="thin">
          <color theme="4"/>
        </right>
      </border>
    </dxf>
    <dxf>
      <font>
        <b/>
        <color theme="1"/>
      </font>
      <border>
        <left style="medium">
          <color theme="4"/>
        </left>
        <right style="medium">
          <color theme="4"/>
        </right>
        <top style="medium">
          <color theme="4"/>
        </top>
        <bottom style="medium">
          <color theme="4"/>
        </bottom>
      </border>
    </dxf>
    <dxf>
      <font>
        <b/>
        <color theme="1"/>
      </font>
      <border>
        <left style="medium">
          <color theme="4"/>
        </left>
        <right style="medium">
          <color theme="4"/>
        </right>
        <top style="medium">
          <color theme="4"/>
        </top>
        <bottom style="medium">
          <color theme="4"/>
        </bottom>
        <horizontal style="thin">
          <color theme="0"/>
        </horizontal>
      </border>
    </dxf>
    <dxf>
      <font>
        <color theme="4" tint="-0.249977111117893"/>
      </font>
      <border>
        <left style="thin">
          <color theme="4"/>
        </left>
        <right style="thin">
          <color theme="4"/>
        </right>
        <top style="thin">
          <color theme="4"/>
        </top>
        <bottom style="thin">
          <color theme="4"/>
        </bottom>
        <vertical style="thin">
          <color theme="4"/>
        </vertical>
        <horizontal/>
      </border>
    </dxf>
    <dxf>
      <font>
        <sz val="8"/>
        <name val="Gill Sans MT"/>
        <scheme val="none"/>
      </font>
    </dxf>
    <dxf>
      <font>
        <b/>
        <color theme="1"/>
      </font>
      <border>
        <bottom style="thin">
          <color theme="4"/>
        </bottom>
        <vertical/>
        <horizontal/>
      </border>
    </dxf>
    <dxf>
      <font>
        <color theme="1"/>
        <name val="Gill Sans MT"/>
        <scheme val="none"/>
      </font>
      <border>
        <left/>
        <right/>
        <top/>
        <bottom/>
        <vertical/>
        <horizontal/>
      </border>
    </dxf>
  </dxfs>
  <tableStyles count="10" defaultTableStyle="TableStyleMedium2" defaultPivotStyle="PivotStyleLight16">
    <tableStyle name="4W" pivot="0" table="0" count="10" xr9:uid="{00000000-0011-0000-FFFF-FFFF00000000}">
      <tableStyleElement type="wholeTable" dxfId="979"/>
      <tableStyleElement type="headerRow" dxfId="978"/>
    </tableStyle>
    <tableStyle name="4W Style" pivot="0" table="0" count="1" xr9:uid="{00000000-0011-0000-FFFF-FFFF01000000}">
      <tableStyleElement type="wholeTable" dxfId="977"/>
    </tableStyle>
    <tableStyle name="CUSTOM" table="0" count="13" xr9:uid="{00000000-0011-0000-FFFF-FFFF02000000}">
      <tableStyleElement type="wholeTable" dxfId="976"/>
      <tableStyleElement type="headerRow" dxfId="975"/>
      <tableStyleElement type="totalRow" dxfId="974"/>
      <tableStyleElement type="firstColumn" dxfId="973"/>
      <tableStyleElement type="firstRowStripe" dxfId="972"/>
      <tableStyleElement type="secondRowStripe" dxfId="971"/>
      <tableStyleElement type="firstColumnStripe" dxfId="970"/>
      <tableStyleElement type="firstSubtotalRow" dxfId="969"/>
      <tableStyleElement type="secondSubtotalRow" dxfId="968"/>
      <tableStyleElement type="secondColumnSubheading" dxfId="967"/>
      <tableStyleElement type="thirdColumnSubheading" dxfId="966"/>
      <tableStyleElement type="firstRowSubheading" dxfId="965"/>
      <tableStyleElement type="secondRowSubheading" dxfId="964"/>
    </tableStyle>
    <tableStyle name="PivotStyleLight10 2" table="0" count="12" xr9:uid="{00000000-0011-0000-FFFF-FFFF03000000}">
      <tableStyleElement type="wholeTable" dxfId="963"/>
      <tableStyleElement type="headerRow" dxfId="962"/>
      <tableStyleElement type="totalRow" dxfId="961"/>
      <tableStyleElement type="firstColumn" dxfId="960"/>
      <tableStyleElement type="firstRowStripe" dxfId="959"/>
      <tableStyleElement type="firstColumnStripe" dxfId="958"/>
      <tableStyleElement type="firstSubtotalRow" dxfId="957"/>
      <tableStyleElement type="secondSubtotalRow" dxfId="956"/>
      <tableStyleElement type="secondColumnSubheading" dxfId="955"/>
      <tableStyleElement type="thirdColumnSubheading" dxfId="954"/>
      <tableStyleElement type="firstRowSubheading" dxfId="953"/>
      <tableStyleElement type="secondRowSubheading" dxfId="952"/>
    </tableStyle>
    <tableStyle name="PivotStyleLight14 2" table="0" count="12" xr9:uid="{00000000-0011-0000-FFFF-FFFF04000000}">
      <tableStyleElement type="wholeTable" dxfId="951"/>
      <tableStyleElement type="headerRow" dxfId="950"/>
      <tableStyleElement type="totalRow" dxfId="949"/>
      <tableStyleElement type="firstColumn" dxfId="948"/>
      <tableStyleElement type="firstRowStripe" dxfId="947"/>
      <tableStyleElement type="firstColumnStripe" dxfId="946"/>
      <tableStyleElement type="firstSubtotalRow" dxfId="945"/>
      <tableStyleElement type="secondSubtotalRow" dxfId="944"/>
      <tableStyleElement type="secondColumnSubheading" dxfId="943"/>
      <tableStyleElement type="thirdColumnSubheading" dxfId="942"/>
      <tableStyleElement type="firstRowSubheading" dxfId="941"/>
      <tableStyleElement type="secondRowSubheading" dxfId="940"/>
    </tableStyle>
    <tableStyle name="PivotStyleLight23 2" table="0" count="10" xr9:uid="{00000000-0011-0000-FFFF-FFFF05000000}">
      <tableStyleElement type="wholeTable" dxfId="939"/>
      <tableStyleElement type="headerRow" dxfId="938"/>
      <tableStyleElement type="totalRow" dxfId="937"/>
      <tableStyleElement type="firstColumn" dxfId="936"/>
      <tableStyleElement type="firstRowStripe" dxfId="935"/>
      <tableStyleElement type="firstColumnStripe" dxfId="934"/>
      <tableStyleElement type="firstSubtotalColumn" dxfId="933"/>
      <tableStyleElement type="firstSubtotalRow" dxfId="932"/>
      <tableStyleElement type="secondSubtotalRow" dxfId="931"/>
      <tableStyleElement type="pageFieldLabels" dxfId="930"/>
    </tableStyle>
    <tableStyle name="PivotStyleLight9 2" table="0" count="13" xr9:uid="{00000000-0011-0000-FFFF-FFFF06000000}">
      <tableStyleElement type="wholeTable" dxfId="929"/>
      <tableStyleElement type="headerRow" dxfId="928"/>
      <tableStyleElement type="totalRow" dxfId="927"/>
      <tableStyleElement type="firstColumn" dxfId="926"/>
      <tableStyleElement type="firstRowStripe" dxfId="925"/>
      <tableStyleElement type="secondRowStripe" dxfId="924"/>
      <tableStyleElement type="firstColumnStripe" dxfId="923"/>
      <tableStyleElement type="firstSubtotalRow" dxfId="922"/>
      <tableStyleElement type="secondSubtotalRow" dxfId="921"/>
      <tableStyleElement type="secondColumnSubheading" dxfId="920"/>
      <tableStyleElement type="thirdColumnSubheading" dxfId="919"/>
      <tableStyleElement type="firstRowSubheading" dxfId="918"/>
      <tableStyleElement type="secondRowSubheading" dxfId="917"/>
    </tableStyle>
    <tableStyle name="PivotTable Style 1" table="0" count="1" xr9:uid="{00000000-0011-0000-FFFF-FFFF07000000}">
      <tableStyleElement type="wholeTable" dxfId="916"/>
    </tableStyle>
    <tableStyle name="PivotTable Style a" table="0" count="7" xr9:uid="{00000000-0011-0000-FFFF-FFFF08000000}">
      <tableStyleElement type="wholeTable" dxfId="915"/>
      <tableStyleElement type="headerRow" dxfId="914"/>
      <tableStyleElement type="totalRow" dxfId="913"/>
      <tableStyleElement type="firstColumn" dxfId="912"/>
      <tableStyleElement type="secondSubtotalRow" dxfId="911"/>
      <tableStyleElement type="firstRowSubheading" dxfId="910"/>
      <tableStyleElement type="secondRowSubheading" dxfId="909"/>
    </tableStyle>
    <tableStyle name="Slicer Style 1" pivot="0" table="0" count="5" xr9:uid="{00000000-0011-0000-FFFF-FFFF09000000}">
      <tableStyleElement type="wholeTable" dxfId="908"/>
    </tableStyle>
  </tableStyles>
  <colors>
    <mruColors>
      <color rgb="FF44546A"/>
      <color rgb="FFE4B6E4"/>
      <color rgb="FFD692D6"/>
      <color rgb="FFD4E8C6"/>
      <color rgb="FF85C2FF"/>
      <color rgb="FF098A9B"/>
      <color rgb="FFFF898C"/>
      <color rgb="FFCDFF9B"/>
      <color rgb="FF009900"/>
    </mruColors>
  </colors>
  <extLst>
    <ext xmlns:x14="http://schemas.microsoft.com/office/spreadsheetml/2009/9/main" uri="{46F421CA-312F-682f-3DD2-61675219B42D}">
      <x14:dxfs count="12">
        <dxf>
          <fill>
            <patternFill>
              <bgColor theme="7"/>
            </patternFill>
          </fill>
        </dxf>
        <dxf>
          <fill>
            <patternFill>
              <bgColor theme="7" tint="0.39994506668294322"/>
            </patternFill>
          </fill>
        </dxf>
        <dxf>
          <fill>
            <patternFill>
              <bgColor rgb="FF92D050"/>
            </patternFill>
          </fill>
        </dxf>
        <dxf>
          <fill>
            <patternFill>
              <bgColor theme="4" tint="0.39994506668294322"/>
            </patternFill>
          </fill>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828282"/>
          </font>
          <fill>
            <patternFill patternType="solid">
              <fgColor theme="4" tint="0.79998168889431442"/>
              <bgColor theme="4" tint="0.79998168889431442"/>
            </patternFill>
          </fill>
          <border>
            <left style="thin">
              <color rgb="FFCCCCCC"/>
            </left>
            <right style="thin">
              <color rgb="FFCCCCCC"/>
            </right>
            <top style="thin">
              <color rgb="FFCCCCCC"/>
            </top>
            <bottom style="thin">
              <color rgb="FFCCCCCC"/>
            </bottom>
            <vertical/>
            <horizontal/>
          </border>
        </dxf>
        <dxf>
          <font>
            <color rgb="FF000000"/>
          </font>
          <fill>
            <patternFill patternType="solid">
              <fgColor theme="4" tint="0.59999389629810485"/>
              <bgColor theme="4" tint="0.59999389629810485"/>
            </patternFill>
          </fill>
          <border>
            <left style="thin">
              <color rgb="FF999999"/>
            </left>
            <right style="thin">
              <color rgb="FF999999"/>
            </right>
            <top style="thin">
              <color rgb="FF999999"/>
            </top>
            <bottom style="thin">
              <color rgb="FF999999"/>
            </bottom>
            <vertical/>
            <horizontal/>
          </border>
        </dxf>
        <dxf>
          <font>
            <color rgb="FF828282"/>
          </font>
          <fill>
            <patternFill patternType="solid">
              <fgColor rgb="FFFFFFFF"/>
              <bgColor rgb="FFFFFFFF"/>
            </patternFill>
          </fill>
          <border>
            <left style="thin">
              <color rgb="FFE0E0E0"/>
            </left>
            <right style="thin">
              <color rgb="FFE0E0E0"/>
            </right>
            <top style="thin">
              <color rgb="FFE0E0E0"/>
            </top>
            <bottom style="thin">
              <color rgb="FFE0E0E0"/>
            </bottom>
            <vertical/>
            <horizontal/>
          </border>
        </dxf>
        <dxf>
          <font>
            <color rgb="FF000000"/>
          </font>
          <fill>
            <patternFill patternType="solid">
              <fgColor rgb="FFFFFFFF"/>
              <bgColor rgb="FFFFFFFF"/>
            </patternFill>
          </fill>
          <border>
            <left style="thin">
              <color rgb="FFCCCCCC"/>
            </left>
            <right style="thin">
              <color rgb="FFCCCCCC"/>
            </right>
            <top style="thin">
              <color rgb="FFCCCCCC"/>
            </top>
            <bottom style="thin">
              <color rgb="FFCCCCCC"/>
            </bottom>
            <vertical/>
            <horizontal/>
          </border>
        </dxf>
      </x14:dxfs>
    </ext>
    <ext xmlns:x14="http://schemas.microsoft.com/office/spreadsheetml/2009/9/main" uri="{EB79DEF2-80B8-43e5-95BD-54CBDDF9020C}">
      <x14:slicerStyles defaultSlicerStyle="4W">
        <x14:slicerStyle name="4W">
          <x14:slicerStyleElements>
            <x14:slicerStyleElement type="unselectedItemWithData" dxfId="11"/>
            <x14:slicerStyleElement type="unselectedItemWithNoData" dxfId="10"/>
            <x14:slicerStyleElement type="selectedItemWithData" dxfId="9"/>
            <x14:slicerStyleElement type="selectedItemWithNoData" dxfId="8"/>
            <x14:slicerStyleElement type="hoveredUnselectedItemWithData" dxfId="7"/>
            <x14:slicerStyleElement type="hoveredSelectedItemWithData" dxfId="6"/>
            <x14:slicerStyleElement type="hoveredUnselectedItemWithNoData" dxfId="5"/>
            <x14:slicerStyleElement type="hoveredSelectedItemWithNoData" dxfId="4"/>
          </x14:slicerStyleElements>
        </x14:slicerStyle>
        <x14:slicerStyle name="4W Style"/>
        <x14:slicerStyle name="Slicer Style 1">
          <x14:slicerStyleElements>
            <x14:slicerStyleElement type="unselectedItemWithData" dxfId="3"/>
            <x14:slicerStyleElement type="selectedItemWithData" dxfId="2"/>
            <x14:slicerStyleElement type="hoveredUnselectedItemWithData" dxfId="1"/>
            <x14:slicerStyleElement type="hoveredSelectedItemWithData" dxfId="0"/>
          </x14:slicerStyleElements>
        </x14:slicerStyle>
      </x14:slicerStyles>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externalLink" Target="externalLinks/externalLink2.xml"/><Relationship Id="rId26" Type="http://schemas.microsoft.com/office/2007/relationships/slicerCache" Target="slicerCaches/slicerCache4.xml"/><Relationship Id="rId3" Type="http://schemas.openxmlformats.org/officeDocument/2006/relationships/worksheet" Target="worksheets/sheet3.xml"/><Relationship Id="rId21" Type="http://schemas.openxmlformats.org/officeDocument/2006/relationships/externalLink" Target="externalLinks/externalLink5.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5" Type="http://schemas.microsoft.com/office/2007/relationships/slicerCache" Target="slicerCaches/slicerCache3.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4.xml"/><Relationship Id="rId29" Type="http://schemas.microsoft.com/office/2007/relationships/slicerCache" Target="slicerCaches/slicerCache7.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07/relationships/slicerCache" Target="slicerCaches/slicerCache2.xml"/><Relationship Id="rId32" Type="http://schemas.microsoft.com/office/2007/relationships/slicerCache" Target="slicerCaches/slicerCache10.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07/relationships/slicerCache" Target="slicerCaches/slicerCache1.xml"/><Relationship Id="rId28" Type="http://schemas.microsoft.com/office/2007/relationships/slicerCache" Target="slicerCaches/slicerCache6.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3.xml"/><Relationship Id="rId31" Type="http://schemas.microsoft.com/office/2007/relationships/slicerCache" Target="slicerCaches/slicerCache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pivotCacheDefinition" Target="pivotCache/pivotCacheDefinition1.xml"/><Relationship Id="rId27" Type="http://schemas.microsoft.com/office/2007/relationships/slicerCache" Target="slicerCaches/slicerCache5.xml"/><Relationship Id="rId30" Type="http://schemas.microsoft.com/office/2007/relationships/slicerCache" Target="slicerCaches/slicerCache8.xml"/><Relationship Id="rId35" Type="http://schemas.openxmlformats.org/officeDocument/2006/relationships/sharedStrings" Target="sharedStrings.xml"/><Relationship Id="rId8" Type="http://schemas.openxmlformats.org/officeDocument/2006/relationships/worksheet" Target="worksheets/sheet8.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5.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26.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27.xml.rels><?xml version="1.0" encoding="UTF-8" standalone="yes"?>
<Relationships xmlns="http://schemas.openxmlformats.org/package/2006/relationships"><Relationship Id="rId3" Type="http://schemas.openxmlformats.org/officeDocument/2006/relationships/chartUserShapes" Target="../drawings/drawing5.xml"/><Relationship Id="rId2" Type="http://schemas.microsoft.com/office/2011/relationships/chartColorStyle" Target="colors27.xml"/><Relationship Id="rId1" Type="http://schemas.microsoft.com/office/2011/relationships/chartStyle" Target="style27.xml"/></Relationships>
</file>

<file path=xl/charts/_rels/chart28.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29.xml.rels><?xml version="1.0" encoding="UTF-8" standalone="yes"?>
<Relationships xmlns="http://schemas.openxmlformats.org/package/2006/relationships"><Relationship Id="rId3" Type="http://schemas.openxmlformats.org/officeDocument/2006/relationships/chartUserShapes" Target="../drawings/drawing7.xml"/><Relationship Id="rId2" Type="http://schemas.microsoft.com/office/2011/relationships/chartColorStyle" Target="colors29.xml"/><Relationship Id="rId1" Type="http://schemas.microsoft.com/office/2011/relationships/chartStyle" Target="style29.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2" Type="http://schemas.microsoft.com/office/2011/relationships/chartColorStyle" Target="colors30.xml"/><Relationship Id="rId1" Type="http://schemas.microsoft.com/office/2011/relationships/chartStyle" Target="style30.xml"/></Relationships>
</file>

<file path=xl/charts/_rels/chart31.xml.rels><?xml version="1.0" encoding="UTF-8" standalone="yes"?>
<Relationships xmlns="http://schemas.openxmlformats.org/package/2006/relationships"><Relationship Id="rId3" Type="http://schemas.openxmlformats.org/officeDocument/2006/relationships/chartUserShapes" Target="../drawings/drawing9.xml"/><Relationship Id="rId2" Type="http://schemas.microsoft.com/office/2011/relationships/chartColorStyle" Target="colors31.xml"/><Relationship Id="rId1" Type="http://schemas.microsoft.com/office/2011/relationships/chartStyle" Target="style31.xml"/></Relationships>
</file>

<file path=xl/charts/_rels/chart32.xml.rels><?xml version="1.0" encoding="UTF-8" standalone="yes"?>
<Relationships xmlns="http://schemas.openxmlformats.org/package/2006/relationships"><Relationship Id="rId2" Type="http://schemas.microsoft.com/office/2011/relationships/chartColorStyle" Target="colors32.xml"/><Relationship Id="rId1" Type="http://schemas.microsoft.com/office/2011/relationships/chartStyle" Target="style32.xml"/></Relationships>
</file>

<file path=xl/charts/_rels/chart33.xml.rels><?xml version="1.0" encoding="UTF-8" standalone="yes"?>
<Relationships xmlns="http://schemas.openxmlformats.org/package/2006/relationships"><Relationship Id="rId2" Type="http://schemas.microsoft.com/office/2011/relationships/chartColorStyle" Target="colors33.xml"/><Relationship Id="rId1" Type="http://schemas.microsoft.com/office/2011/relationships/chartStyle" Target="style33.xml"/></Relationships>
</file>

<file path=xl/charts/_rels/chart34.xml.rels><?xml version="1.0" encoding="UTF-8" standalone="yes"?>
<Relationships xmlns="http://schemas.openxmlformats.org/package/2006/relationships"><Relationship Id="rId2" Type="http://schemas.microsoft.com/office/2011/relationships/chartColorStyle" Target="colors34.xml"/><Relationship Id="rId1" Type="http://schemas.microsoft.com/office/2011/relationships/chartStyle" Target="style34.xml"/></Relationships>
</file>

<file path=xl/charts/_rels/chart35.xml.rels><?xml version="1.0" encoding="UTF-8" standalone="yes"?>
<Relationships xmlns="http://schemas.openxmlformats.org/package/2006/relationships"><Relationship Id="rId2" Type="http://schemas.microsoft.com/office/2011/relationships/chartColorStyle" Target="colors35.xml"/><Relationship Id="rId1" Type="http://schemas.microsoft.com/office/2011/relationships/chartStyle" Target="style35.xml"/></Relationships>
</file>

<file path=xl/charts/_rels/chart36.xml.rels><?xml version="1.0" encoding="UTF-8" standalone="yes"?>
<Relationships xmlns="http://schemas.openxmlformats.org/package/2006/relationships"><Relationship Id="rId2" Type="http://schemas.microsoft.com/office/2011/relationships/chartColorStyle" Target="colors36.xml"/><Relationship Id="rId1" Type="http://schemas.microsoft.com/office/2011/relationships/chartStyle" Target="style36.xml"/></Relationships>
</file>

<file path=xl/charts/_rels/chart37.xml.rels><?xml version="1.0" encoding="UTF-8" standalone="yes"?>
<Relationships xmlns="http://schemas.openxmlformats.org/package/2006/relationships"><Relationship Id="rId2" Type="http://schemas.microsoft.com/office/2011/relationships/chartColorStyle" Target="colors37.xml"/><Relationship Id="rId1" Type="http://schemas.microsoft.com/office/2011/relationships/chartStyle" Target="style37.xml"/></Relationships>
</file>

<file path=xl/charts/_rels/chart38.xml.rels><?xml version="1.0" encoding="UTF-8" standalone="yes"?>
<Relationships xmlns="http://schemas.openxmlformats.org/package/2006/relationships"><Relationship Id="rId2" Type="http://schemas.microsoft.com/office/2011/relationships/chartColorStyle" Target="colors38.xml"/><Relationship Id="rId1" Type="http://schemas.microsoft.com/office/2011/relationships/chartStyle" Target="style38.xml"/></Relationships>
</file>

<file path=xl/charts/_rels/chart39.xml.rels><?xml version="1.0" encoding="UTF-8" standalone="yes"?>
<Relationships xmlns="http://schemas.openxmlformats.org/package/2006/relationships"><Relationship Id="rId2" Type="http://schemas.microsoft.com/office/2011/relationships/chartColorStyle" Target="colors39.xml"/><Relationship Id="rId1" Type="http://schemas.microsoft.com/office/2011/relationships/chartStyle" Target="style39.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40.xml.rels><?xml version="1.0" encoding="UTF-8" standalone="yes"?>
<Relationships xmlns="http://schemas.openxmlformats.org/package/2006/relationships"><Relationship Id="rId2" Type="http://schemas.microsoft.com/office/2011/relationships/chartColorStyle" Target="colors40.xml"/><Relationship Id="rId1" Type="http://schemas.microsoft.com/office/2011/relationships/chartStyle" Target="style40.xml"/></Relationships>
</file>

<file path=xl/charts/_rels/chart41.xml.rels><?xml version="1.0" encoding="UTF-8" standalone="yes"?>
<Relationships xmlns="http://schemas.openxmlformats.org/package/2006/relationships"><Relationship Id="rId2" Type="http://schemas.microsoft.com/office/2011/relationships/chartColorStyle" Target="colors41.xml"/><Relationship Id="rId1" Type="http://schemas.microsoft.com/office/2011/relationships/chartStyle" Target="style41.xml"/></Relationships>
</file>

<file path=xl/charts/_rels/chart42.xml.rels><?xml version="1.0" encoding="UTF-8" standalone="yes"?>
<Relationships xmlns="http://schemas.openxmlformats.org/package/2006/relationships"><Relationship Id="rId2" Type="http://schemas.microsoft.com/office/2011/relationships/chartColorStyle" Target="colors42.xml"/><Relationship Id="rId1" Type="http://schemas.microsoft.com/office/2011/relationships/chartStyle" Target="style42.xml"/></Relationships>
</file>

<file path=xl/charts/_rels/chart43.xml.rels><?xml version="1.0" encoding="UTF-8" standalone="yes"?>
<Relationships xmlns="http://schemas.openxmlformats.org/package/2006/relationships"><Relationship Id="rId2" Type="http://schemas.microsoft.com/office/2011/relationships/chartColorStyle" Target="colors43.xml"/><Relationship Id="rId1" Type="http://schemas.microsoft.com/office/2011/relationships/chartStyle" Target="style43.xml"/></Relationships>
</file>

<file path=xl/charts/_rels/chart44.xml.rels><?xml version="1.0" encoding="UTF-8" standalone="yes"?>
<Relationships xmlns="http://schemas.openxmlformats.org/package/2006/relationships"><Relationship Id="rId2" Type="http://schemas.microsoft.com/office/2011/relationships/chartColorStyle" Target="colors44.xml"/><Relationship Id="rId1" Type="http://schemas.microsoft.com/office/2011/relationships/chartStyle" Target="style44.xml"/></Relationships>
</file>

<file path=xl/charts/_rels/chart45.xml.rels><?xml version="1.0" encoding="UTF-8" standalone="yes"?>
<Relationships xmlns="http://schemas.openxmlformats.org/package/2006/relationships"><Relationship Id="rId2" Type="http://schemas.microsoft.com/office/2011/relationships/chartColorStyle" Target="colors45.xml"/><Relationship Id="rId1" Type="http://schemas.microsoft.com/office/2011/relationships/chartStyle" Target="style45.xml"/></Relationships>
</file>

<file path=xl/charts/_rels/chart46.xml.rels><?xml version="1.0" encoding="UTF-8" standalone="yes"?>
<Relationships xmlns="http://schemas.openxmlformats.org/package/2006/relationships"><Relationship Id="rId2" Type="http://schemas.microsoft.com/office/2011/relationships/chartColorStyle" Target="colors46.xml"/><Relationship Id="rId1" Type="http://schemas.microsoft.com/office/2011/relationships/chartStyle" Target="style46.xml"/></Relationships>
</file>

<file path=xl/charts/_rels/chart47.xml.rels><?xml version="1.0" encoding="UTF-8" standalone="yes"?>
<Relationships xmlns="http://schemas.openxmlformats.org/package/2006/relationships"><Relationship Id="rId2" Type="http://schemas.microsoft.com/office/2011/relationships/chartColorStyle" Target="colors47.xml"/><Relationship Id="rId1" Type="http://schemas.microsoft.com/office/2011/relationships/chartStyle" Target="style47.xml"/></Relationships>
</file>

<file path=xl/charts/_rels/chart48.xml.rels><?xml version="1.0" encoding="UTF-8" standalone="yes"?>
<Relationships xmlns="http://schemas.openxmlformats.org/package/2006/relationships"><Relationship Id="rId2" Type="http://schemas.microsoft.com/office/2011/relationships/chartColorStyle" Target="colors48.xml"/><Relationship Id="rId1" Type="http://schemas.microsoft.com/office/2011/relationships/chartStyle" Target="style48.xml"/></Relationships>
</file>

<file path=xl/charts/_rels/chart49.xml.rels><?xml version="1.0" encoding="UTF-8" standalone="yes"?>
<Relationships xmlns="http://schemas.openxmlformats.org/package/2006/relationships"><Relationship Id="rId2" Type="http://schemas.microsoft.com/office/2011/relationships/chartColorStyle" Target="colors49.xml"/><Relationship Id="rId1" Type="http://schemas.microsoft.com/office/2011/relationships/chartStyle" Target="style49.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50.xml.rels><?xml version="1.0" encoding="UTF-8" standalone="yes"?>
<Relationships xmlns="http://schemas.openxmlformats.org/package/2006/relationships"><Relationship Id="rId2" Type="http://schemas.microsoft.com/office/2011/relationships/chartColorStyle" Target="colors50.xml"/><Relationship Id="rId1" Type="http://schemas.microsoft.com/office/2011/relationships/chartStyle" Target="style50.xml"/></Relationships>
</file>

<file path=xl/charts/_rels/chart51.xml.rels><?xml version="1.0" encoding="UTF-8" standalone="yes"?>
<Relationships xmlns="http://schemas.openxmlformats.org/package/2006/relationships"><Relationship Id="rId2" Type="http://schemas.microsoft.com/office/2011/relationships/chartColorStyle" Target="colors51.xml"/><Relationship Id="rId1" Type="http://schemas.microsoft.com/office/2011/relationships/chartStyle" Target="style51.xml"/></Relationships>
</file>

<file path=xl/charts/_rels/chart52.xml.rels><?xml version="1.0" encoding="UTF-8" standalone="yes"?>
<Relationships xmlns="http://schemas.openxmlformats.org/package/2006/relationships"><Relationship Id="rId2" Type="http://schemas.microsoft.com/office/2011/relationships/chartColorStyle" Target="colors52.xml"/><Relationship Id="rId1" Type="http://schemas.microsoft.com/office/2011/relationships/chartStyle" Target="style52.xml"/></Relationships>
</file>

<file path=xl/charts/_rels/chart53.xml.rels><?xml version="1.0" encoding="UTF-8" standalone="yes"?>
<Relationships xmlns="http://schemas.openxmlformats.org/package/2006/relationships"><Relationship Id="rId2" Type="http://schemas.microsoft.com/office/2011/relationships/chartColorStyle" Target="colors53.xml"/><Relationship Id="rId1" Type="http://schemas.microsoft.com/office/2011/relationships/chartStyle" Target="style53.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8"/>
    </mc:Choice>
    <mc:Fallback>
      <c:style val="8"/>
    </mc:Fallback>
  </mc:AlternateContent>
  <c:chart>
    <c:title>
      <c:tx>
        <c:rich>
          <a:bodyPr rot="0" spcFirstLastPara="1" vertOverflow="ellipsis" vert="horz" wrap="square" anchor="ctr" anchorCtr="1"/>
          <a:lstStyle/>
          <a:p>
            <a:pPr>
              <a:defRPr sz="1400" b="1" i="0" u="none" strike="noStrike" kern="1200" baseline="0">
                <a:solidFill>
                  <a:schemeClr val="tx2"/>
                </a:solidFill>
                <a:latin typeface="+mn-lt"/>
                <a:ea typeface="+mn-ea"/>
                <a:cs typeface="+mn-cs"/>
              </a:defRPr>
            </a:pPr>
            <a:r>
              <a:rPr lang="en-US" sz="1400" b="1" i="0" baseline="0">
                <a:effectLst/>
              </a:rPr>
              <a:t>Hygiene Coverage </a:t>
            </a:r>
            <a:endParaRPr lang="en-US" sz="1400">
              <a:effectLst/>
            </a:endParaRPr>
          </a:p>
        </c:rich>
      </c:tx>
      <c:overlay val="0"/>
      <c:spPr>
        <a:noFill/>
        <a:ln>
          <a:noFill/>
        </a:ln>
        <a:effectLst/>
      </c:spPr>
      <c:txPr>
        <a:bodyPr rot="0" spcFirstLastPara="1" vertOverflow="ellipsis" vert="horz" wrap="square" anchor="ctr" anchorCtr="1"/>
        <a:lstStyle/>
        <a:p>
          <a:pPr>
            <a:defRPr sz="1400" b="1" i="0" u="none" strike="noStrike" kern="1200" baseline="0">
              <a:solidFill>
                <a:schemeClr val="tx2"/>
              </a:solidFill>
              <a:latin typeface="+mn-lt"/>
              <a:ea typeface="+mn-ea"/>
              <a:cs typeface="+mn-cs"/>
            </a:defRPr>
          </a:pPr>
          <a:endParaRPr lang="en-US"/>
        </a:p>
      </c:txPr>
    </c:title>
    <c:autoTitleDeleted val="0"/>
    <c:plotArea>
      <c:layout/>
      <c:barChart>
        <c:barDir val="col"/>
        <c:grouping val="percentStacked"/>
        <c:varyColors val="0"/>
        <c:ser>
          <c:idx val="0"/>
          <c:order val="0"/>
          <c:tx>
            <c:strRef>
              <c:f>Analysis!$I$187</c:f>
              <c:strCache>
                <c:ptCount val="1"/>
                <c:pt idx="0">
                  <c:v>Covered</c:v>
                </c:pt>
              </c:strCache>
            </c:strRef>
          </c:tx>
          <c:spPr>
            <a:solidFill>
              <a:schemeClr val="accent6">
                <a:lumMod val="7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Analysis!$H$188:$H$190</c:f>
              <c:strCache>
                <c:ptCount val="3"/>
                <c:pt idx="0">
                  <c:v>#HH reached by regular dedicated hygiene promotion</c:v>
                </c:pt>
                <c:pt idx="1">
                  <c:v># HH received soaps</c:v>
                </c:pt>
                <c:pt idx="2">
                  <c:v># HH received Sanitary Pads</c:v>
                </c:pt>
              </c:strCache>
            </c:strRef>
          </c:cat>
          <c:val>
            <c:numRef>
              <c:f>Analysis!$I$188:$I$190</c:f>
              <c:numCache>
                <c:formatCode>_(* #,##0_);_(* \(#,##0\);_(* "-"??_);_(@_)</c:formatCode>
                <c:ptCount val="3"/>
                <c:pt idx="0">
                  <c:v>14266</c:v>
                </c:pt>
                <c:pt idx="1">
                  <c:v>23805</c:v>
                </c:pt>
                <c:pt idx="2">
                  <c:v>14856</c:v>
                </c:pt>
              </c:numCache>
            </c:numRef>
          </c:val>
          <c:extLst>
            <c:ext xmlns:c16="http://schemas.microsoft.com/office/drawing/2014/chart" uri="{C3380CC4-5D6E-409C-BE32-E72D297353CC}">
              <c16:uniqueId val="{00000000-F5FF-4313-84A4-722007FD5F1B}"/>
            </c:ext>
          </c:extLst>
        </c:ser>
        <c:ser>
          <c:idx val="1"/>
          <c:order val="1"/>
          <c:tx>
            <c:strRef>
              <c:f>Analysis!$J$187</c:f>
              <c:strCache>
                <c:ptCount val="1"/>
                <c:pt idx="0">
                  <c:v>Gap</c:v>
                </c:pt>
              </c:strCache>
            </c:strRef>
          </c:tx>
          <c:spPr>
            <a:gradFill rotWithShape="1">
              <a:gsLst>
                <a:gs pos="0">
                  <a:schemeClr val="accent6">
                    <a:tint val="77000"/>
                    <a:satMod val="103000"/>
                    <a:lumMod val="102000"/>
                    <a:tint val="94000"/>
                  </a:schemeClr>
                </a:gs>
                <a:gs pos="50000">
                  <a:schemeClr val="accent6">
                    <a:tint val="77000"/>
                    <a:satMod val="110000"/>
                    <a:lumMod val="100000"/>
                    <a:shade val="100000"/>
                  </a:schemeClr>
                </a:gs>
                <a:gs pos="100000">
                  <a:schemeClr val="accent6">
                    <a:tint val="77000"/>
                    <a:lumMod val="99000"/>
                    <a:satMod val="120000"/>
                    <a:shade val="78000"/>
                  </a:schemeClr>
                </a:gs>
              </a:gsLst>
              <a:lin ang="5400000" scaled="0"/>
            </a:gra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2"/>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Analysis!$H$188:$H$190</c:f>
              <c:strCache>
                <c:ptCount val="3"/>
                <c:pt idx="0">
                  <c:v>#HH reached by regular dedicated hygiene promotion</c:v>
                </c:pt>
                <c:pt idx="1">
                  <c:v># HH received soaps</c:v>
                </c:pt>
                <c:pt idx="2">
                  <c:v># HH received Sanitary Pads</c:v>
                </c:pt>
              </c:strCache>
            </c:strRef>
          </c:cat>
          <c:val>
            <c:numRef>
              <c:f>Analysis!$J$188:$J$190</c:f>
              <c:numCache>
                <c:formatCode>_(* #,##0_);_(* \(#,##0\);_(* "-"??_);_(@_)</c:formatCode>
                <c:ptCount val="3"/>
                <c:pt idx="0">
                  <c:v>9146</c:v>
                </c:pt>
                <c:pt idx="1">
                  <c:v>-393</c:v>
                </c:pt>
                <c:pt idx="2">
                  <c:v>8556</c:v>
                </c:pt>
              </c:numCache>
            </c:numRef>
          </c:val>
          <c:extLst>
            <c:ext xmlns:c16="http://schemas.microsoft.com/office/drawing/2014/chart" uri="{C3380CC4-5D6E-409C-BE32-E72D297353CC}">
              <c16:uniqueId val="{00000001-F5FF-4313-84A4-722007FD5F1B}"/>
            </c:ext>
          </c:extLst>
        </c:ser>
        <c:dLbls>
          <c:showLegendKey val="0"/>
          <c:showVal val="0"/>
          <c:showCatName val="0"/>
          <c:showSerName val="0"/>
          <c:showPercent val="0"/>
          <c:showBubbleSize val="0"/>
        </c:dLbls>
        <c:gapWidth val="150"/>
        <c:overlap val="100"/>
        <c:axId val="392748568"/>
        <c:axId val="392749352"/>
      </c:barChart>
      <c:catAx>
        <c:axId val="392748568"/>
        <c:scaling>
          <c:orientation val="minMax"/>
        </c:scaling>
        <c:delete val="0"/>
        <c:axPos val="b"/>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2"/>
                </a:solidFill>
                <a:latin typeface="+mn-lt"/>
                <a:ea typeface="+mn-ea"/>
                <a:cs typeface="+mn-cs"/>
              </a:defRPr>
            </a:pPr>
            <a:endParaRPr lang="en-US"/>
          </a:p>
        </c:txPr>
        <c:crossAx val="392749352"/>
        <c:crosses val="autoZero"/>
        <c:auto val="1"/>
        <c:lblAlgn val="ctr"/>
        <c:lblOffset val="100"/>
        <c:noMultiLvlLbl val="0"/>
      </c:catAx>
      <c:valAx>
        <c:axId val="392749352"/>
        <c:scaling>
          <c:orientation val="minMax"/>
          <c:max val="1"/>
          <c:min val="0"/>
        </c:scaling>
        <c:delete val="0"/>
        <c:axPos val="l"/>
        <c:majorGridlines>
          <c:spPr>
            <a:ln w="9525" cap="flat" cmpd="sng" algn="ctr">
              <a:solidFill>
                <a:schemeClr val="tx2">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n-US"/>
          </a:p>
        </c:txPr>
        <c:crossAx val="392748568"/>
        <c:crosses val="autoZero"/>
        <c:crossBetween val="between"/>
        <c:majorUnit val="0.2"/>
      </c:valAx>
      <c:spPr>
        <a:noFill/>
        <a:ln>
          <a:noFill/>
        </a:ln>
        <a:effectLst/>
      </c:spPr>
    </c:plotArea>
    <c:legend>
      <c:legendPos val="b"/>
      <c:legendEntry>
        <c:idx val="1"/>
        <c:txPr>
          <a:bodyPr rot="0" spcFirstLastPara="1" vertOverflow="ellipsis" vert="horz" wrap="square" anchor="ctr" anchorCtr="1"/>
          <a:lstStyle/>
          <a:p>
            <a:pPr>
              <a:defRPr sz="1200" b="0" i="0" u="none" strike="noStrike" kern="1200" baseline="0">
                <a:solidFill>
                  <a:srgbClr val="44546A"/>
                </a:solidFill>
                <a:latin typeface="+mn-lt"/>
                <a:ea typeface="+mn-ea"/>
                <a:cs typeface="+mn-cs"/>
              </a:defRPr>
            </a:pPr>
            <a:endParaRPr lang="en-US"/>
          </a:p>
        </c:txPr>
      </c:legendEntry>
      <c:layout>
        <c:manualLayout>
          <c:xMode val="edge"/>
          <c:yMode val="edge"/>
          <c:x val="0.38313978947189414"/>
          <c:y val="0.87242578432208606"/>
          <c:w val="0.23345186939352686"/>
          <c:h val="9.8249992170789238E-2"/>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2"/>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[20200124_Myanmar_WASH_4W_2019_Q4_Rakhine_camp_Consolidate.xlsx]Analysis!K_L_CG_N</c:name>
    <c:fmtId val="39"/>
  </c:pivotSource>
  <c:chart>
    <c:title>
      <c:tx>
        <c:rich>
          <a:bodyPr rot="0" spcFirstLastPara="1" vertOverflow="ellipsis" vert="horz" wrap="square" anchor="ctr" anchorCtr="1"/>
          <a:lstStyle/>
          <a:p>
            <a:pPr>
              <a:defRPr sz="1400" b="1" i="0" u="none" strike="noStrike" kern="1200" baseline="0">
                <a:solidFill>
                  <a:schemeClr val="tx2"/>
                </a:solidFill>
                <a:latin typeface="+mn-lt"/>
                <a:ea typeface="+mn-ea"/>
                <a:cs typeface="+mn-cs"/>
              </a:defRPr>
            </a:pPr>
            <a:r>
              <a:rPr lang="en-US" sz="1400"/>
              <a:t>Latrine Coverage VS GAP in active Camps</a:t>
            </a:r>
          </a:p>
        </c:rich>
      </c:tx>
      <c:overlay val="0"/>
      <c:spPr>
        <a:noFill/>
        <a:ln>
          <a:noFill/>
        </a:ln>
        <a:effectLst/>
      </c:spPr>
      <c:txPr>
        <a:bodyPr rot="0" spcFirstLastPara="1" vertOverflow="ellipsis" vert="horz" wrap="square" anchor="ctr" anchorCtr="1"/>
        <a:lstStyle/>
        <a:p>
          <a:pPr>
            <a:defRPr sz="1400" b="1" i="0" u="none" strike="noStrike" kern="1200" baseline="0">
              <a:solidFill>
                <a:schemeClr val="tx2"/>
              </a:solidFill>
              <a:latin typeface="+mn-lt"/>
              <a:ea typeface="+mn-ea"/>
              <a:cs typeface="+mn-cs"/>
            </a:defRPr>
          </a:pPr>
          <a:endParaRPr lang="en-US"/>
        </a:p>
      </c:txPr>
    </c:title>
    <c:autoTitleDeleted val="0"/>
    <c:pivotFmts>
      <c:pivotFmt>
        <c:idx val="0"/>
        <c:spPr>
          <a:solidFill>
            <a:schemeClr val="accent2">
              <a:lumMod val="75000"/>
            </a:schemeClr>
          </a:solidFill>
          <a:ln>
            <a:noFill/>
          </a:ln>
          <a:effectLst/>
        </c:spPr>
        <c:marker>
          <c:symbol val="none"/>
        </c:marker>
      </c:pivotFmt>
      <c:pivotFmt>
        <c:idx val="1"/>
        <c:spPr>
          <a:solidFill>
            <a:schemeClr val="accent2">
              <a:lumMod val="40000"/>
              <a:lumOff val="6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2"/>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2">
              <a:lumMod val="75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2">
              <a:lumMod val="75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4"/>
        <c:spPr>
          <a:solidFill>
            <a:schemeClr val="accent2">
              <a:lumMod val="40000"/>
              <a:lumOff val="6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percentStacked"/>
        <c:varyColors val="0"/>
        <c:ser>
          <c:idx val="0"/>
          <c:order val="0"/>
          <c:tx>
            <c:strRef>
              <c:f>Analysis!$C$158</c:f>
              <c:strCache>
                <c:ptCount val="1"/>
                <c:pt idx="0">
                  <c:v>  % Latrine Coverage</c:v>
                </c:pt>
              </c:strCache>
            </c:strRef>
          </c:tx>
          <c:spPr>
            <a:solidFill>
              <a:schemeClr val="accent2">
                <a:lumMod val="7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Analysis!$B$159:$B$162</c:f>
              <c:strCache>
                <c:ptCount val="4"/>
                <c:pt idx="0">
                  <c:v>Kyaukpyu</c:v>
                </c:pt>
                <c:pt idx="1">
                  <c:v>Myebon</c:v>
                </c:pt>
                <c:pt idx="2">
                  <c:v>Pauktaw</c:v>
                </c:pt>
                <c:pt idx="3">
                  <c:v>Sittwe</c:v>
                </c:pt>
              </c:strCache>
            </c:strRef>
          </c:cat>
          <c:val>
            <c:numRef>
              <c:f>Analysis!$C$159:$C$162</c:f>
              <c:numCache>
                <c:formatCode>0%</c:formatCode>
                <c:ptCount val="4"/>
                <c:pt idx="0">
                  <c:v>1</c:v>
                </c:pt>
                <c:pt idx="1">
                  <c:v>1</c:v>
                </c:pt>
                <c:pt idx="2">
                  <c:v>0.75661237785016289</c:v>
                </c:pt>
                <c:pt idx="3">
                  <c:v>0.83139988724576086</c:v>
                </c:pt>
              </c:numCache>
            </c:numRef>
          </c:val>
          <c:extLst>
            <c:ext xmlns:c16="http://schemas.microsoft.com/office/drawing/2014/chart" uri="{C3380CC4-5D6E-409C-BE32-E72D297353CC}">
              <c16:uniqueId val="{00000000-F99F-4557-A458-50628E33D7BD}"/>
            </c:ext>
          </c:extLst>
        </c:ser>
        <c:ser>
          <c:idx val="1"/>
          <c:order val="1"/>
          <c:tx>
            <c:strRef>
              <c:f>Analysis!$D$158</c:f>
              <c:strCache>
                <c:ptCount val="1"/>
                <c:pt idx="0">
                  <c:v>  % Latrine GAP</c:v>
                </c:pt>
              </c:strCache>
            </c:strRef>
          </c:tx>
          <c:spPr>
            <a:solidFill>
              <a:schemeClr val="accent2">
                <a:lumMod val="40000"/>
                <a:lumOff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Analysis!$B$159:$B$162</c:f>
              <c:strCache>
                <c:ptCount val="4"/>
                <c:pt idx="0">
                  <c:v>Kyaukpyu</c:v>
                </c:pt>
                <c:pt idx="1">
                  <c:v>Myebon</c:v>
                </c:pt>
                <c:pt idx="2">
                  <c:v>Pauktaw</c:v>
                </c:pt>
                <c:pt idx="3">
                  <c:v>Sittwe</c:v>
                </c:pt>
              </c:strCache>
            </c:strRef>
          </c:cat>
          <c:val>
            <c:numRef>
              <c:f>Analysis!$D$159:$D$162</c:f>
              <c:numCache>
                <c:formatCode>0%</c:formatCode>
                <c:ptCount val="4"/>
                <c:pt idx="0">
                  <c:v>0</c:v>
                </c:pt>
                <c:pt idx="1">
                  <c:v>0</c:v>
                </c:pt>
                <c:pt idx="2">
                  <c:v>0.24338762214983711</c:v>
                </c:pt>
                <c:pt idx="3">
                  <c:v>0.16860011275423914</c:v>
                </c:pt>
              </c:numCache>
            </c:numRef>
          </c:val>
          <c:extLst>
            <c:ext xmlns:c16="http://schemas.microsoft.com/office/drawing/2014/chart" uri="{C3380CC4-5D6E-409C-BE32-E72D297353CC}">
              <c16:uniqueId val="{00000001-F99F-4557-A458-50628E33D7BD}"/>
            </c:ext>
          </c:extLst>
        </c:ser>
        <c:dLbls>
          <c:showLegendKey val="0"/>
          <c:showVal val="0"/>
          <c:showCatName val="0"/>
          <c:showSerName val="0"/>
          <c:showPercent val="0"/>
          <c:showBubbleSize val="0"/>
        </c:dLbls>
        <c:gapWidth val="150"/>
        <c:overlap val="100"/>
        <c:axId val="414770648"/>
        <c:axId val="414773392"/>
      </c:barChart>
      <c:catAx>
        <c:axId val="414770648"/>
        <c:scaling>
          <c:orientation val="minMax"/>
        </c:scaling>
        <c:delete val="0"/>
        <c:axPos val="b"/>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2"/>
                </a:solidFill>
                <a:latin typeface="+mn-lt"/>
                <a:ea typeface="+mn-ea"/>
                <a:cs typeface="+mn-cs"/>
              </a:defRPr>
            </a:pPr>
            <a:endParaRPr lang="en-US"/>
          </a:p>
        </c:txPr>
        <c:crossAx val="414773392"/>
        <c:crosses val="autoZero"/>
        <c:auto val="1"/>
        <c:lblAlgn val="ctr"/>
        <c:lblOffset val="100"/>
        <c:noMultiLvlLbl val="0"/>
      </c:catAx>
      <c:valAx>
        <c:axId val="414773392"/>
        <c:scaling>
          <c:orientation val="minMax"/>
        </c:scaling>
        <c:delete val="0"/>
        <c:axPos val="l"/>
        <c:majorGridlines>
          <c:spPr>
            <a:ln w="9525" cap="flat" cmpd="sng" algn="ctr">
              <a:solidFill>
                <a:schemeClr val="tx2">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2"/>
                </a:solidFill>
                <a:latin typeface="+mn-lt"/>
                <a:ea typeface="+mn-ea"/>
                <a:cs typeface="+mn-cs"/>
              </a:defRPr>
            </a:pPr>
            <a:endParaRPr lang="en-US"/>
          </a:p>
        </c:txPr>
        <c:crossAx val="41477064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2"/>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[20200124_Myanmar_WASH_4W_2019_Q4_Rakhine_camp_Consolidate.xlsx]Analysis!K_H_CG_C</c:name>
    <c:fmtId val="39"/>
  </c:pivotSource>
  <c:chart>
    <c:title>
      <c:tx>
        <c:rich>
          <a:bodyPr rot="0" spcFirstLastPara="1" vertOverflow="ellipsis" vert="horz" wrap="square" anchor="ctr" anchorCtr="1"/>
          <a:lstStyle/>
          <a:p>
            <a:pPr>
              <a:defRPr sz="1400" b="1" i="0" u="none" strike="noStrike" kern="1200" baseline="0">
                <a:solidFill>
                  <a:schemeClr val="tx2"/>
                </a:solidFill>
                <a:latin typeface="+mn-lt"/>
                <a:ea typeface="+mn-ea"/>
                <a:cs typeface="+mn-cs"/>
              </a:defRPr>
            </a:pPr>
            <a:r>
              <a:rPr lang="en-US" sz="1400"/>
              <a:t>Hygiene Coverage VS GAP in active camps</a:t>
            </a:r>
          </a:p>
        </c:rich>
      </c:tx>
      <c:overlay val="0"/>
      <c:spPr>
        <a:noFill/>
        <a:ln>
          <a:noFill/>
        </a:ln>
        <a:effectLst/>
      </c:spPr>
      <c:txPr>
        <a:bodyPr rot="0" spcFirstLastPara="1" vertOverflow="ellipsis" vert="horz" wrap="square" anchor="ctr" anchorCtr="1"/>
        <a:lstStyle/>
        <a:p>
          <a:pPr>
            <a:defRPr sz="1400" b="1" i="0" u="none" strike="noStrike" kern="1200" baseline="0">
              <a:solidFill>
                <a:schemeClr val="tx2"/>
              </a:solidFill>
              <a:latin typeface="+mn-lt"/>
              <a:ea typeface="+mn-ea"/>
              <a:cs typeface="+mn-cs"/>
            </a:defRPr>
          </a:pPr>
          <a:endParaRPr lang="en-US"/>
        </a:p>
      </c:txPr>
    </c:title>
    <c:autoTitleDeleted val="0"/>
    <c:pivotFmts>
      <c:pivotFmt>
        <c:idx val="0"/>
        <c:spPr>
          <a:solidFill>
            <a:schemeClr val="accent6">
              <a:lumMod val="75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6">
              <a:lumMod val="40000"/>
              <a:lumOff val="6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2"/>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6">
              <a:lumMod val="75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6">
              <a:lumMod val="40000"/>
              <a:lumOff val="6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9.1081952105979136E-2"/>
          <c:y val="0.24271399053609838"/>
          <c:w val="0.88637979901754527"/>
          <c:h val="0.43678904961231607"/>
        </c:manualLayout>
      </c:layout>
      <c:barChart>
        <c:barDir val="col"/>
        <c:grouping val="percentStacked"/>
        <c:varyColors val="0"/>
        <c:ser>
          <c:idx val="0"/>
          <c:order val="0"/>
          <c:tx>
            <c:strRef>
              <c:f>Analysis!$C$204</c:f>
              <c:strCache>
                <c:ptCount val="1"/>
                <c:pt idx="0">
                  <c:v>  % Hygiene Coverage</c:v>
                </c:pt>
              </c:strCache>
            </c:strRef>
          </c:tx>
          <c:spPr>
            <a:solidFill>
              <a:schemeClr val="accent6">
                <a:lumMod val="7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Analysis!$B$205:$B$208</c:f>
              <c:strCache>
                <c:ptCount val="4"/>
                <c:pt idx="0">
                  <c:v>Kyaukpyu</c:v>
                </c:pt>
                <c:pt idx="1">
                  <c:v>Myebon</c:v>
                </c:pt>
                <c:pt idx="2">
                  <c:v>Pauktaw</c:v>
                </c:pt>
                <c:pt idx="3">
                  <c:v>Sittwe</c:v>
                </c:pt>
              </c:strCache>
            </c:strRef>
          </c:cat>
          <c:val>
            <c:numRef>
              <c:f>Analysis!$C$205:$C$208</c:f>
              <c:numCache>
                <c:formatCode>0%</c:formatCode>
                <c:ptCount val="4"/>
                <c:pt idx="0">
                  <c:v>1</c:v>
                </c:pt>
                <c:pt idx="1">
                  <c:v>1</c:v>
                </c:pt>
                <c:pt idx="2">
                  <c:v>1</c:v>
                </c:pt>
                <c:pt idx="3">
                  <c:v>0.9220044234355349</c:v>
                </c:pt>
              </c:numCache>
            </c:numRef>
          </c:val>
          <c:extLst>
            <c:ext xmlns:c16="http://schemas.microsoft.com/office/drawing/2014/chart" uri="{C3380CC4-5D6E-409C-BE32-E72D297353CC}">
              <c16:uniqueId val="{00000000-5DFC-438A-ABBE-2CAA5A699420}"/>
            </c:ext>
          </c:extLst>
        </c:ser>
        <c:ser>
          <c:idx val="1"/>
          <c:order val="1"/>
          <c:tx>
            <c:strRef>
              <c:f>Analysis!$D$204</c:f>
              <c:strCache>
                <c:ptCount val="1"/>
                <c:pt idx="0">
                  <c:v>  % Hygiene Gap</c:v>
                </c:pt>
              </c:strCache>
            </c:strRef>
          </c:tx>
          <c:spPr>
            <a:solidFill>
              <a:schemeClr val="accent6">
                <a:lumMod val="40000"/>
                <a:lumOff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Analysis!$B$205:$B$208</c:f>
              <c:strCache>
                <c:ptCount val="4"/>
                <c:pt idx="0">
                  <c:v>Kyaukpyu</c:v>
                </c:pt>
                <c:pt idx="1">
                  <c:v>Myebon</c:v>
                </c:pt>
                <c:pt idx="2">
                  <c:v>Pauktaw</c:v>
                </c:pt>
                <c:pt idx="3">
                  <c:v>Sittwe</c:v>
                </c:pt>
              </c:strCache>
            </c:strRef>
          </c:cat>
          <c:val>
            <c:numRef>
              <c:f>Analysis!$D$205:$D$208</c:f>
              <c:numCache>
                <c:formatCode>0%</c:formatCode>
                <c:ptCount val="4"/>
                <c:pt idx="0">
                  <c:v>0</c:v>
                </c:pt>
                <c:pt idx="1">
                  <c:v>0</c:v>
                </c:pt>
                <c:pt idx="2">
                  <c:v>0</c:v>
                </c:pt>
                <c:pt idx="3">
                  <c:v>7.7995576564465097E-2</c:v>
                </c:pt>
              </c:numCache>
            </c:numRef>
          </c:val>
          <c:extLst>
            <c:ext xmlns:c16="http://schemas.microsoft.com/office/drawing/2014/chart" uri="{C3380CC4-5D6E-409C-BE32-E72D297353CC}">
              <c16:uniqueId val="{00000001-5DFC-438A-ABBE-2CAA5A699420}"/>
            </c:ext>
          </c:extLst>
        </c:ser>
        <c:dLbls>
          <c:showLegendKey val="0"/>
          <c:showVal val="0"/>
          <c:showCatName val="0"/>
          <c:showSerName val="0"/>
          <c:showPercent val="0"/>
          <c:showBubbleSize val="0"/>
        </c:dLbls>
        <c:gapWidth val="150"/>
        <c:overlap val="100"/>
        <c:axId val="415877056"/>
        <c:axId val="415879016"/>
      </c:barChart>
      <c:catAx>
        <c:axId val="415877056"/>
        <c:scaling>
          <c:orientation val="minMax"/>
        </c:scaling>
        <c:delete val="0"/>
        <c:axPos val="b"/>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5400000" spcFirstLastPara="1" vertOverflow="ellipsis" wrap="square" anchor="ctr" anchorCtr="1"/>
          <a:lstStyle/>
          <a:p>
            <a:pPr>
              <a:defRPr sz="1200" b="0" i="0" u="none" strike="noStrike" kern="1200" baseline="0">
                <a:solidFill>
                  <a:schemeClr val="tx2"/>
                </a:solidFill>
                <a:latin typeface="+mn-lt"/>
                <a:ea typeface="+mn-ea"/>
                <a:cs typeface="+mn-cs"/>
              </a:defRPr>
            </a:pPr>
            <a:endParaRPr lang="en-US"/>
          </a:p>
        </c:txPr>
        <c:crossAx val="415879016"/>
        <c:crosses val="autoZero"/>
        <c:auto val="1"/>
        <c:lblAlgn val="ctr"/>
        <c:lblOffset val="100"/>
        <c:noMultiLvlLbl val="0"/>
      </c:catAx>
      <c:valAx>
        <c:axId val="415879016"/>
        <c:scaling>
          <c:orientation val="minMax"/>
        </c:scaling>
        <c:delete val="0"/>
        <c:axPos val="l"/>
        <c:majorGridlines>
          <c:spPr>
            <a:ln w="9525" cap="flat" cmpd="sng" algn="ctr">
              <a:solidFill>
                <a:schemeClr val="tx2">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2"/>
                </a:solidFill>
                <a:latin typeface="+mn-lt"/>
                <a:ea typeface="+mn-ea"/>
                <a:cs typeface="+mn-cs"/>
              </a:defRPr>
            </a:pPr>
            <a:endParaRPr lang="en-US"/>
          </a:p>
        </c:txPr>
        <c:crossAx val="41587705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2"/>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baseline="0">
                <a:solidFill>
                  <a:schemeClr val="tx2"/>
                </a:solidFill>
                <a:latin typeface="+mn-lt"/>
                <a:ea typeface="+mn-ea"/>
                <a:cs typeface="+mn-cs"/>
              </a:defRPr>
            </a:pPr>
            <a:r>
              <a:rPr lang="en-US" sz="1400"/>
              <a:t>% Sites with TLS/CFS</a:t>
            </a:r>
          </a:p>
        </c:rich>
      </c:tx>
      <c:overlay val="0"/>
      <c:spPr>
        <a:noFill/>
        <a:ln>
          <a:noFill/>
        </a:ln>
        <a:effectLst/>
      </c:spPr>
      <c:txPr>
        <a:bodyPr rot="0" spcFirstLastPara="1" vertOverflow="ellipsis" vert="horz" wrap="square" anchor="ctr" anchorCtr="1"/>
        <a:lstStyle/>
        <a:p>
          <a:pPr>
            <a:defRPr sz="1400" b="1" i="0" u="none" strike="noStrike" kern="1200" baseline="0">
              <a:solidFill>
                <a:schemeClr val="tx2"/>
              </a:solidFill>
              <a:latin typeface="+mn-lt"/>
              <a:ea typeface="+mn-ea"/>
              <a:cs typeface="+mn-cs"/>
            </a:defRPr>
          </a:pPr>
          <a:endParaRPr lang="en-US"/>
        </a:p>
      </c:txPr>
    </c:title>
    <c:autoTitleDeleted val="0"/>
    <c:plotArea>
      <c:layout>
        <c:manualLayout>
          <c:layoutTarget val="inner"/>
          <c:xMode val="edge"/>
          <c:yMode val="edge"/>
          <c:x val="0.30256167979002624"/>
          <c:y val="0.19226669582968794"/>
          <c:w val="0.41987685914260719"/>
          <c:h val="0.69979476523767858"/>
        </c:manualLayout>
      </c:layout>
      <c:pieChart>
        <c:varyColors val="1"/>
        <c:ser>
          <c:idx val="0"/>
          <c:order val="0"/>
          <c:tx>
            <c:strRef>
              <c:f>Analysis!$C$336</c:f>
              <c:strCache>
                <c:ptCount val="1"/>
                <c:pt idx="0">
                  <c:v>Central Rakhine</c:v>
                </c:pt>
              </c:strCache>
            </c:strRef>
          </c:tx>
          <c:dPt>
            <c:idx val="0"/>
            <c:bubble3D val="0"/>
            <c:spPr>
              <a:solidFill>
                <a:schemeClr val="tx1">
                  <a:lumMod val="50000"/>
                  <a:lumOff val="50000"/>
                </a:schemeClr>
              </a:solidFill>
              <a:ln>
                <a:noFill/>
              </a:ln>
              <a:effectLst/>
            </c:spPr>
            <c:extLst xmlns:c15="http://schemas.microsoft.com/office/drawing/2012/chart">
              <c:ext xmlns:c16="http://schemas.microsoft.com/office/drawing/2014/chart" uri="{C3380CC4-5D6E-409C-BE32-E72D297353CC}">
                <c16:uniqueId val="{00000001-5885-4C62-ACA7-9F665E189B76}"/>
              </c:ext>
            </c:extLst>
          </c:dPt>
          <c:dPt>
            <c:idx val="1"/>
            <c:bubble3D val="0"/>
            <c:spPr>
              <a:solidFill>
                <a:schemeClr val="bg1">
                  <a:lumMod val="85000"/>
                </a:schemeClr>
              </a:solidFill>
              <a:ln>
                <a:noFill/>
              </a:ln>
              <a:effectLst/>
            </c:spPr>
            <c:extLst xmlns:c15="http://schemas.microsoft.com/office/drawing/2012/chart">
              <c:ext xmlns:c16="http://schemas.microsoft.com/office/drawing/2014/chart" uri="{C3380CC4-5D6E-409C-BE32-E72D297353CC}">
                <c16:uniqueId val="{00000003-5885-4C62-ACA7-9F665E189B76}"/>
              </c:ext>
            </c:extLst>
          </c:dPt>
          <c:dLbls>
            <c:dLbl>
              <c:idx val="1"/>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rgbClr val="44546A"/>
                      </a:solidFill>
                      <a:latin typeface="+mn-lt"/>
                      <a:ea typeface="+mn-ea"/>
                      <a:cs typeface="+mn-cs"/>
                    </a:defRPr>
                  </a:pPr>
                  <a:endParaRPr lang="en-US"/>
                </a:p>
              </c:txPr>
              <c:showLegendKey val="0"/>
              <c:showVal val="1"/>
              <c:showCatName val="0"/>
              <c:showSerName val="0"/>
              <c:showPercent val="0"/>
              <c:showBubbleSize val="0"/>
              <c:extLst>
                <c:ext xmlns:c16="http://schemas.microsoft.com/office/drawing/2014/chart" uri="{C3380CC4-5D6E-409C-BE32-E72D297353CC}">
                  <c16:uniqueId val="{00000003-5885-4C62-ACA7-9F665E189B76}"/>
                </c:ext>
              </c:extLst>
            </c:dLbl>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Analysis!$D$335:$E$335</c:f>
              <c:strCache>
                <c:ptCount val="2"/>
                <c:pt idx="0">
                  <c:v>Yes</c:v>
                </c:pt>
                <c:pt idx="1">
                  <c:v>No</c:v>
                </c:pt>
              </c:strCache>
            </c:strRef>
          </c:cat>
          <c:val>
            <c:numRef>
              <c:f>Analysis!$D$336:$E$336</c:f>
              <c:numCache>
                <c:formatCode>0%</c:formatCode>
                <c:ptCount val="2"/>
                <c:pt idx="0">
                  <c:v>0.95833333333333337</c:v>
                </c:pt>
                <c:pt idx="1">
                  <c:v>4.1666666666666664E-2</c:v>
                </c:pt>
              </c:numCache>
            </c:numRef>
          </c:val>
          <c:extLst xmlns:c15="http://schemas.microsoft.com/office/drawing/2012/chart">
            <c:ext xmlns:c16="http://schemas.microsoft.com/office/drawing/2014/chart" uri="{C3380CC4-5D6E-409C-BE32-E72D297353CC}">
              <c16:uniqueId val="{00000004-5885-4C62-ACA7-9F665E189B76}"/>
            </c:ext>
          </c:extLst>
        </c:ser>
        <c:dLbls>
          <c:showLegendKey val="0"/>
          <c:showVal val="0"/>
          <c:showCatName val="0"/>
          <c:showSerName val="0"/>
          <c:showPercent val="0"/>
          <c:showBubbleSize val="0"/>
          <c:showLeaderLines val="1"/>
        </c:dLbls>
        <c:firstSliceAng val="0"/>
        <c:extLst/>
      </c:pieChart>
      <c:spPr>
        <a:noFill/>
        <a:ln>
          <a:noFill/>
        </a:ln>
        <a:effectLst/>
      </c:spPr>
    </c:plotArea>
    <c:legend>
      <c:legendPos val="r"/>
      <c:overlay val="0"/>
      <c:spPr>
        <a:noFill/>
        <a:ln>
          <a:noFill/>
        </a:ln>
        <a:effectLst/>
      </c:spPr>
      <c:txPr>
        <a:bodyPr rot="0" spcFirstLastPara="1" vertOverflow="ellipsis" vert="horz" wrap="square" anchor="ctr" anchorCtr="1"/>
        <a:lstStyle/>
        <a:p>
          <a:pPr rtl="0">
            <a:defRPr sz="1200" b="0" i="0" u="none" strike="noStrike" kern="1200" baseline="0">
              <a:solidFill>
                <a:schemeClr val="tx2"/>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baseline="0">
                <a:solidFill>
                  <a:schemeClr val="tx2"/>
                </a:solidFill>
                <a:latin typeface="+mn-lt"/>
                <a:ea typeface="+mn-ea"/>
                <a:cs typeface="+mn-cs"/>
              </a:defRPr>
            </a:pPr>
            <a:r>
              <a:rPr lang="en-US" sz="1200" b="1" i="0" baseline="0">
                <a:effectLst/>
              </a:rPr>
              <a:t>% of Sites which made water quality test </a:t>
            </a:r>
            <a:endParaRPr lang="en-US" sz="1200">
              <a:effectLst/>
            </a:endParaRPr>
          </a:p>
          <a:p>
            <a:pPr>
              <a:defRPr sz="1200"/>
            </a:pPr>
            <a:r>
              <a:rPr lang="en-US" sz="1200" b="1" i="0" baseline="0">
                <a:effectLst/>
              </a:rPr>
              <a:t>at water sources</a:t>
            </a:r>
          </a:p>
        </c:rich>
      </c:tx>
      <c:layout>
        <c:manualLayout>
          <c:xMode val="edge"/>
          <c:yMode val="edge"/>
          <c:x val="0.18731142302864315"/>
          <c:y val="2.8612303290414878E-2"/>
        </c:manualLayout>
      </c:layout>
      <c:overlay val="0"/>
      <c:spPr>
        <a:noFill/>
        <a:ln>
          <a:noFill/>
        </a:ln>
        <a:effectLst/>
      </c:spPr>
      <c:txPr>
        <a:bodyPr rot="0" spcFirstLastPara="1" vertOverflow="ellipsis" vert="horz" wrap="square" anchor="ctr" anchorCtr="1"/>
        <a:lstStyle/>
        <a:p>
          <a:pPr>
            <a:defRPr sz="1200" b="1" i="0" u="none" strike="noStrike" kern="1200" baseline="0">
              <a:solidFill>
                <a:schemeClr val="tx2"/>
              </a:solidFill>
              <a:latin typeface="+mn-lt"/>
              <a:ea typeface="+mn-ea"/>
              <a:cs typeface="+mn-cs"/>
            </a:defRPr>
          </a:pPr>
          <a:endParaRPr lang="en-US"/>
        </a:p>
      </c:txPr>
    </c:title>
    <c:autoTitleDeleted val="0"/>
    <c:plotArea>
      <c:layout>
        <c:manualLayout>
          <c:layoutTarget val="inner"/>
          <c:xMode val="edge"/>
          <c:yMode val="edge"/>
          <c:x val="0.28683281981056713"/>
          <c:y val="0.31795388237414529"/>
          <c:w val="0.314710487276047"/>
          <c:h val="0.62131684183253921"/>
        </c:manualLayout>
      </c:layout>
      <c:pieChart>
        <c:varyColors val="1"/>
        <c:ser>
          <c:idx val="0"/>
          <c:order val="0"/>
          <c:tx>
            <c:strRef>
              <c:f>Analysis!$H$45</c:f>
              <c:strCache>
                <c:ptCount val="1"/>
                <c:pt idx="0">
                  <c:v>Central Rakhine</c:v>
                </c:pt>
              </c:strCache>
            </c:strRef>
          </c:tx>
          <c:dPt>
            <c:idx val="0"/>
            <c:bubble3D val="0"/>
            <c:spPr>
              <a:solidFill>
                <a:srgbClr val="0070C0"/>
              </a:solidFill>
              <a:ln>
                <a:noFill/>
              </a:ln>
              <a:effectLst/>
            </c:spPr>
            <c:extLst xmlns:c15="http://schemas.microsoft.com/office/drawing/2012/chart">
              <c:ext xmlns:c16="http://schemas.microsoft.com/office/drawing/2014/chart" uri="{C3380CC4-5D6E-409C-BE32-E72D297353CC}">
                <c16:uniqueId val="{00000001-9C49-4C1F-9CF3-A8BFF8AF6F8A}"/>
              </c:ext>
            </c:extLst>
          </c:dPt>
          <c:dPt>
            <c:idx val="1"/>
            <c:bubble3D val="0"/>
            <c:spPr>
              <a:solidFill>
                <a:schemeClr val="accent1">
                  <a:lumMod val="40000"/>
                  <a:lumOff val="60000"/>
                </a:schemeClr>
              </a:solidFill>
              <a:ln>
                <a:noFill/>
              </a:ln>
              <a:effectLst/>
            </c:spPr>
            <c:extLst xmlns:c15="http://schemas.microsoft.com/office/drawing/2012/chart">
              <c:ext xmlns:c16="http://schemas.microsoft.com/office/drawing/2014/chart" uri="{C3380CC4-5D6E-409C-BE32-E72D297353CC}">
                <c16:uniqueId val="{00000003-9C49-4C1F-9CF3-A8BFF8AF6F8A}"/>
              </c:ext>
            </c:extLst>
          </c:dPt>
          <c:dLbls>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bg1"/>
                      </a:solidFill>
                      <a:latin typeface="+mn-lt"/>
                      <a:ea typeface="+mn-ea"/>
                      <a:cs typeface="+mn-cs"/>
                    </a:defRPr>
                  </a:pPr>
                  <a:endParaRPr lang="en-US"/>
                </a:p>
              </c:txPr>
              <c:showLegendKey val="0"/>
              <c:showVal val="0"/>
              <c:showCatName val="0"/>
              <c:showSerName val="0"/>
              <c:showPercent val="1"/>
              <c:showBubbleSize val="0"/>
              <c:extLst>
                <c:ext xmlns:c16="http://schemas.microsoft.com/office/drawing/2014/chart" uri="{C3380CC4-5D6E-409C-BE32-E72D297353CC}">
                  <c16:uniqueId val="{00000001-9C49-4C1F-9CF3-A8BFF8AF6F8A}"/>
                </c:ext>
              </c:extLst>
            </c:dLbl>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2"/>
                    </a:solidFill>
                    <a:latin typeface="+mn-lt"/>
                    <a:ea typeface="+mn-ea"/>
                    <a:cs typeface="+mn-cs"/>
                  </a:defRPr>
                </a:pPr>
                <a:endParaRPr lang="en-US"/>
              </a:p>
            </c:txPr>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Analysis!$J$44:$K$44</c:f>
              <c:strCache>
                <c:ptCount val="2"/>
                <c:pt idx="0">
                  <c:v>Tested</c:v>
                </c:pt>
                <c:pt idx="1">
                  <c:v>No Test</c:v>
                </c:pt>
              </c:strCache>
            </c:strRef>
          </c:cat>
          <c:val>
            <c:numRef>
              <c:f>Analysis!$J$45:$K$45</c:f>
              <c:numCache>
                <c:formatCode>0</c:formatCode>
                <c:ptCount val="2"/>
                <c:pt idx="0" formatCode="General">
                  <c:v>14</c:v>
                </c:pt>
                <c:pt idx="1">
                  <c:v>10</c:v>
                </c:pt>
              </c:numCache>
            </c:numRef>
          </c:val>
          <c:extLst xmlns:c15="http://schemas.microsoft.com/office/drawing/2012/chart">
            <c:ext xmlns:c16="http://schemas.microsoft.com/office/drawing/2014/chart" uri="{C3380CC4-5D6E-409C-BE32-E72D297353CC}">
              <c16:uniqueId val="{00000004-9C49-4C1F-9CF3-A8BFF8AF6F8A}"/>
            </c:ext>
          </c:extLst>
        </c:ser>
        <c:dLbls>
          <c:showLegendKey val="0"/>
          <c:showVal val="0"/>
          <c:showCatName val="0"/>
          <c:showSerName val="0"/>
          <c:showPercent val="0"/>
          <c:showBubbleSize val="0"/>
          <c:showLeaderLines val="1"/>
        </c:dLbls>
        <c:firstSliceAng val="0"/>
        <c:extLst/>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1200" b="0" i="0" u="none" strike="noStrike" kern="1200" baseline="0">
              <a:solidFill>
                <a:schemeClr val="tx2"/>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baseline="0">
                <a:solidFill>
                  <a:schemeClr val="tx2"/>
                </a:solidFill>
                <a:latin typeface="+mn-lt"/>
                <a:ea typeface="+mn-ea"/>
                <a:cs typeface="+mn-cs"/>
              </a:defRPr>
            </a:pPr>
            <a:r>
              <a:rPr lang="en-US" sz="1400"/>
              <a:t>Water</a:t>
            </a:r>
            <a:r>
              <a:rPr lang="en-US" sz="1400" baseline="0"/>
              <a:t> Source Testing &amp; Treated</a:t>
            </a:r>
            <a:endParaRPr lang="en-US" sz="1400"/>
          </a:p>
        </c:rich>
      </c:tx>
      <c:overlay val="0"/>
      <c:spPr>
        <a:noFill/>
        <a:ln>
          <a:noFill/>
        </a:ln>
        <a:effectLst/>
      </c:spPr>
      <c:txPr>
        <a:bodyPr rot="0" spcFirstLastPara="1" vertOverflow="ellipsis" vert="horz" wrap="square" anchor="ctr" anchorCtr="1"/>
        <a:lstStyle/>
        <a:p>
          <a:pPr>
            <a:defRPr sz="1400" b="1" i="0" u="none" strike="noStrike" kern="1200" baseline="0">
              <a:solidFill>
                <a:schemeClr val="tx2"/>
              </a:solidFill>
              <a:latin typeface="+mn-lt"/>
              <a:ea typeface="+mn-ea"/>
              <a:cs typeface="+mn-cs"/>
            </a:defRPr>
          </a:pPr>
          <a:endParaRPr lang="en-US"/>
        </a:p>
      </c:txPr>
    </c:title>
    <c:autoTitleDeleted val="0"/>
    <c:plotArea>
      <c:layout/>
      <c:barChart>
        <c:barDir val="col"/>
        <c:grouping val="percentStacked"/>
        <c:varyColors val="0"/>
        <c:ser>
          <c:idx val="0"/>
          <c:order val="0"/>
          <c:tx>
            <c:strRef>
              <c:f>Analysis!$L$44</c:f>
              <c:strCache>
                <c:ptCount val="1"/>
                <c:pt idx="0">
                  <c:v># Tested</c:v>
                </c:pt>
              </c:strCache>
            </c:strRef>
          </c:tx>
          <c:spPr>
            <a:solidFill>
              <a:srgbClr val="0070C0"/>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Analysis!$H$45</c:f>
              <c:strCache>
                <c:ptCount val="1"/>
                <c:pt idx="0">
                  <c:v>Central Rakhine</c:v>
                </c:pt>
              </c:strCache>
            </c:strRef>
          </c:cat>
          <c:val>
            <c:numRef>
              <c:f>Analysis!$L$45</c:f>
              <c:numCache>
                <c:formatCode>General</c:formatCode>
                <c:ptCount val="1"/>
                <c:pt idx="0">
                  <c:v>852</c:v>
                </c:pt>
              </c:numCache>
            </c:numRef>
          </c:val>
          <c:extLst>
            <c:ext xmlns:c16="http://schemas.microsoft.com/office/drawing/2014/chart" uri="{C3380CC4-5D6E-409C-BE32-E72D297353CC}">
              <c16:uniqueId val="{00000000-F935-4EB7-A6DD-5FF2CD715C68}"/>
            </c:ext>
          </c:extLst>
        </c:ser>
        <c:ser>
          <c:idx val="1"/>
          <c:order val="1"/>
          <c:tx>
            <c:strRef>
              <c:f>Analysis!$M$44</c:f>
              <c:strCache>
                <c:ptCount val="1"/>
                <c:pt idx="0">
                  <c:v> # Passed</c:v>
                </c:pt>
              </c:strCache>
            </c:strRef>
          </c:tx>
          <c:spPr>
            <a:solidFill>
              <a:schemeClr val="accent1">
                <a:lumMod val="40000"/>
                <a:lumOff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Analysis!$H$45</c:f>
              <c:strCache>
                <c:ptCount val="1"/>
                <c:pt idx="0">
                  <c:v>Central Rakhine</c:v>
                </c:pt>
              </c:strCache>
            </c:strRef>
          </c:cat>
          <c:val>
            <c:numRef>
              <c:f>Analysis!$M$45</c:f>
              <c:numCache>
                <c:formatCode>General</c:formatCode>
                <c:ptCount val="1"/>
                <c:pt idx="0">
                  <c:v>824</c:v>
                </c:pt>
              </c:numCache>
            </c:numRef>
          </c:val>
          <c:extLst>
            <c:ext xmlns:c16="http://schemas.microsoft.com/office/drawing/2014/chart" uri="{C3380CC4-5D6E-409C-BE32-E72D297353CC}">
              <c16:uniqueId val="{00000000-807E-4A2B-9682-E62213B486D8}"/>
            </c:ext>
          </c:extLst>
        </c:ser>
        <c:dLbls>
          <c:showLegendKey val="0"/>
          <c:showVal val="0"/>
          <c:showCatName val="0"/>
          <c:showSerName val="0"/>
          <c:showPercent val="0"/>
          <c:showBubbleSize val="0"/>
        </c:dLbls>
        <c:gapWidth val="150"/>
        <c:overlap val="100"/>
        <c:axId val="1332863680"/>
        <c:axId val="1335493040"/>
      </c:barChart>
      <c:catAx>
        <c:axId val="1332863680"/>
        <c:scaling>
          <c:orientation val="minMax"/>
        </c:scaling>
        <c:delete val="0"/>
        <c:axPos val="b"/>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n-US"/>
          </a:p>
        </c:txPr>
        <c:crossAx val="1335493040"/>
        <c:crosses val="autoZero"/>
        <c:auto val="1"/>
        <c:lblAlgn val="ctr"/>
        <c:lblOffset val="100"/>
        <c:noMultiLvlLbl val="0"/>
      </c:catAx>
      <c:valAx>
        <c:axId val="1335493040"/>
        <c:scaling>
          <c:orientation val="minMax"/>
          <c:max val="1"/>
        </c:scaling>
        <c:delete val="0"/>
        <c:axPos val="l"/>
        <c:majorGridlines>
          <c:spPr>
            <a:ln w="9525" cap="flat" cmpd="sng" algn="ctr">
              <a:solidFill>
                <a:schemeClr val="tx2">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n-US"/>
          </a:p>
        </c:txPr>
        <c:crossAx val="1332863680"/>
        <c:crosses val="autoZero"/>
        <c:crossBetween val="between"/>
        <c:majorUnit val="0.2"/>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en-US" sz="1400" b="1" i="0" baseline="0">
                <a:effectLst/>
              </a:rPr>
              <a:t>% of Sites which made water quality test </a:t>
            </a:r>
            <a:endParaRPr lang="en-US" sz="1400">
              <a:effectLst/>
            </a:endParaRPr>
          </a:p>
          <a:p>
            <a:pPr>
              <a:defRPr/>
            </a:pPr>
            <a:r>
              <a:rPr lang="en-US" sz="1400" b="1" i="0" baseline="0">
                <a:effectLst/>
              </a:rPr>
              <a:t>at household</a:t>
            </a:r>
            <a:endParaRPr lang="en-US" sz="1400">
              <a:effectLst/>
            </a:endParaRP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en-US"/>
        </a:p>
      </c:txPr>
    </c:title>
    <c:autoTitleDeleted val="0"/>
    <c:plotArea>
      <c:layout>
        <c:manualLayout>
          <c:layoutTarget val="inner"/>
          <c:xMode val="edge"/>
          <c:yMode val="edge"/>
          <c:x val="0.33691086408316606"/>
          <c:y val="0.32351942849249105"/>
          <c:w val="0.35232232000411712"/>
          <c:h val="0.54040416000631497"/>
        </c:manualLayout>
      </c:layout>
      <c:pieChart>
        <c:varyColors val="1"/>
        <c:ser>
          <c:idx val="0"/>
          <c:order val="0"/>
          <c:tx>
            <c:strRef>
              <c:f>Analysis!$V$45</c:f>
              <c:strCache>
                <c:ptCount val="1"/>
                <c:pt idx="0">
                  <c:v>Central Rakhine</c:v>
                </c:pt>
              </c:strCache>
            </c:strRef>
          </c:tx>
          <c:dPt>
            <c:idx val="0"/>
            <c:bubble3D val="0"/>
            <c:spPr>
              <a:solidFill>
                <a:srgbClr val="0070C0"/>
              </a:solidFill>
              <a:ln>
                <a:noFill/>
              </a:ln>
              <a:effectLst/>
            </c:spPr>
            <c:extLst xmlns:c15="http://schemas.microsoft.com/office/drawing/2012/chart">
              <c:ext xmlns:c16="http://schemas.microsoft.com/office/drawing/2014/chart" uri="{C3380CC4-5D6E-409C-BE32-E72D297353CC}">
                <c16:uniqueId val="{00000001-F67F-4308-B23B-444726290637}"/>
              </c:ext>
            </c:extLst>
          </c:dPt>
          <c:dPt>
            <c:idx val="1"/>
            <c:bubble3D val="0"/>
            <c:spPr>
              <a:solidFill>
                <a:schemeClr val="accent1">
                  <a:lumMod val="40000"/>
                  <a:lumOff val="60000"/>
                </a:schemeClr>
              </a:solidFill>
              <a:ln>
                <a:noFill/>
              </a:ln>
              <a:effectLst/>
            </c:spPr>
            <c:extLst xmlns:c15="http://schemas.microsoft.com/office/drawing/2012/chart">
              <c:ext xmlns:c16="http://schemas.microsoft.com/office/drawing/2014/chart" uri="{C3380CC4-5D6E-409C-BE32-E72D297353CC}">
                <c16:uniqueId val="{00000003-F67F-4308-B23B-444726290637}"/>
              </c:ext>
            </c:extLst>
          </c:dPt>
          <c:dLbls>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0"/>
              <c:showCatName val="0"/>
              <c:showSerName val="0"/>
              <c:showPercent val="1"/>
              <c:showBubbleSize val="0"/>
              <c:extLst>
                <c:ext xmlns:c16="http://schemas.microsoft.com/office/drawing/2014/chart" uri="{C3380CC4-5D6E-409C-BE32-E72D297353CC}">
                  <c16:uniqueId val="{00000001-F67F-4308-B23B-444726290637}"/>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n-US"/>
              </a:p>
            </c:txPr>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Analysis!$X$44:$Y$44</c:f>
              <c:strCache>
                <c:ptCount val="2"/>
                <c:pt idx="0">
                  <c:v>Tested</c:v>
                </c:pt>
                <c:pt idx="1">
                  <c:v>No test</c:v>
                </c:pt>
              </c:strCache>
            </c:strRef>
          </c:cat>
          <c:val>
            <c:numRef>
              <c:f>Analysis!$X$45:$Y$45</c:f>
              <c:numCache>
                <c:formatCode>General</c:formatCode>
                <c:ptCount val="2"/>
                <c:pt idx="0">
                  <c:v>13</c:v>
                </c:pt>
                <c:pt idx="1">
                  <c:v>11</c:v>
                </c:pt>
              </c:numCache>
            </c:numRef>
          </c:val>
          <c:extLst xmlns:c15="http://schemas.microsoft.com/office/drawing/2012/chart">
            <c:ext xmlns:c16="http://schemas.microsoft.com/office/drawing/2014/chart" uri="{C3380CC4-5D6E-409C-BE32-E72D297353CC}">
              <c16:uniqueId val="{00000004-F67F-4308-B23B-444726290637}"/>
            </c:ext>
          </c:extLst>
        </c:ser>
        <c:dLbls>
          <c:showLegendKey val="0"/>
          <c:showVal val="0"/>
          <c:showCatName val="0"/>
          <c:showSerName val="0"/>
          <c:showPercent val="0"/>
          <c:showBubbleSize val="0"/>
          <c:showLeaderLines val="1"/>
        </c:dLbls>
        <c:firstSliceAng val="0"/>
        <c:extLst/>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baseline="0">
                <a:solidFill>
                  <a:schemeClr val="tx2"/>
                </a:solidFill>
                <a:latin typeface="+mn-lt"/>
                <a:ea typeface="+mn-ea"/>
                <a:cs typeface="+mn-cs"/>
              </a:defRPr>
            </a:pPr>
            <a:r>
              <a:rPr lang="en-US" sz="1400" b="1" i="0" baseline="0">
                <a:effectLst/>
              </a:rPr>
              <a:t>Household Testing &amp; Treated</a:t>
            </a:r>
            <a:endParaRPr lang="en-US" sz="1400">
              <a:effectLst/>
            </a:endParaRPr>
          </a:p>
        </c:rich>
      </c:tx>
      <c:overlay val="0"/>
      <c:spPr>
        <a:noFill/>
        <a:ln>
          <a:noFill/>
        </a:ln>
        <a:effectLst/>
      </c:spPr>
      <c:txPr>
        <a:bodyPr rot="0" spcFirstLastPara="1" vertOverflow="ellipsis" vert="horz" wrap="square" anchor="ctr" anchorCtr="1"/>
        <a:lstStyle/>
        <a:p>
          <a:pPr>
            <a:defRPr sz="1400" b="1" i="0" u="none" strike="noStrike" kern="1200" baseline="0">
              <a:solidFill>
                <a:schemeClr val="tx2"/>
              </a:solidFill>
              <a:latin typeface="+mn-lt"/>
              <a:ea typeface="+mn-ea"/>
              <a:cs typeface="+mn-cs"/>
            </a:defRPr>
          </a:pPr>
          <a:endParaRPr lang="en-US"/>
        </a:p>
      </c:txPr>
    </c:title>
    <c:autoTitleDeleted val="0"/>
    <c:plotArea>
      <c:layout/>
      <c:barChart>
        <c:barDir val="col"/>
        <c:grouping val="percentStacked"/>
        <c:varyColors val="0"/>
        <c:ser>
          <c:idx val="0"/>
          <c:order val="0"/>
          <c:tx>
            <c:strRef>
              <c:f>Analysis!$Z$44</c:f>
              <c:strCache>
                <c:ptCount val="1"/>
                <c:pt idx="0">
                  <c:v> # Tested</c:v>
                </c:pt>
              </c:strCache>
            </c:strRef>
          </c:tx>
          <c:spPr>
            <a:solidFill>
              <a:srgbClr val="0070C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Analysis!$V$45</c:f>
              <c:strCache>
                <c:ptCount val="1"/>
                <c:pt idx="0">
                  <c:v>Central Rakhine</c:v>
                </c:pt>
              </c:strCache>
            </c:strRef>
          </c:cat>
          <c:val>
            <c:numRef>
              <c:f>Analysis!$Z$45</c:f>
              <c:numCache>
                <c:formatCode>General</c:formatCode>
                <c:ptCount val="1"/>
                <c:pt idx="0">
                  <c:v>662</c:v>
                </c:pt>
              </c:numCache>
            </c:numRef>
          </c:val>
          <c:extLst>
            <c:ext xmlns:c16="http://schemas.microsoft.com/office/drawing/2014/chart" uri="{C3380CC4-5D6E-409C-BE32-E72D297353CC}">
              <c16:uniqueId val="{00000000-A528-4231-8455-2E23C4C4DBA8}"/>
            </c:ext>
          </c:extLst>
        </c:ser>
        <c:ser>
          <c:idx val="1"/>
          <c:order val="1"/>
          <c:tx>
            <c:strRef>
              <c:f>Analysis!$AA$44</c:f>
              <c:strCache>
                <c:ptCount val="1"/>
                <c:pt idx="0">
                  <c:v> # Passed</c:v>
                </c:pt>
              </c:strCache>
            </c:strRef>
          </c:tx>
          <c:spPr>
            <a:solidFill>
              <a:schemeClr val="accent1">
                <a:lumMod val="40000"/>
                <a:lumOff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Analysis!$V$45</c:f>
              <c:strCache>
                <c:ptCount val="1"/>
                <c:pt idx="0">
                  <c:v>Central Rakhine</c:v>
                </c:pt>
              </c:strCache>
            </c:strRef>
          </c:cat>
          <c:val>
            <c:numRef>
              <c:f>Analysis!$AA$45</c:f>
              <c:numCache>
                <c:formatCode>General</c:formatCode>
                <c:ptCount val="1"/>
                <c:pt idx="0">
                  <c:v>13</c:v>
                </c:pt>
              </c:numCache>
            </c:numRef>
          </c:val>
          <c:extLst>
            <c:ext xmlns:c16="http://schemas.microsoft.com/office/drawing/2014/chart" uri="{C3380CC4-5D6E-409C-BE32-E72D297353CC}">
              <c16:uniqueId val="{00000000-DBBC-4FED-9C36-FCA61AB7EC8F}"/>
            </c:ext>
          </c:extLst>
        </c:ser>
        <c:dLbls>
          <c:showLegendKey val="0"/>
          <c:showVal val="0"/>
          <c:showCatName val="0"/>
          <c:showSerName val="0"/>
          <c:showPercent val="0"/>
          <c:showBubbleSize val="0"/>
        </c:dLbls>
        <c:gapWidth val="150"/>
        <c:overlap val="100"/>
        <c:axId val="1187118288"/>
        <c:axId val="1344061744"/>
      </c:barChart>
      <c:catAx>
        <c:axId val="1187118288"/>
        <c:scaling>
          <c:orientation val="minMax"/>
        </c:scaling>
        <c:delete val="0"/>
        <c:axPos val="b"/>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n-US"/>
          </a:p>
        </c:txPr>
        <c:crossAx val="1344061744"/>
        <c:crosses val="autoZero"/>
        <c:auto val="1"/>
        <c:lblAlgn val="ctr"/>
        <c:lblOffset val="100"/>
        <c:noMultiLvlLbl val="0"/>
      </c:catAx>
      <c:valAx>
        <c:axId val="1344061744"/>
        <c:scaling>
          <c:orientation val="minMax"/>
          <c:max val="1"/>
          <c:min val="0"/>
        </c:scaling>
        <c:delete val="0"/>
        <c:axPos val="l"/>
        <c:majorGridlines>
          <c:spPr>
            <a:ln w="9525" cap="flat" cmpd="sng" algn="ctr">
              <a:solidFill>
                <a:schemeClr val="tx2">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n-US"/>
          </a:p>
        </c:txPr>
        <c:crossAx val="1187118288"/>
        <c:crosses val="autoZero"/>
        <c:crossBetween val="between"/>
        <c:majorUnit val="0.2"/>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baseline="0">
                <a:solidFill>
                  <a:schemeClr val="tx2"/>
                </a:solidFill>
                <a:latin typeface="+mn-lt"/>
                <a:ea typeface="+mn-ea"/>
                <a:cs typeface="+mn-cs"/>
              </a:defRPr>
            </a:pPr>
            <a:r>
              <a:rPr lang="en-US" sz="1400"/>
              <a:t>% of People feel sage</a:t>
            </a:r>
            <a:r>
              <a:rPr lang="en-US" sz="1400" baseline="0"/>
              <a:t> to use latrines when they need to (or at day/night)</a:t>
            </a:r>
            <a:endParaRPr lang="en-US" sz="1400"/>
          </a:p>
        </c:rich>
      </c:tx>
      <c:overlay val="0"/>
      <c:spPr>
        <a:noFill/>
        <a:ln>
          <a:noFill/>
        </a:ln>
        <a:effectLst/>
      </c:spPr>
      <c:txPr>
        <a:bodyPr rot="0" spcFirstLastPara="1" vertOverflow="ellipsis" vert="horz" wrap="square" anchor="ctr" anchorCtr="1"/>
        <a:lstStyle/>
        <a:p>
          <a:pPr>
            <a:defRPr sz="1400" b="1" i="0" u="none" strike="noStrike" kern="1200" baseline="0">
              <a:solidFill>
                <a:schemeClr val="tx2"/>
              </a:solidFill>
              <a:latin typeface="+mn-lt"/>
              <a:ea typeface="+mn-ea"/>
              <a:cs typeface="+mn-cs"/>
            </a:defRPr>
          </a:pPr>
          <a:endParaRPr lang="en-US"/>
        </a:p>
      </c:txPr>
    </c:title>
    <c:autoTitleDeleted val="0"/>
    <c:plotArea>
      <c:layout/>
      <c:barChart>
        <c:barDir val="bar"/>
        <c:grouping val="percentStacked"/>
        <c:varyColors val="0"/>
        <c:ser>
          <c:idx val="0"/>
          <c:order val="0"/>
          <c:tx>
            <c:strRef>
              <c:f>Analysis!$G$111</c:f>
              <c:strCache>
                <c:ptCount val="1"/>
                <c:pt idx="0">
                  <c:v>Safe</c:v>
                </c:pt>
              </c:strCache>
            </c:strRef>
          </c:tx>
          <c:spPr>
            <a:solidFill>
              <a:schemeClr val="accent2">
                <a:lumMod val="7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Analysis!$F$112:$F$115</c:f>
              <c:strCache>
                <c:ptCount val="4"/>
                <c:pt idx="0">
                  <c:v>Men</c:v>
                </c:pt>
                <c:pt idx="1">
                  <c:v>Women</c:v>
                </c:pt>
                <c:pt idx="2">
                  <c:v>Boys</c:v>
                </c:pt>
                <c:pt idx="3">
                  <c:v>Girls</c:v>
                </c:pt>
              </c:strCache>
            </c:strRef>
          </c:cat>
          <c:val>
            <c:numRef>
              <c:f>Analysis!$G$112:$G$115</c:f>
              <c:numCache>
                <c:formatCode>0%</c:formatCode>
                <c:ptCount val="4"/>
                <c:pt idx="0">
                  <c:v>0.97250000000000014</c:v>
                </c:pt>
                <c:pt idx="1">
                  <c:v>0.6908333333333333</c:v>
                </c:pt>
                <c:pt idx="2">
                  <c:v>0.67916666666666659</c:v>
                </c:pt>
                <c:pt idx="3">
                  <c:v>0.67333333333333334</c:v>
                </c:pt>
              </c:numCache>
            </c:numRef>
          </c:val>
          <c:extLst>
            <c:ext xmlns:c16="http://schemas.microsoft.com/office/drawing/2014/chart" uri="{C3380CC4-5D6E-409C-BE32-E72D297353CC}">
              <c16:uniqueId val="{00000000-1962-4C3D-B45B-23FEA09DDE3E}"/>
            </c:ext>
          </c:extLst>
        </c:ser>
        <c:ser>
          <c:idx val="1"/>
          <c:order val="1"/>
          <c:tx>
            <c:strRef>
              <c:f>Analysis!$H$111</c:f>
              <c:strCache>
                <c:ptCount val="1"/>
                <c:pt idx="0">
                  <c:v>Unsafe</c:v>
                </c:pt>
              </c:strCache>
            </c:strRef>
          </c:tx>
          <c:spPr>
            <a:solidFill>
              <a:schemeClr val="accent2">
                <a:lumMod val="40000"/>
                <a:lumOff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2"/>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Analysis!$F$112:$F$115</c:f>
              <c:strCache>
                <c:ptCount val="4"/>
                <c:pt idx="0">
                  <c:v>Men</c:v>
                </c:pt>
                <c:pt idx="1">
                  <c:v>Women</c:v>
                </c:pt>
                <c:pt idx="2">
                  <c:v>Boys</c:v>
                </c:pt>
                <c:pt idx="3">
                  <c:v>Girls</c:v>
                </c:pt>
              </c:strCache>
            </c:strRef>
          </c:cat>
          <c:val>
            <c:numRef>
              <c:f>Analysis!$H$112:$H$115</c:f>
              <c:numCache>
                <c:formatCode>0%</c:formatCode>
                <c:ptCount val="4"/>
                <c:pt idx="0">
                  <c:v>2.7499999999999858E-2</c:v>
                </c:pt>
                <c:pt idx="1">
                  <c:v>0.3091666666666667</c:v>
                </c:pt>
                <c:pt idx="2">
                  <c:v>0.32083333333333341</c:v>
                </c:pt>
                <c:pt idx="3">
                  <c:v>0.32666666666666666</c:v>
                </c:pt>
              </c:numCache>
            </c:numRef>
          </c:val>
          <c:extLst>
            <c:ext xmlns:c16="http://schemas.microsoft.com/office/drawing/2014/chart" uri="{C3380CC4-5D6E-409C-BE32-E72D297353CC}">
              <c16:uniqueId val="{00000001-1962-4C3D-B45B-23FEA09DDE3E}"/>
            </c:ext>
          </c:extLst>
        </c:ser>
        <c:dLbls>
          <c:showLegendKey val="0"/>
          <c:showVal val="0"/>
          <c:showCatName val="0"/>
          <c:showSerName val="0"/>
          <c:showPercent val="0"/>
          <c:showBubbleSize val="0"/>
        </c:dLbls>
        <c:gapWidth val="150"/>
        <c:overlap val="100"/>
        <c:axId val="240704655"/>
        <c:axId val="2054818927"/>
      </c:barChart>
      <c:catAx>
        <c:axId val="240704655"/>
        <c:scaling>
          <c:orientation val="minMax"/>
        </c:scaling>
        <c:delete val="0"/>
        <c:axPos val="l"/>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2"/>
                </a:solidFill>
                <a:latin typeface="+mn-lt"/>
                <a:ea typeface="+mn-ea"/>
                <a:cs typeface="+mn-cs"/>
              </a:defRPr>
            </a:pPr>
            <a:endParaRPr lang="en-US"/>
          </a:p>
        </c:txPr>
        <c:crossAx val="2054818927"/>
        <c:crosses val="autoZero"/>
        <c:auto val="1"/>
        <c:lblAlgn val="ctr"/>
        <c:lblOffset val="100"/>
        <c:noMultiLvlLbl val="0"/>
      </c:catAx>
      <c:valAx>
        <c:axId val="2054818927"/>
        <c:scaling>
          <c:orientation val="minMax"/>
        </c:scaling>
        <c:delete val="0"/>
        <c:axPos val="b"/>
        <c:majorGridlines>
          <c:spPr>
            <a:ln w="9525" cap="flat" cmpd="sng" algn="ctr">
              <a:solidFill>
                <a:schemeClr val="tx2">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2"/>
                </a:solidFill>
                <a:latin typeface="+mn-lt"/>
                <a:ea typeface="+mn-ea"/>
                <a:cs typeface="+mn-cs"/>
              </a:defRPr>
            </a:pPr>
            <a:endParaRPr lang="en-US"/>
          </a:p>
        </c:txPr>
        <c:crossAx val="24070465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2"/>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baseline="0">
                <a:solidFill>
                  <a:schemeClr val="tx2"/>
                </a:solidFill>
                <a:latin typeface="+mn-lt"/>
                <a:ea typeface="+mn-ea"/>
                <a:cs typeface="+mn-cs"/>
              </a:defRPr>
            </a:pPr>
            <a:r>
              <a:rPr lang="en-US" sz="1400"/>
              <a:t>Latrine in TLS/CFS (50:1)</a:t>
            </a:r>
          </a:p>
        </c:rich>
      </c:tx>
      <c:overlay val="0"/>
      <c:spPr>
        <a:noFill/>
        <a:ln>
          <a:noFill/>
        </a:ln>
        <a:effectLst/>
      </c:spPr>
      <c:txPr>
        <a:bodyPr rot="0" spcFirstLastPara="1" vertOverflow="ellipsis" vert="horz" wrap="square" anchor="ctr" anchorCtr="1"/>
        <a:lstStyle/>
        <a:p>
          <a:pPr>
            <a:defRPr sz="1400" b="1" i="0" u="none" strike="noStrike" kern="1200" baseline="0">
              <a:solidFill>
                <a:schemeClr val="tx2"/>
              </a:solidFill>
              <a:latin typeface="+mn-lt"/>
              <a:ea typeface="+mn-ea"/>
              <a:cs typeface="+mn-cs"/>
            </a:defRPr>
          </a:pPr>
          <a:endParaRPr lang="en-US"/>
        </a:p>
      </c:txPr>
    </c:title>
    <c:autoTitleDeleted val="0"/>
    <c:plotArea>
      <c:layout/>
      <c:pieChart>
        <c:varyColors val="1"/>
        <c:ser>
          <c:idx val="0"/>
          <c:order val="0"/>
          <c:dPt>
            <c:idx val="0"/>
            <c:bubble3D val="0"/>
            <c:spPr>
              <a:solidFill>
                <a:schemeClr val="accent2">
                  <a:lumMod val="75000"/>
                </a:schemeClr>
              </a:solidFill>
              <a:ln>
                <a:noFill/>
              </a:ln>
              <a:effectLst/>
            </c:spPr>
            <c:extLst>
              <c:ext xmlns:c16="http://schemas.microsoft.com/office/drawing/2014/chart" uri="{C3380CC4-5D6E-409C-BE32-E72D297353CC}">
                <c16:uniqueId val="{00000001-9C0E-468E-884B-BDDA792E1FFE}"/>
              </c:ext>
            </c:extLst>
          </c:dPt>
          <c:dPt>
            <c:idx val="1"/>
            <c:bubble3D val="0"/>
            <c:spPr>
              <a:solidFill>
                <a:schemeClr val="accent2">
                  <a:lumMod val="40000"/>
                  <a:lumOff val="60000"/>
                </a:schemeClr>
              </a:solidFill>
              <a:ln>
                <a:noFill/>
              </a:ln>
              <a:effectLst/>
            </c:spPr>
            <c:extLst>
              <c:ext xmlns:c16="http://schemas.microsoft.com/office/drawing/2014/chart" uri="{C3380CC4-5D6E-409C-BE32-E72D297353CC}">
                <c16:uniqueId val="{00000007-9C0E-468E-884B-BDDA792E1FFE}"/>
              </c:ext>
            </c:extLst>
          </c:dPt>
          <c:dLbls>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bg1"/>
                      </a:solidFill>
                      <a:latin typeface="+mn-lt"/>
                      <a:ea typeface="+mn-ea"/>
                      <a:cs typeface="+mn-cs"/>
                    </a:defRPr>
                  </a:pPr>
                  <a:endParaRPr lang="en-US"/>
                </a:p>
              </c:txPr>
              <c:showLegendKey val="0"/>
              <c:showVal val="0"/>
              <c:showCatName val="0"/>
              <c:showSerName val="0"/>
              <c:showPercent val="1"/>
              <c:showBubbleSize val="0"/>
              <c:extLst>
                <c:ext xmlns:c16="http://schemas.microsoft.com/office/drawing/2014/chart" uri="{C3380CC4-5D6E-409C-BE32-E72D297353CC}">
                  <c16:uniqueId val="{00000001-9C0E-468E-884B-BDDA792E1FFE}"/>
                </c:ext>
              </c:extLst>
            </c:dLbl>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2"/>
                    </a:solidFill>
                    <a:latin typeface="+mn-lt"/>
                    <a:ea typeface="+mn-ea"/>
                    <a:cs typeface="+mn-cs"/>
                  </a:defRPr>
                </a:pPr>
                <a:endParaRPr lang="en-US"/>
              </a:p>
            </c:txPr>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Analysis!$D$132:$E$132</c:f>
              <c:strCache>
                <c:ptCount val="2"/>
                <c:pt idx="0">
                  <c:v>Latrines in TLS/CFS</c:v>
                </c:pt>
                <c:pt idx="1">
                  <c:v>Latrine Gap</c:v>
                </c:pt>
              </c:strCache>
            </c:strRef>
          </c:cat>
          <c:val>
            <c:numRef>
              <c:f>Analysis!$D$133:$E$133</c:f>
              <c:numCache>
                <c:formatCode>_(* #,##0_);_(* \(#,##0\);_(* "-"??_);_(@_)</c:formatCode>
                <c:ptCount val="2"/>
                <c:pt idx="0">
                  <c:v>229</c:v>
                </c:pt>
                <c:pt idx="1">
                  <c:v>234.07999999999998</c:v>
                </c:pt>
              </c:numCache>
            </c:numRef>
          </c:val>
          <c:extLst>
            <c:ext xmlns:c16="http://schemas.microsoft.com/office/drawing/2014/chart" uri="{C3380CC4-5D6E-409C-BE32-E72D297353CC}">
              <c16:uniqueId val="{00000000-9C0E-468E-884B-BDDA792E1FFE}"/>
            </c:ext>
          </c:extLst>
        </c:ser>
        <c:dLbls>
          <c:showLegendKey val="0"/>
          <c:showVal val="0"/>
          <c:showCatName val="0"/>
          <c:showSerName val="0"/>
          <c:showPercent val="0"/>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1200" b="0" i="0" u="none" strike="noStrike" kern="1200" baseline="0">
              <a:solidFill>
                <a:schemeClr val="tx2"/>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baseline="0">
                <a:solidFill>
                  <a:schemeClr val="tx2"/>
                </a:solidFill>
                <a:latin typeface="+mn-lt"/>
                <a:ea typeface="+mn-ea"/>
                <a:cs typeface="+mn-cs"/>
              </a:defRPr>
            </a:pPr>
            <a:r>
              <a:rPr lang="en-US" sz="1400"/>
              <a:t>People with</a:t>
            </a:r>
            <a:r>
              <a:rPr lang="en-US" sz="1400" baseline="0"/>
              <a:t> disabilities with adapted sanitation option</a:t>
            </a:r>
            <a:endParaRPr lang="en-US" sz="1400"/>
          </a:p>
        </c:rich>
      </c:tx>
      <c:overlay val="0"/>
      <c:spPr>
        <a:noFill/>
        <a:ln>
          <a:noFill/>
        </a:ln>
        <a:effectLst/>
      </c:spPr>
      <c:txPr>
        <a:bodyPr rot="0" spcFirstLastPara="1" vertOverflow="ellipsis" vert="horz" wrap="square" anchor="ctr" anchorCtr="1"/>
        <a:lstStyle/>
        <a:p>
          <a:pPr>
            <a:defRPr sz="1400" b="1" i="0" u="none" strike="noStrike" kern="1200" baseline="0">
              <a:solidFill>
                <a:schemeClr val="tx2"/>
              </a:solidFill>
              <a:latin typeface="+mn-lt"/>
              <a:ea typeface="+mn-ea"/>
              <a:cs typeface="+mn-cs"/>
            </a:defRPr>
          </a:pPr>
          <a:endParaRPr lang="en-US"/>
        </a:p>
      </c:txPr>
    </c:title>
    <c:autoTitleDeleted val="0"/>
    <c:plotArea>
      <c:layout/>
      <c:pieChart>
        <c:varyColors val="1"/>
        <c:ser>
          <c:idx val="0"/>
          <c:order val="0"/>
          <c:dPt>
            <c:idx val="0"/>
            <c:bubble3D val="0"/>
            <c:spPr>
              <a:solidFill>
                <a:schemeClr val="accent2">
                  <a:lumMod val="75000"/>
                </a:schemeClr>
              </a:solidFill>
              <a:ln>
                <a:noFill/>
              </a:ln>
              <a:effectLst/>
            </c:spPr>
            <c:extLst>
              <c:ext xmlns:c16="http://schemas.microsoft.com/office/drawing/2014/chart" uri="{C3380CC4-5D6E-409C-BE32-E72D297353CC}">
                <c16:uniqueId val="{00000008-937E-4F55-AD95-DD28429F4A2A}"/>
              </c:ext>
            </c:extLst>
          </c:dPt>
          <c:dPt>
            <c:idx val="1"/>
            <c:bubble3D val="0"/>
            <c:spPr>
              <a:solidFill>
                <a:schemeClr val="accent2">
                  <a:lumMod val="40000"/>
                  <a:lumOff val="60000"/>
                </a:schemeClr>
              </a:solidFill>
              <a:ln>
                <a:noFill/>
              </a:ln>
              <a:effectLst/>
            </c:spPr>
            <c:extLst>
              <c:ext xmlns:c16="http://schemas.microsoft.com/office/drawing/2014/chart" uri="{C3380CC4-5D6E-409C-BE32-E72D297353CC}">
                <c16:uniqueId val="{00000001-937E-4F55-AD95-DD28429F4A2A}"/>
              </c:ext>
            </c:extLst>
          </c:dPt>
          <c:dLbls>
            <c:dLbl>
              <c:idx val="0"/>
              <c:layout>
                <c:manualLayout>
                  <c:x val="-8.5936132983377087E-3"/>
                  <c:y val="0.10567585301837271"/>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8-937E-4F55-AD95-DD28429F4A2A}"/>
                </c:ext>
              </c:extLst>
            </c:dLbl>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2"/>
                    </a:solidFill>
                    <a:latin typeface="+mn-lt"/>
                    <a:ea typeface="+mn-ea"/>
                    <a:cs typeface="+mn-cs"/>
                  </a:defRPr>
                </a:pPr>
                <a:endParaRPr lang="en-US"/>
              </a:p>
            </c:txPr>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Analysis!$L$130:$M$130</c:f>
              <c:strCache>
                <c:ptCount val="2"/>
                <c:pt idx="0">
                  <c:v>Access to adapted sanitation option</c:v>
                </c:pt>
                <c:pt idx="1">
                  <c:v>No access to adapted sanitation option</c:v>
                </c:pt>
              </c:strCache>
            </c:strRef>
          </c:cat>
          <c:val>
            <c:numRef>
              <c:f>Analysis!$L$131:$M$131</c:f>
              <c:numCache>
                <c:formatCode>General</c:formatCode>
                <c:ptCount val="2"/>
                <c:pt idx="0">
                  <c:v>401</c:v>
                </c:pt>
                <c:pt idx="1">
                  <c:v>14179</c:v>
                </c:pt>
              </c:numCache>
            </c:numRef>
          </c:val>
          <c:extLst>
            <c:ext xmlns:c16="http://schemas.microsoft.com/office/drawing/2014/chart" uri="{C3380CC4-5D6E-409C-BE32-E72D297353CC}">
              <c16:uniqueId val="{00000000-937E-4F55-AD95-DD28429F4A2A}"/>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chart>
    <c:title>
      <c:tx>
        <c:rich>
          <a:bodyPr rot="0" spcFirstLastPara="1" vertOverflow="ellipsis" vert="horz" wrap="square" anchor="ctr" anchorCtr="1"/>
          <a:lstStyle/>
          <a:p>
            <a:pPr>
              <a:defRPr sz="1400" b="1" i="0" u="none" strike="noStrike" kern="1200" baseline="0">
                <a:solidFill>
                  <a:schemeClr val="tx2"/>
                </a:solidFill>
                <a:latin typeface="+mn-lt"/>
                <a:ea typeface="+mn-ea"/>
                <a:cs typeface="+mn-cs"/>
              </a:defRPr>
            </a:pPr>
            <a:r>
              <a:rPr lang="en-US" sz="1400"/>
              <a:t> Effective solid waste management system in place Rakhine</a:t>
            </a:r>
          </a:p>
        </c:rich>
      </c:tx>
      <c:overlay val="0"/>
      <c:spPr>
        <a:noFill/>
        <a:ln>
          <a:noFill/>
        </a:ln>
        <a:effectLst/>
      </c:spPr>
      <c:txPr>
        <a:bodyPr rot="0" spcFirstLastPara="1" vertOverflow="ellipsis" vert="horz" wrap="square" anchor="ctr" anchorCtr="1"/>
        <a:lstStyle/>
        <a:p>
          <a:pPr>
            <a:defRPr sz="1400" b="1" i="0" u="none" strike="noStrike" kern="1200" baseline="0">
              <a:solidFill>
                <a:schemeClr val="tx2"/>
              </a:solidFill>
              <a:latin typeface="+mn-lt"/>
              <a:ea typeface="+mn-ea"/>
              <a:cs typeface="+mn-cs"/>
            </a:defRPr>
          </a:pPr>
          <a:endParaRPr lang="en-US"/>
        </a:p>
      </c:txPr>
    </c:title>
    <c:autoTitleDeleted val="0"/>
    <c:plotArea>
      <c:layout/>
      <c:pieChart>
        <c:varyColors val="1"/>
        <c:ser>
          <c:idx val="3"/>
          <c:order val="0"/>
          <c:tx>
            <c:strRef>
              <c:f>Analysis!$B$149</c:f>
              <c:strCache>
                <c:ptCount val="1"/>
                <c:pt idx="0">
                  <c:v>Rakhine</c:v>
                </c:pt>
              </c:strCache>
            </c:strRef>
          </c:tx>
          <c:dPt>
            <c:idx val="0"/>
            <c:bubble3D val="0"/>
            <c:spPr>
              <a:solidFill>
                <a:schemeClr val="accent2">
                  <a:lumMod val="75000"/>
                </a:schemeClr>
              </a:solidFill>
              <a:ln>
                <a:noFill/>
              </a:ln>
              <a:effectLst/>
            </c:spPr>
            <c:extLst>
              <c:ext xmlns:c16="http://schemas.microsoft.com/office/drawing/2014/chart" uri="{C3380CC4-5D6E-409C-BE32-E72D297353CC}">
                <c16:uniqueId val="{00000046-5874-4861-9CAD-8C2A6D7ECFC1}"/>
              </c:ext>
            </c:extLst>
          </c:dPt>
          <c:dPt>
            <c:idx val="1"/>
            <c:bubble3D val="0"/>
            <c:spPr>
              <a:solidFill>
                <a:schemeClr val="accent2">
                  <a:lumMod val="40000"/>
                  <a:lumOff val="60000"/>
                </a:schemeClr>
              </a:solidFill>
              <a:ln>
                <a:noFill/>
              </a:ln>
              <a:effectLst/>
            </c:spPr>
            <c:extLst>
              <c:ext xmlns:c16="http://schemas.microsoft.com/office/drawing/2014/chart" uri="{C3380CC4-5D6E-409C-BE32-E72D297353CC}">
                <c16:uniqueId val="{00000047-5874-4861-9CAD-8C2A6D7ECFC1}"/>
              </c:ext>
            </c:extLst>
          </c:dPt>
          <c:dLbls>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bg1"/>
                      </a:solidFill>
                      <a:latin typeface="+mn-lt"/>
                      <a:ea typeface="+mn-ea"/>
                      <a:cs typeface="+mn-cs"/>
                    </a:defRPr>
                  </a:pPr>
                  <a:endParaRPr lang="en-US"/>
                </a:p>
              </c:txPr>
              <c:dLblPos val="bestFit"/>
              <c:showLegendKey val="0"/>
              <c:showVal val="0"/>
              <c:showCatName val="0"/>
              <c:showSerName val="0"/>
              <c:showPercent val="1"/>
              <c:showBubbleSize val="0"/>
              <c:extLst>
                <c:ext xmlns:c16="http://schemas.microsoft.com/office/drawing/2014/chart" uri="{C3380CC4-5D6E-409C-BE32-E72D297353CC}">
                  <c16:uniqueId val="{00000046-5874-4861-9CAD-8C2A6D7ECFC1}"/>
                </c:ext>
              </c:extLst>
            </c:dLbl>
            <c:dLbl>
              <c:idx val="1"/>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bg1"/>
                      </a:solidFill>
                      <a:latin typeface="+mn-lt"/>
                      <a:ea typeface="+mn-ea"/>
                      <a:cs typeface="+mn-cs"/>
                    </a:defRPr>
                  </a:pPr>
                  <a:endParaRPr lang="en-US"/>
                </a:p>
              </c:txPr>
              <c:dLblPos val="bestFit"/>
              <c:showLegendKey val="0"/>
              <c:showVal val="0"/>
              <c:showCatName val="0"/>
              <c:showSerName val="0"/>
              <c:showPercent val="1"/>
              <c:showBubbleSize val="0"/>
              <c:extLst>
                <c:ext xmlns:c16="http://schemas.microsoft.com/office/drawing/2014/chart" uri="{C3380CC4-5D6E-409C-BE32-E72D297353CC}">
                  <c16:uniqueId val="{00000047-5874-4861-9CAD-8C2A6D7ECFC1}"/>
                </c:ext>
              </c:extLst>
            </c:dLbl>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2"/>
                    </a:solidFill>
                    <a:latin typeface="+mn-lt"/>
                    <a:ea typeface="+mn-ea"/>
                    <a:cs typeface="+mn-cs"/>
                  </a:defRPr>
                </a:pPr>
                <a:endParaRPr lang="en-US"/>
              </a:p>
            </c:txPr>
            <c:dLblPos val="bestFit"/>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Analysis!$C$148:$D$148</c:f>
              <c:strCache>
                <c:ptCount val="2"/>
                <c:pt idx="0">
                  <c:v>Yes</c:v>
                </c:pt>
                <c:pt idx="1">
                  <c:v>No</c:v>
                </c:pt>
              </c:strCache>
            </c:strRef>
          </c:cat>
          <c:val>
            <c:numRef>
              <c:f>Analysis!$C$149:$D$149</c:f>
              <c:numCache>
                <c:formatCode>General</c:formatCode>
                <c:ptCount val="2"/>
                <c:pt idx="0">
                  <c:v>19</c:v>
                </c:pt>
                <c:pt idx="1">
                  <c:v>5</c:v>
                </c:pt>
              </c:numCache>
            </c:numRef>
          </c:val>
          <c:extLst>
            <c:ext xmlns:c16="http://schemas.microsoft.com/office/drawing/2014/chart" uri="{C3380CC4-5D6E-409C-BE32-E72D297353CC}">
              <c16:uniqueId val="{00000045-5874-4861-9CAD-8C2A6D7ECFC1}"/>
            </c:ext>
          </c:extLst>
        </c:ser>
        <c:dLbls>
          <c:dLblPos val="bestFit"/>
          <c:showLegendKey val="0"/>
          <c:showVal val="1"/>
          <c:showCatName val="0"/>
          <c:showSerName val="0"/>
          <c:showPercent val="0"/>
          <c:showBubbleSize val="0"/>
          <c:showLeaderLines val="1"/>
        </c:dLbls>
        <c:firstSliceAng val="0"/>
        <c:extLst/>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1200" b="0" i="0" u="none" strike="noStrike" kern="1200" baseline="0">
              <a:solidFill>
                <a:schemeClr val="tx2"/>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percentStacked"/>
        <c:varyColors val="0"/>
        <c:ser>
          <c:idx val="0"/>
          <c:order val="0"/>
          <c:tx>
            <c:strRef>
              <c:f>Analysis!$C$220</c:f>
              <c:strCache>
                <c:ptCount val="1"/>
                <c:pt idx="0">
                  <c:v>Yes</c:v>
                </c:pt>
              </c:strCache>
            </c:strRef>
          </c:tx>
          <c:spPr>
            <a:solidFill>
              <a:schemeClr val="accent6">
                <a:lumMod val="7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Analysis!$B$221:$B$223</c:f>
              <c:strCache>
                <c:ptCount val="3"/>
                <c:pt idx="0">
                  <c:v> % of women and girls who report that they have an adequate system for disposing of used sanitary pads</c:v>
                </c:pt>
                <c:pt idx="1">
                  <c:v> % of affected people who report handwashing at key times</c:v>
                </c:pt>
                <c:pt idx="2">
                  <c:v> % of households observed with a place to WASH hands with soap present</c:v>
                </c:pt>
              </c:strCache>
            </c:strRef>
          </c:cat>
          <c:val>
            <c:numRef>
              <c:f>Analysis!$C$221:$C$223</c:f>
              <c:numCache>
                <c:formatCode>0%</c:formatCode>
                <c:ptCount val="3"/>
                <c:pt idx="0">
                  <c:v>0.5</c:v>
                </c:pt>
                <c:pt idx="1">
                  <c:v>0.82</c:v>
                </c:pt>
                <c:pt idx="2">
                  <c:v>0.28499999999999998</c:v>
                </c:pt>
              </c:numCache>
            </c:numRef>
          </c:val>
          <c:extLst>
            <c:ext xmlns:c16="http://schemas.microsoft.com/office/drawing/2014/chart" uri="{C3380CC4-5D6E-409C-BE32-E72D297353CC}">
              <c16:uniqueId val="{00000000-733A-489A-B5AF-B8BB99AE7857}"/>
            </c:ext>
          </c:extLst>
        </c:ser>
        <c:ser>
          <c:idx val="1"/>
          <c:order val="1"/>
          <c:tx>
            <c:strRef>
              <c:f>Analysis!$D$220</c:f>
              <c:strCache>
                <c:ptCount val="1"/>
                <c:pt idx="0">
                  <c:v>No</c:v>
                </c:pt>
              </c:strCache>
            </c:strRef>
          </c:tx>
          <c:spPr>
            <a:solidFill>
              <a:schemeClr val="accent6">
                <a:lumMod val="40000"/>
                <a:lumOff val="60000"/>
              </a:schemeClr>
            </a:solidFill>
            <a:ln>
              <a:noFill/>
            </a:ln>
            <a:effectLst/>
          </c:spPr>
          <c:invertIfNegative val="0"/>
          <c:dLbls>
            <c:dLbl>
              <c:idx val="1"/>
              <c:layout>
                <c:manualLayout>
                  <c:x val="1.5470146272060043E-2"/>
                  <c:y val="4.2884494848067341E-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733A-489A-B5AF-B8BB99AE7857}"/>
                </c:ext>
              </c:extLst>
            </c:dLbl>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2"/>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Analysis!$B$221:$B$223</c:f>
              <c:strCache>
                <c:ptCount val="3"/>
                <c:pt idx="0">
                  <c:v> % of women and girls who report that they have an adequate system for disposing of used sanitary pads</c:v>
                </c:pt>
                <c:pt idx="1">
                  <c:v> % of affected people who report handwashing at key times</c:v>
                </c:pt>
                <c:pt idx="2">
                  <c:v> % of households observed with a place to WASH hands with soap present</c:v>
                </c:pt>
              </c:strCache>
            </c:strRef>
          </c:cat>
          <c:val>
            <c:numRef>
              <c:f>Analysis!$D$221:$D$223</c:f>
              <c:numCache>
                <c:formatCode>0%</c:formatCode>
                <c:ptCount val="3"/>
                <c:pt idx="0">
                  <c:v>0.5</c:v>
                </c:pt>
                <c:pt idx="1">
                  <c:v>0.18000000000000005</c:v>
                </c:pt>
                <c:pt idx="2">
                  <c:v>0.71500000000000008</c:v>
                </c:pt>
              </c:numCache>
            </c:numRef>
          </c:val>
          <c:extLst>
            <c:ext xmlns:c16="http://schemas.microsoft.com/office/drawing/2014/chart" uri="{C3380CC4-5D6E-409C-BE32-E72D297353CC}">
              <c16:uniqueId val="{00000001-733A-489A-B5AF-B8BB99AE7857}"/>
            </c:ext>
          </c:extLst>
        </c:ser>
        <c:dLbls>
          <c:showLegendKey val="0"/>
          <c:showVal val="0"/>
          <c:showCatName val="0"/>
          <c:showSerName val="0"/>
          <c:showPercent val="0"/>
          <c:showBubbleSize val="0"/>
        </c:dLbls>
        <c:gapWidth val="150"/>
        <c:overlap val="100"/>
        <c:axId val="766520672"/>
        <c:axId val="828045152"/>
      </c:barChart>
      <c:catAx>
        <c:axId val="766520672"/>
        <c:scaling>
          <c:orientation val="minMax"/>
        </c:scaling>
        <c:delete val="0"/>
        <c:axPos val="l"/>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2"/>
                </a:solidFill>
                <a:latin typeface="+mn-lt"/>
                <a:ea typeface="+mn-ea"/>
                <a:cs typeface="+mn-cs"/>
              </a:defRPr>
            </a:pPr>
            <a:endParaRPr lang="en-US"/>
          </a:p>
        </c:txPr>
        <c:crossAx val="828045152"/>
        <c:crosses val="autoZero"/>
        <c:auto val="1"/>
        <c:lblAlgn val="ctr"/>
        <c:lblOffset val="100"/>
        <c:noMultiLvlLbl val="0"/>
      </c:catAx>
      <c:valAx>
        <c:axId val="828045152"/>
        <c:scaling>
          <c:orientation val="minMax"/>
        </c:scaling>
        <c:delete val="0"/>
        <c:axPos val="b"/>
        <c:majorGridlines>
          <c:spPr>
            <a:ln w="9525" cap="flat" cmpd="sng" algn="ctr">
              <a:solidFill>
                <a:schemeClr val="tx2">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2"/>
                </a:solidFill>
                <a:latin typeface="+mn-lt"/>
                <a:ea typeface="+mn-ea"/>
                <a:cs typeface="+mn-cs"/>
              </a:defRPr>
            </a:pPr>
            <a:endParaRPr lang="en-US"/>
          </a:p>
        </c:txPr>
        <c:crossAx val="76652067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2"/>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baseline="0">
                <a:solidFill>
                  <a:schemeClr val="tx2"/>
                </a:solidFill>
                <a:latin typeface="+mn-lt"/>
                <a:ea typeface="+mn-ea"/>
                <a:cs typeface="+mn-cs"/>
              </a:defRPr>
            </a:pPr>
            <a:r>
              <a:rPr lang="en-US" sz="1400"/>
              <a:t>% of TLS/CFS with a designated place for children to wash hands where soap is available</a:t>
            </a:r>
          </a:p>
        </c:rich>
      </c:tx>
      <c:overlay val="0"/>
      <c:spPr>
        <a:noFill/>
        <a:ln>
          <a:noFill/>
        </a:ln>
        <a:effectLst/>
      </c:spPr>
      <c:txPr>
        <a:bodyPr rot="0" spcFirstLastPara="1" vertOverflow="ellipsis" vert="horz" wrap="square" anchor="ctr" anchorCtr="1"/>
        <a:lstStyle/>
        <a:p>
          <a:pPr>
            <a:defRPr sz="1400" b="1" i="0" u="none" strike="noStrike" kern="1200" baseline="0">
              <a:solidFill>
                <a:schemeClr val="tx2"/>
              </a:solidFill>
              <a:latin typeface="+mn-lt"/>
              <a:ea typeface="+mn-ea"/>
              <a:cs typeface="+mn-cs"/>
            </a:defRPr>
          </a:pPr>
          <a:endParaRPr lang="en-US"/>
        </a:p>
      </c:txPr>
    </c:title>
    <c:autoTitleDeleted val="0"/>
    <c:plotArea>
      <c:layout/>
      <c:pieChart>
        <c:varyColors val="1"/>
        <c:ser>
          <c:idx val="0"/>
          <c:order val="0"/>
          <c:tx>
            <c:strRef>
              <c:f>Analysis!$C$350</c:f>
              <c:strCache>
                <c:ptCount val="1"/>
                <c:pt idx="0">
                  <c:v>Average of % of TLS/CFS with a designated place for children to wash hands where soap is available</c:v>
                </c:pt>
              </c:strCache>
            </c:strRef>
          </c:tx>
          <c:dPt>
            <c:idx val="0"/>
            <c:bubble3D val="0"/>
            <c:spPr>
              <a:solidFill>
                <a:schemeClr val="accent6">
                  <a:lumMod val="75000"/>
                </a:schemeClr>
              </a:solidFill>
              <a:ln>
                <a:noFill/>
              </a:ln>
              <a:effectLst/>
            </c:spPr>
            <c:extLst>
              <c:ext xmlns:c16="http://schemas.microsoft.com/office/drawing/2014/chart" uri="{C3380CC4-5D6E-409C-BE32-E72D297353CC}">
                <c16:uniqueId val="{00000001-EE45-416E-98B2-E689FD767FA8}"/>
              </c:ext>
            </c:extLst>
          </c:dPt>
          <c:dPt>
            <c:idx val="1"/>
            <c:bubble3D val="0"/>
            <c:spPr>
              <a:solidFill>
                <a:schemeClr val="accent6">
                  <a:lumMod val="40000"/>
                  <a:lumOff val="60000"/>
                </a:schemeClr>
              </a:solidFill>
              <a:ln>
                <a:noFill/>
              </a:ln>
              <a:effectLst/>
            </c:spPr>
            <c:extLst>
              <c:ext xmlns:c16="http://schemas.microsoft.com/office/drawing/2014/chart" uri="{C3380CC4-5D6E-409C-BE32-E72D297353CC}">
                <c16:uniqueId val="{00000005-EE45-416E-98B2-E689FD767FA8}"/>
              </c:ext>
            </c:extLst>
          </c:dPt>
          <c:dLbls>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extLst>
                <c:ext xmlns:c16="http://schemas.microsoft.com/office/drawing/2014/chart" uri="{C3380CC4-5D6E-409C-BE32-E72D297353CC}">
                  <c16:uniqueId val="{00000001-EE45-416E-98B2-E689FD767FA8}"/>
                </c:ext>
              </c:extLst>
            </c:dLbl>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2"/>
                    </a:solidFill>
                    <a:latin typeface="+mn-lt"/>
                    <a:ea typeface="+mn-ea"/>
                    <a:cs typeface="+mn-cs"/>
                  </a:defRPr>
                </a:pPr>
                <a:endParaRPr lang="en-US"/>
              </a:p>
            </c:txPr>
            <c:showLegendKey val="0"/>
            <c:showVal val="1"/>
            <c:showCatName val="0"/>
            <c:showSerName val="0"/>
            <c:showPercent val="0"/>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Analysis!$D$349:$E$349</c:f>
              <c:strCache>
                <c:ptCount val="2"/>
                <c:pt idx="0">
                  <c:v>Yes</c:v>
                </c:pt>
                <c:pt idx="1">
                  <c:v>No</c:v>
                </c:pt>
              </c:strCache>
            </c:strRef>
          </c:cat>
          <c:val>
            <c:numRef>
              <c:f>Analysis!$D$350:$E$350</c:f>
              <c:numCache>
                <c:formatCode>0%</c:formatCode>
                <c:ptCount val="2"/>
                <c:pt idx="0">
                  <c:v>0.37220815195884444</c:v>
                </c:pt>
                <c:pt idx="1">
                  <c:v>0.62779184804115551</c:v>
                </c:pt>
              </c:numCache>
            </c:numRef>
          </c:val>
          <c:extLst>
            <c:ext xmlns:c16="http://schemas.microsoft.com/office/drawing/2014/chart" uri="{C3380CC4-5D6E-409C-BE32-E72D297353CC}">
              <c16:uniqueId val="{00000000-EE45-416E-98B2-E689FD767FA8}"/>
            </c:ext>
          </c:extLst>
        </c:ser>
        <c:dLbls>
          <c:showLegendKey val="0"/>
          <c:showVal val="0"/>
          <c:showCatName val="0"/>
          <c:showSerName val="0"/>
          <c:showPercent val="0"/>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1200" b="0" i="0" u="none" strike="noStrike" kern="1200" baseline="0">
              <a:solidFill>
                <a:schemeClr val="tx2"/>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en-US"/>
              <a:t>AAP</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en-US"/>
        </a:p>
      </c:txPr>
    </c:title>
    <c:autoTitleDeleted val="0"/>
    <c:plotArea>
      <c:layout/>
      <c:barChart>
        <c:barDir val="bar"/>
        <c:grouping val="percentStacked"/>
        <c:varyColors val="0"/>
        <c:ser>
          <c:idx val="0"/>
          <c:order val="0"/>
          <c:tx>
            <c:strRef>
              <c:f>Analysis!$D$368</c:f>
              <c:strCache>
                <c:ptCount val="1"/>
                <c:pt idx="0">
                  <c:v>Yes</c:v>
                </c:pt>
              </c:strCache>
            </c:strRef>
          </c:tx>
          <c:spPr>
            <a:solidFill>
              <a:schemeClr val="accent4">
                <a:lumMod val="7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2"/>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Analysis!$C$369:$C$372</c:f>
              <c:strCache>
                <c:ptCount val="4"/>
                <c:pt idx="0">
                  <c:v>% of affected people surveyed who report feeling satistfied with the latrine design and sanitation service</c:v>
                </c:pt>
                <c:pt idx="1">
                  <c:v>% of affected people surveyed who report feeling satistfied with the water point design and water service</c:v>
                </c:pt>
                <c:pt idx="2">
                  <c:v>% of complaints received that result in timely corrective action and feedback to the community</c:v>
                </c:pt>
                <c:pt idx="3">
                  <c:v>% of affected people surveyed who report feeling informed about the different WASH services available to them</c:v>
                </c:pt>
              </c:strCache>
            </c:strRef>
          </c:cat>
          <c:val>
            <c:numRef>
              <c:f>Analysis!$D$369:$D$372</c:f>
              <c:numCache>
                <c:formatCode>0%</c:formatCode>
                <c:ptCount val="4"/>
                <c:pt idx="0">
                  <c:v>0.94</c:v>
                </c:pt>
                <c:pt idx="1">
                  <c:v>1</c:v>
                </c:pt>
                <c:pt idx="2">
                  <c:v>0.71399999999999997</c:v>
                </c:pt>
                <c:pt idx="3">
                  <c:v>0.4880000000000001</c:v>
                </c:pt>
              </c:numCache>
            </c:numRef>
          </c:val>
          <c:extLst>
            <c:ext xmlns:c16="http://schemas.microsoft.com/office/drawing/2014/chart" uri="{C3380CC4-5D6E-409C-BE32-E72D297353CC}">
              <c16:uniqueId val="{00000000-F9D3-49B0-84FE-3DC0B87CEE6D}"/>
            </c:ext>
          </c:extLst>
        </c:ser>
        <c:ser>
          <c:idx val="1"/>
          <c:order val="1"/>
          <c:tx>
            <c:strRef>
              <c:f>Analysis!$E$368</c:f>
              <c:strCache>
                <c:ptCount val="1"/>
                <c:pt idx="0">
                  <c:v>No</c:v>
                </c:pt>
              </c:strCache>
            </c:strRef>
          </c:tx>
          <c:spPr>
            <a:solidFill>
              <a:schemeClr val="accent4">
                <a:lumMod val="40000"/>
                <a:lumOff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2"/>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Analysis!$C$369:$C$372</c:f>
              <c:strCache>
                <c:ptCount val="4"/>
                <c:pt idx="0">
                  <c:v>% of affected people surveyed who report feeling satistfied with the latrine design and sanitation service</c:v>
                </c:pt>
                <c:pt idx="1">
                  <c:v>% of affected people surveyed who report feeling satistfied with the water point design and water service</c:v>
                </c:pt>
                <c:pt idx="2">
                  <c:v>% of complaints received that result in timely corrective action and feedback to the community</c:v>
                </c:pt>
                <c:pt idx="3">
                  <c:v>% of affected people surveyed who report feeling informed about the different WASH services available to them</c:v>
                </c:pt>
              </c:strCache>
            </c:strRef>
          </c:cat>
          <c:val>
            <c:numRef>
              <c:f>Analysis!$E$369:$E$372</c:f>
              <c:numCache>
                <c:formatCode>0%</c:formatCode>
                <c:ptCount val="4"/>
                <c:pt idx="0">
                  <c:v>6.0000000000000053E-2</c:v>
                </c:pt>
                <c:pt idx="1">
                  <c:v>0</c:v>
                </c:pt>
                <c:pt idx="2">
                  <c:v>0.28600000000000003</c:v>
                </c:pt>
                <c:pt idx="3">
                  <c:v>0.5119999999999999</c:v>
                </c:pt>
              </c:numCache>
            </c:numRef>
          </c:val>
          <c:extLst>
            <c:ext xmlns:c16="http://schemas.microsoft.com/office/drawing/2014/chart" uri="{C3380CC4-5D6E-409C-BE32-E72D297353CC}">
              <c16:uniqueId val="{00000001-F9D3-49B0-84FE-3DC0B87CEE6D}"/>
            </c:ext>
          </c:extLst>
        </c:ser>
        <c:dLbls>
          <c:showLegendKey val="0"/>
          <c:showVal val="0"/>
          <c:showCatName val="0"/>
          <c:showSerName val="0"/>
          <c:showPercent val="0"/>
          <c:showBubbleSize val="0"/>
        </c:dLbls>
        <c:gapWidth val="150"/>
        <c:overlap val="100"/>
        <c:axId val="782142527"/>
        <c:axId val="777875167"/>
      </c:barChart>
      <c:catAx>
        <c:axId val="782142527"/>
        <c:scaling>
          <c:orientation val="minMax"/>
        </c:scaling>
        <c:delete val="0"/>
        <c:axPos val="l"/>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n-US"/>
          </a:p>
        </c:txPr>
        <c:crossAx val="777875167"/>
        <c:crosses val="autoZero"/>
        <c:auto val="1"/>
        <c:lblAlgn val="ctr"/>
        <c:lblOffset val="100"/>
        <c:noMultiLvlLbl val="0"/>
      </c:catAx>
      <c:valAx>
        <c:axId val="777875167"/>
        <c:scaling>
          <c:orientation val="minMax"/>
        </c:scaling>
        <c:delete val="0"/>
        <c:axPos val="b"/>
        <c:majorGridlines>
          <c:spPr>
            <a:ln w="9525" cap="flat" cmpd="sng" algn="ctr">
              <a:solidFill>
                <a:schemeClr val="tx2">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n-US"/>
          </a:p>
        </c:txPr>
        <c:crossAx val="78214252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2"/>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baseline="0">
                <a:solidFill>
                  <a:schemeClr val="tx2"/>
                </a:solidFill>
                <a:latin typeface="+mn-lt"/>
                <a:ea typeface="+mn-ea"/>
                <a:cs typeface="+mn-cs"/>
              </a:defRPr>
            </a:pPr>
            <a:r>
              <a:rPr lang="en-US" sz="1400"/>
              <a:t>% of people reached with Hygiene Promotion</a:t>
            </a:r>
          </a:p>
        </c:rich>
      </c:tx>
      <c:overlay val="0"/>
      <c:spPr>
        <a:noFill/>
        <a:ln>
          <a:noFill/>
        </a:ln>
        <a:effectLst/>
      </c:spPr>
      <c:txPr>
        <a:bodyPr rot="0" spcFirstLastPara="1" vertOverflow="ellipsis" vert="horz" wrap="square" anchor="ctr" anchorCtr="1"/>
        <a:lstStyle/>
        <a:p>
          <a:pPr>
            <a:defRPr sz="1400" b="1" i="0" u="none" strike="noStrike" kern="1200" baseline="0">
              <a:solidFill>
                <a:schemeClr val="tx2"/>
              </a:solidFill>
              <a:latin typeface="+mn-lt"/>
              <a:ea typeface="+mn-ea"/>
              <a:cs typeface="+mn-cs"/>
            </a:defRPr>
          </a:pPr>
          <a:endParaRPr lang="en-US"/>
        </a:p>
      </c:txPr>
    </c:title>
    <c:autoTitleDeleted val="0"/>
    <c:plotArea>
      <c:layout/>
      <c:ofPieChart>
        <c:ofPieType val="pie"/>
        <c:varyColors val="1"/>
        <c:ser>
          <c:idx val="0"/>
          <c:order val="0"/>
          <c:dPt>
            <c:idx val="0"/>
            <c:bubble3D val="0"/>
            <c:spPr>
              <a:solidFill>
                <a:schemeClr val="accent4">
                  <a:lumMod val="40000"/>
                  <a:lumOff val="60000"/>
                </a:schemeClr>
              </a:solidFill>
              <a:ln>
                <a:noFill/>
              </a:ln>
              <a:effectLst/>
            </c:spPr>
            <c:extLst>
              <c:ext xmlns:c16="http://schemas.microsoft.com/office/drawing/2014/chart" uri="{C3380CC4-5D6E-409C-BE32-E72D297353CC}">
                <c16:uniqueId val="{00000001-AFDE-48BF-A69F-0B5C710B2438}"/>
              </c:ext>
            </c:extLst>
          </c:dPt>
          <c:dPt>
            <c:idx val="1"/>
            <c:bubble3D val="0"/>
            <c:spPr>
              <a:solidFill>
                <a:schemeClr val="accent6">
                  <a:lumMod val="50000"/>
                </a:schemeClr>
              </a:solidFill>
              <a:ln>
                <a:noFill/>
              </a:ln>
              <a:effectLst/>
            </c:spPr>
            <c:extLst>
              <c:ext xmlns:c16="http://schemas.microsoft.com/office/drawing/2014/chart" uri="{C3380CC4-5D6E-409C-BE32-E72D297353CC}">
                <c16:uniqueId val="{00000009-AFDE-48BF-A69F-0B5C710B2438}"/>
              </c:ext>
            </c:extLst>
          </c:dPt>
          <c:dPt>
            <c:idx val="2"/>
            <c:bubble3D val="0"/>
            <c:spPr>
              <a:solidFill>
                <a:schemeClr val="accent6">
                  <a:lumMod val="75000"/>
                </a:schemeClr>
              </a:solidFill>
              <a:ln>
                <a:noFill/>
              </a:ln>
              <a:effectLst/>
            </c:spPr>
            <c:extLst>
              <c:ext xmlns:c16="http://schemas.microsoft.com/office/drawing/2014/chart" uri="{C3380CC4-5D6E-409C-BE32-E72D297353CC}">
                <c16:uniqueId val="{00000010-AFDE-48BF-A69F-0B5C710B2438}"/>
              </c:ext>
            </c:extLst>
          </c:dPt>
          <c:dPt>
            <c:idx val="3"/>
            <c:bubble3D val="0"/>
            <c:spPr>
              <a:solidFill>
                <a:schemeClr val="accent6">
                  <a:lumMod val="60000"/>
                  <a:lumOff val="40000"/>
                </a:schemeClr>
              </a:solidFill>
              <a:ln>
                <a:noFill/>
              </a:ln>
              <a:effectLst/>
            </c:spPr>
            <c:extLst>
              <c:ext xmlns:c16="http://schemas.microsoft.com/office/drawing/2014/chart" uri="{C3380CC4-5D6E-409C-BE32-E72D297353CC}">
                <c16:uniqueId val="{00000015-AFDE-48BF-A69F-0B5C710B2438}"/>
              </c:ext>
            </c:extLst>
          </c:dPt>
          <c:dPt>
            <c:idx val="4"/>
            <c:bubble3D val="0"/>
            <c:spPr>
              <a:solidFill>
                <a:schemeClr val="accent6">
                  <a:lumMod val="40000"/>
                  <a:lumOff val="60000"/>
                </a:schemeClr>
              </a:solidFill>
              <a:ln>
                <a:noFill/>
              </a:ln>
              <a:effectLst/>
            </c:spPr>
            <c:extLst>
              <c:ext xmlns:c16="http://schemas.microsoft.com/office/drawing/2014/chart" uri="{C3380CC4-5D6E-409C-BE32-E72D297353CC}">
                <c16:uniqueId val="{0000001B-AFDE-48BF-A69F-0B5C710B2438}"/>
              </c:ext>
            </c:extLst>
          </c:dPt>
          <c:dPt>
            <c:idx val="5"/>
            <c:bubble3D val="0"/>
            <c:spPr>
              <a:solidFill>
                <a:schemeClr val="accent6">
                  <a:lumMod val="75000"/>
                </a:schemeClr>
              </a:solidFill>
              <a:ln>
                <a:noFill/>
              </a:ln>
              <a:effectLst/>
            </c:spPr>
            <c:extLst>
              <c:ext xmlns:c16="http://schemas.microsoft.com/office/drawing/2014/chart" uri="{C3380CC4-5D6E-409C-BE32-E72D297353CC}">
                <c16:uniqueId val="{00000002-AFDE-48BF-A69F-0B5C710B2438}"/>
              </c:ext>
            </c:extLst>
          </c:dPt>
          <c:dLbls>
            <c:dLbl>
              <c:idx val="1"/>
              <c:layout>
                <c:manualLayout>
                  <c:x val="6.7557086614173228E-2"/>
                  <c:y val="-4.7175624786032185E-3"/>
                </c:manualLayout>
              </c:layout>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bg1"/>
                      </a:solidFill>
                      <a:latin typeface="+mn-lt"/>
                      <a:ea typeface="+mn-ea"/>
                      <a:cs typeface="+mn-cs"/>
                    </a:defRPr>
                  </a:pPr>
                  <a:endParaRPr lang="en-US"/>
                </a:p>
              </c:txPr>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9-AFDE-48BF-A69F-0B5C710B2438}"/>
                </c:ext>
              </c:extLst>
            </c:dLbl>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2"/>
                    </a:solidFill>
                    <a:latin typeface="+mn-lt"/>
                    <a:ea typeface="+mn-ea"/>
                    <a:cs typeface="+mn-cs"/>
                  </a:defRPr>
                </a:pPr>
                <a:endParaRPr lang="en-US"/>
              </a:p>
            </c:txPr>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Analysis!$E$234:$I$234</c:f>
              <c:strCache>
                <c:ptCount val="5"/>
                <c:pt idx="0">
                  <c:v>No Reached</c:v>
                </c:pt>
                <c:pt idx="1">
                  <c:v>Men</c:v>
                </c:pt>
                <c:pt idx="2">
                  <c:v>Women</c:v>
                </c:pt>
                <c:pt idx="3">
                  <c:v>Boys</c:v>
                </c:pt>
                <c:pt idx="4">
                  <c:v>Girls</c:v>
                </c:pt>
              </c:strCache>
            </c:strRef>
          </c:cat>
          <c:val>
            <c:numRef>
              <c:f>Analysis!$E$235:$I$235</c:f>
              <c:numCache>
                <c:formatCode>_(* #,##0_);_(* \(#,##0\);_(* "-"??_);_(@_)</c:formatCode>
                <c:ptCount val="5"/>
                <c:pt idx="0">
                  <c:v>34755</c:v>
                </c:pt>
                <c:pt idx="1">
                  <c:v>10425</c:v>
                </c:pt>
                <c:pt idx="2">
                  <c:v>34015</c:v>
                </c:pt>
                <c:pt idx="3">
                  <c:v>16917</c:v>
                </c:pt>
                <c:pt idx="4">
                  <c:v>23043</c:v>
                </c:pt>
              </c:numCache>
            </c:numRef>
          </c:val>
          <c:extLst>
            <c:ext xmlns:c16="http://schemas.microsoft.com/office/drawing/2014/chart" uri="{C3380CC4-5D6E-409C-BE32-E72D297353CC}">
              <c16:uniqueId val="{00000000-AFDE-48BF-A69F-0B5C710B2438}"/>
            </c:ext>
          </c:extLst>
        </c:ser>
        <c:dLbls>
          <c:showLegendKey val="0"/>
          <c:showVal val="0"/>
          <c:showCatName val="0"/>
          <c:showSerName val="0"/>
          <c:showPercent val="0"/>
          <c:showBubbleSize val="0"/>
          <c:showLeaderLines val="1"/>
        </c:dLbls>
        <c:gapWidth val="100"/>
        <c:splitType val="cust"/>
        <c:custSplit>
          <c:secondPiePt val="1"/>
          <c:secondPiePt val="2"/>
          <c:secondPiePt val="3"/>
          <c:secondPiePt val="4"/>
        </c:custSplit>
        <c:secondPieSize val="75"/>
        <c:serLines>
          <c:spPr>
            <a:ln w="9525">
              <a:solidFill>
                <a:schemeClr val="tx2">
                  <a:lumMod val="60000"/>
                  <a:lumOff val="40000"/>
                </a:schemeClr>
              </a:solidFill>
              <a:prstDash val="dash"/>
            </a:ln>
            <a:effectLst/>
          </c:spPr>
        </c:serLines>
      </c:ofPieChart>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2"/>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rot="0" spcFirstLastPara="1" vertOverflow="ellipsis" vert="horz" wrap="square" anchor="ctr" anchorCtr="1"/>
          <a:lstStyle/>
          <a:p>
            <a:pPr>
              <a:defRPr sz="1200" b="1" i="0" u="none" strike="noStrike" kern="1200" baseline="0">
                <a:solidFill>
                  <a:schemeClr val="tx2"/>
                </a:solidFill>
                <a:latin typeface="+mn-lt"/>
                <a:ea typeface="+mn-ea"/>
                <a:cs typeface="+mn-cs"/>
              </a:defRPr>
            </a:pPr>
            <a:r>
              <a:rPr lang="en-US" sz="1200"/>
              <a:t>Number of  women, men, boys and girls benefitting from safe/improved drinking water,r, meeting demand for domestic purposes, at minimum/agreed standards</a:t>
            </a:r>
          </a:p>
        </c:rich>
      </c:tx>
      <c:overlay val="0"/>
      <c:spPr>
        <a:noFill/>
        <a:ln>
          <a:noFill/>
        </a:ln>
        <a:effectLst/>
      </c:spPr>
      <c:txPr>
        <a:bodyPr rot="0" spcFirstLastPara="1" vertOverflow="ellipsis" vert="horz" wrap="square" anchor="ctr" anchorCtr="1"/>
        <a:lstStyle/>
        <a:p>
          <a:pPr>
            <a:defRPr sz="1200" b="1" i="0" u="none" strike="noStrike" kern="1200" baseline="0">
              <a:solidFill>
                <a:schemeClr val="tx2"/>
              </a:solidFill>
              <a:latin typeface="+mn-lt"/>
              <a:ea typeface="+mn-ea"/>
              <a:cs typeface="+mn-cs"/>
            </a:defRPr>
          </a:pPr>
          <a:endParaRPr lang="en-US"/>
        </a:p>
      </c:txPr>
    </c:title>
    <c:autoTitleDeleted val="0"/>
    <c:plotArea>
      <c:layout/>
      <c:barChart>
        <c:barDir val="bar"/>
        <c:grouping val="percentStacked"/>
        <c:varyColors val="0"/>
        <c:ser>
          <c:idx val="1"/>
          <c:order val="1"/>
          <c:tx>
            <c:strRef>
              <c:f>HRP!$D$42</c:f>
              <c:strCache>
                <c:ptCount val="1"/>
                <c:pt idx="0">
                  <c:v>Coverage</c:v>
                </c:pt>
              </c:strCache>
            </c:strRef>
          </c:tx>
          <c:spPr>
            <a:solidFill>
              <a:srgbClr val="0070C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HRP!$B$43:$B$43</c:f>
              <c:strCache>
                <c:ptCount val="1"/>
                <c:pt idx="0">
                  <c:v> Central Rakhine </c:v>
                </c:pt>
              </c:strCache>
            </c:strRef>
          </c:cat>
          <c:val>
            <c:numRef>
              <c:f>HRP!$D$43:$D$43</c:f>
              <c:numCache>
                <c:formatCode>_(* #,##0_);_(* \(#,##0\);_(* "-"??_);_(@_)</c:formatCode>
                <c:ptCount val="1"/>
                <c:pt idx="0">
                  <c:v>119041</c:v>
                </c:pt>
              </c:numCache>
            </c:numRef>
          </c:val>
          <c:extLst>
            <c:ext xmlns:c16="http://schemas.microsoft.com/office/drawing/2014/chart" uri="{C3380CC4-5D6E-409C-BE32-E72D297353CC}">
              <c16:uniqueId val="{00000001-B753-4CD1-A3E6-F95FDFA8B06B}"/>
            </c:ext>
          </c:extLst>
        </c:ser>
        <c:ser>
          <c:idx val="2"/>
          <c:order val="2"/>
          <c:tx>
            <c:strRef>
              <c:f>HRP!$E$42</c:f>
              <c:strCache>
                <c:ptCount val="1"/>
                <c:pt idx="0">
                  <c:v> Gap </c:v>
                </c:pt>
              </c:strCache>
            </c:strRef>
          </c:tx>
          <c:spPr>
            <a:solidFill>
              <a:schemeClr val="accent1">
                <a:lumMod val="40000"/>
                <a:lumOff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HRP!$B$43:$B$43</c:f>
              <c:strCache>
                <c:ptCount val="1"/>
                <c:pt idx="0">
                  <c:v> Central Rakhine </c:v>
                </c:pt>
              </c:strCache>
            </c:strRef>
          </c:cat>
          <c:val>
            <c:numRef>
              <c:f>HRP!$E$43:$E$43</c:f>
              <c:numCache>
                <c:formatCode>_(* #,##0_);_(* \(#,##0\);_(* "-"??_);_(@_)</c:formatCode>
                <c:ptCount val="1"/>
                <c:pt idx="0">
                  <c:v>135431</c:v>
                </c:pt>
              </c:numCache>
            </c:numRef>
          </c:val>
          <c:extLst>
            <c:ext xmlns:c16="http://schemas.microsoft.com/office/drawing/2014/chart" uri="{C3380CC4-5D6E-409C-BE32-E72D297353CC}">
              <c16:uniqueId val="{00000002-B753-4CD1-A3E6-F95FDFA8B06B}"/>
            </c:ext>
          </c:extLst>
        </c:ser>
        <c:dLbls>
          <c:showLegendKey val="0"/>
          <c:showVal val="0"/>
          <c:showCatName val="0"/>
          <c:showSerName val="0"/>
          <c:showPercent val="0"/>
          <c:showBubbleSize val="0"/>
        </c:dLbls>
        <c:gapWidth val="150"/>
        <c:overlap val="100"/>
        <c:axId val="99914656"/>
        <c:axId val="99911912"/>
        <c:extLst>
          <c:ext xmlns:c15="http://schemas.microsoft.com/office/drawing/2012/chart" uri="{02D57815-91ED-43cb-92C2-25804820EDAC}">
            <c15:filteredBarSeries>
              <c15:ser>
                <c:idx val="0"/>
                <c:order val="0"/>
                <c:tx>
                  <c:strRef>
                    <c:extLst>
                      <c:ext uri="{02D57815-91ED-43cb-92C2-25804820EDAC}">
                        <c15:formulaRef>
                          <c15:sqref>HRP!$C$42</c15:sqref>
                        </c15:formulaRef>
                      </c:ext>
                    </c:extLst>
                    <c:strCache>
                      <c:ptCount val="1"/>
                      <c:pt idx="0">
                        <c:v>Target</c:v>
                      </c:pt>
                    </c:strCache>
                  </c:strRef>
                </c:tx>
                <c:spPr>
                  <a:gradFill rotWithShape="1">
                    <a:gsLst>
                      <a:gs pos="0">
                        <a:schemeClr val="accent1">
                          <a:shade val="65000"/>
                          <a:satMod val="103000"/>
                          <a:lumMod val="102000"/>
                          <a:tint val="94000"/>
                        </a:schemeClr>
                      </a:gs>
                      <a:gs pos="50000">
                        <a:schemeClr val="accent1">
                          <a:shade val="65000"/>
                          <a:satMod val="110000"/>
                          <a:lumMod val="100000"/>
                          <a:shade val="100000"/>
                        </a:schemeClr>
                      </a:gs>
                      <a:gs pos="100000">
                        <a:schemeClr val="accent1">
                          <a:shade val="65000"/>
                          <a:lumMod val="99000"/>
                          <a:satMod val="120000"/>
                          <a:shade val="78000"/>
                        </a:schemeClr>
                      </a:gs>
                    </a:gsLst>
                    <a:lin ang="5400000" scaled="0"/>
                  </a:gradFill>
                  <a:ln>
                    <a:noFill/>
                  </a:ln>
                  <a:effectLst/>
                </c:spPr>
                <c:invertIfNegative val="0"/>
                <c:cat>
                  <c:strRef>
                    <c:extLst>
                      <c:ext uri="{02D57815-91ED-43cb-92C2-25804820EDAC}">
                        <c15:formulaRef>
                          <c15:sqref>HRP!$B$43:$B$43</c15:sqref>
                        </c15:formulaRef>
                      </c:ext>
                    </c:extLst>
                    <c:strCache>
                      <c:ptCount val="1"/>
                      <c:pt idx="0">
                        <c:v> Central Rakhine </c:v>
                      </c:pt>
                    </c:strCache>
                  </c:strRef>
                </c:cat>
                <c:val>
                  <c:numRef>
                    <c:extLst>
                      <c:ext uri="{02D57815-91ED-43cb-92C2-25804820EDAC}">
                        <c15:formulaRef>
                          <c15:sqref>HRP!$C$43:$C$43</c15:sqref>
                        </c15:formulaRef>
                      </c:ext>
                    </c:extLst>
                    <c:numCache>
                      <c:formatCode>_(* #,##0_);_(* \(#,##0\);_(* "-"??_);_(@_)</c:formatCode>
                      <c:ptCount val="1"/>
                      <c:pt idx="0">
                        <c:v>254472</c:v>
                      </c:pt>
                    </c:numCache>
                  </c:numRef>
                </c:val>
                <c:extLst>
                  <c:ext xmlns:c16="http://schemas.microsoft.com/office/drawing/2014/chart" uri="{C3380CC4-5D6E-409C-BE32-E72D297353CC}">
                    <c16:uniqueId val="{00000000-B753-4CD1-A3E6-F95FDFA8B06B}"/>
                  </c:ext>
                </c:extLst>
              </c15:ser>
            </c15:filteredBarSeries>
          </c:ext>
        </c:extLst>
      </c:barChart>
      <c:catAx>
        <c:axId val="99914656"/>
        <c:scaling>
          <c:orientation val="minMax"/>
        </c:scaling>
        <c:delete val="0"/>
        <c:axPos val="l"/>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n-US"/>
          </a:p>
        </c:txPr>
        <c:crossAx val="99911912"/>
        <c:crosses val="autoZero"/>
        <c:auto val="1"/>
        <c:lblAlgn val="ctr"/>
        <c:lblOffset val="100"/>
        <c:noMultiLvlLbl val="0"/>
      </c:catAx>
      <c:valAx>
        <c:axId val="99911912"/>
        <c:scaling>
          <c:orientation val="minMax"/>
        </c:scaling>
        <c:delete val="0"/>
        <c:axPos val="b"/>
        <c:majorGridlines>
          <c:spPr>
            <a:ln w="9525" cap="flat" cmpd="sng" algn="ctr">
              <a:solidFill>
                <a:schemeClr val="tx2">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n-US"/>
          </a:p>
        </c:txPr>
        <c:crossAx val="9991465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chart>
    <c:title>
      <c:tx>
        <c:rich>
          <a:bodyPr rot="0" spcFirstLastPara="1" vertOverflow="ellipsis" vert="horz" wrap="square" anchor="ctr" anchorCtr="1"/>
          <a:lstStyle/>
          <a:p>
            <a:pPr>
              <a:defRPr sz="1200" b="1" i="0" u="none" strike="noStrike" kern="1200" baseline="0">
                <a:solidFill>
                  <a:schemeClr val="tx2"/>
                </a:solidFill>
                <a:latin typeface="+mn-lt"/>
                <a:ea typeface="+mn-ea"/>
                <a:cs typeface="+mn-cs"/>
              </a:defRPr>
            </a:pPr>
            <a:r>
              <a:rPr lang="en-US" sz="1200"/>
              <a:t>Number of targeted women, men, boys and girls benefitting from a functional excreta disposal system, reducing safety/public health/environmental risks</a:t>
            </a:r>
          </a:p>
        </c:rich>
      </c:tx>
      <c:overlay val="0"/>
      <c:spPr>
        <a:noFill/>
        <a:ln>
          <a:noFill/>
        </a:ln>
        <a:effectLst/>
      </c:spPr>
      <c:txPr>
        <a:bodyPr rot="0" spcFirstLastPara="1" vertOverflow="ellipsis" vert="horz" wrap="square" anchor="ctr" anchorCtr="1"/>
        <a:lstStyle/>
        <a:p>
          <a:pPr>
            <a:defRPr sz="1200" b="1" i="0" u="none" strike="noStrike" kern="1200" baseline="0">
              <a:solidFill>
                <a:schemeClr val="tx2"/>
              </a:solidFill>
              <a:latin typeface="+mn-lt"/>
              <a:ea typeface="+mn-ea"/>
              <a:cs typeface="+mn-cs"/>
            </a:defRPr>
          </a:pPr>
          <a:endParaRPr lang="en-US"/>
        </a:p>
      </c:txPr>
    </c:title>
    <c:autoTitleDeleted val="0"/>
    <c:plotArea>
      <c:layout>
        <c:manualLayout>
          <c:layoutTarget val="inner"/>
          <c:xMode val="edge"/>
          <c:yMode val="edge"/>
          <c:x val="0.16299611433187358"/>
          <c:y val="0.19293936967452446"/>
          <c:w val="0.7620820099429455"/>
          <c:h val="0.58049472233895127"/>
        </c:manualLayout>
      </c:layout>
      <c:barChart>
        <c:barDir val="bar"/>
        <c:grouping val="percentStacked"/>
        <c:varyColors val="0"/>
        <c:ser>
          <c:idx val="1"/>
          <c:order val="1"/>
          <c:tx>
            <c:strRef>
              <c:f>HRP!$D$51</c:f>
              <c:strCache>
                <c:ptCount val="1"/>
                <c:pt idx="0">
                  <c:v>Coverage</c:v>
                </c:pt>
              </c:strCache>
            </c:strRef>
          </c:tx>
          <c:spPr>
            <a:solidFill>
              <a:schemeClr val="accent2">
                <a:lumMod val="7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HRP!$B$52:$B$52</c:f>
              <c:strCache>
                <c:ptCount val="1"/>
                <c:pt idx="0">
                  <c:v> Central Rakhine </c:v>
                </c:pt>
              </c:strCache>
            </c:strRef>
          </c:cat>
          <c:val>
            <c:numRef>
              <c:f>HRP!$D$52:$D$52</c:f>
              <c:numCache>
                <c:formatCode>_(* #,##0_);_(* \(#,##0\);_(* "-"??_);_(@_)</c:formatCode>
                <c:ptCount val="1"/>
                <c:pt idx="0">
                  <c:v>98000</c:v>
                </c:pt>
              </c:numCache>
            </c:numRef>
          </c:val>
          <c:extLst>
            <c:ext xmlns:c16="http://schemas.microsoft.com/office/drawing/2014/chart" uri="{C3380CC4-5D6E-409C-BE32-E72D297353CC}">
              <c16:uniqueId val="{00000001-BE9A-4C55-91C4-9996C6CCA354}"/>
            </c:ext>
          </c:extLst>
        </c:ser>
        <c:ser>
          <c:idx val="2"/>
          <c:order val="2"/>
          <c:tx>
            <c:strRef>
              <c:f>HRP!$E$51</c:f>
              <c:strCache>
                <c:ptCount val="1"/>
                <c:pt idx="0">
                  <c:v>Gap</c:v>
                </c:pt>
              </c:strCache>
            </c:strRef>
          </c:tx>
          <c:spPr>
            <a:solidFill>
              <a:schemeClr val="accent2">
                <a:lumMod val="40000"/>
                <a:lumOff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HRP!$B$52:$B$52</c:f>
              <c:strCache>
                <c:ptCount val="1"/>
                <c:pt idx="0">
                  <c:v> Central Rakhine </c:v>
                </c:pt>
              </c:strCache>
            </c:strRef>
          </c:cat>
          <c:val>
            <c:numRef>
              <c:f>HRP!$E$52:$E$52</c:f>
              <c:numCache>
                <c:formatCode>_(* #,##0_);_(* \(#,##0\);_(* "-"??_);_(@_)</c:formatCode>
                <c:ptCount val="1"/>
                <c:pt idx="0">
                  <c:v>156472</c:v>
                </c:pt>
              </c:numCache>
            </c:numRef>
          </c:val>
          <c:extLst>
            <c:ext xmlns:c16="http://schemas.microsoft.com/office/drawing/2014/chart" uri="{C3380CC4-5D6E-409C-BE32-E72D297353CC}">
              <c16:uniqueId val="{00000002-BE9A-4C55-91C4-9996C6CCA354}"/>
            </c:ext>
          </c:extLst>
        </c:ser>
        <c:dLbls>
          <c:showLegendKey val="0"/>
          <c:showVal val="0"/>
          <c:showCatName val="0"/>
          <c:showSerName val="0"/>
          <c:showPercent val="0"/>
          <c:showBubbleSize val="0"/>
        </c:dLbls>
        <c:gapWidth val="150"/>
        <c:overlap val="100"/>
        <c:axId val="390219480"/>
        <c:axId val="390217128"/>
        <c:extLst>
          <c:ext xmlns:c15="http://schemas.microsoft.com/office/drawing/2012/chart" uri="{02D57815-91ED-43cb-92C2-25804820EDAC}">
            <c15:filteredBarSeries>
              <c15:ser>
                <c:idx val="0"/>
                <c:order val="0"/>
                <c:tx>
                  <c:strRef>
                    <c:extLst>
                      <c:ext uri="{02D57815-91ED-43cb-92C2-25804820EDAC}">
                        <c15:formulaRef>
                          <c15:sqref>HRP!$C$51</c15:sqref>
                        </c15:formulaRef>
                      </c:ext>
                    </c:extLst>
                    <c:strCache>
                      <c:ptCount val="1"/>
                      <c:pt idx="0">
                        <c:v>Target</c:v>
                      </c:pt>
                    </c:strCache>
                  </c:strRef>
                </c:tx>
                <c:spPr>
                  <a:gradFill rotWithShape="1">
                    <a:gsLst>
                      <a:gs pos="0">
                        <a:schemeClr val="accent2">
                          <a:shade val="65000"/>
                          <a:satMod val="103000"/>
                          <a:lumMod val="102000"/>
                          <a:tint val="94000"/>
                        </a:schemeClr>
                      </a:gs>
                      <a:gs pos="50000">
                        <a:schemeClr val="accent2">
                          <a:shade val="65000"/>
                          <a:satMod val="110000"/>
                          <a:lumMod val="100000"/>
                          <a:shade val="100000"/>
                        </a:schemeClr>
                      </a:gs>
                      <a:gs pos="100000">
                        <a:schemeClr val="accent2">
                          <a:shade val="65000"/>
                          <a:lumMod val="99000"/>
                          <a:satMod val="120000"/>
                          <a:shade val="78000"/>
                        </a:schemeClr>
                      </a:gs>
                    </a:gsLst>
                    <a:lin ang="5400000" scaled="0"/>
                  </a:gradFill>
                  <a:ln>
                    <a:noFill/>
                  </a:ln>
                  <a:effectLst/>
                </c:spPr>
                <c:invertIfNegative val="0"/>
                <c:cat>
                  <c:strRef>
                    <c:extLst>
                      <c:ext uri="{02D57815-91ED-43cb-92C2-25804820EDAC}">
                        <c15:formulaRef>
                          <c15:sqref>HRP!$B$52:$B$52</c15:sqref>
                        </c15:formulaRef>
                      </c:ext>
                    </c:extLst>
                    <c:strCache>
                      <c:ptCount val="1"/>
                      <c:pt idx="0">
                        <c:v> Central Rakhine </c:v>
                      </c:pt>
                    </c:strCache>
                  </c:strRef>
                </c:cat>
                <c:val>
                  <c:numRef>
                    <c:extLst>
                      <c:ext uri="{02D57815-91ED-43cb-92C2-25804820EDAC}">
                        <c15:formulaRef>
                          <c15:sqref>HRP!$C$52:$C$52</c15:sqref>
                        </c15:formulaRef>
                      </c:ext>
                    </c:extLst>
                    <c:numCache>
                      <c:formatCode>_(* #,##0_);_(* \(#,##0\);_(* "-"??_);_(@_)</c:formatCode>
                      <c:ptCount val="1"/>
                      <c:pt idx="0">
                        <c:v>254472</c:v>
                      </c:pt>
                    </c:numCache>
                  </c:numRef>
                </c:val>
                <c:extLst>
                  <c:ext xmlns:c16="http://schemas.microsoft.com/office/drawing/2014/chart" uri="{C3380CC4-5D6E-409C-BE32-E72D297353CC}">
                    <c16:uniqueId val="{00000000-BE9A-4C55-91C4-9996C6CCA354}"/>
                  </c:ext>
                </c:extLst>
              </c15:ser>
            </c15:filteredBarSeries>
          </c:ext>
        </c:extLst>
      </c:barChart>
      <c:catAx>
        <c:axId val="390219480"/>
        <c:scaling>
          <c:orientation val="minMax"/>
        </c:scaling>
        <c:delete val="0"/>
        <c:axPos val="l"/>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n-US"/>
          </a:p>
        </c:txPr>
        <c:crossAx val="390217128"/>
        <c:crosses val="autoZero"/>
        <c:auto val="1"/>
        <c:lblAlgn val="ctr"/>
        <c:lblOffset val="100"/>
        <c:noMultiLvlLbl val="0"/>
      </c:catAx>
      <c:valAx>
        <c:axId val="390217128"/>
        <c:scaling>
          <c:orientation val="minMax"/>
        </c:scaling>
        <c:delete val="0"/>
        <c:axPos val="b"/>
        <c:majorGridlines>
          <c:spPr>
            <a:ln w="9525" cap="flat" cmpd="sng" algn="ctr">
              <a:solidFill>
                <a:schemeClr val="tx2">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n-US"/>
          </a:p>
        </c:txPr>
        <c:crossAx val="390219480"/>
        <c:crosses val="autoZero"/>
        <c:crossBetween val="between"/>
      </c:valAx>
      <c:spPr>
        <a:noFill/>
        <a:ln>
          <a:noFill/>
        </a:ln>
        <a:effectLst/>
      </c:spPr>
    </c:plotArea>
    <c:legend>
      <c:legendPos val="b"/>
      <c:layout>
        <c:manualLayout>
          <c:xMode val="edge"/>
          <c:yMode val="edge"/>
          <c:x val="0.42209678405155343"/>
          <c:y val="0.85166663042769242"/>
          <c:w val="0.15580628318732781"/>
          <c:h val="0.12594356005023311"/>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8"/>
    </mc:Choice>
    <mc:Fallback>
      <c:style val="8"/>
    </mc:Fallback>
  </mc:AlternateContent>
  <c:chart>
    <c:title>
      <c:tx>
        <c:rich>
          <a:bodyPr rot="0" spcFirstLastPara="1" vertOverflow="ellipsis" vert="horz" wrap="square" anchor="ctr" anchorCtr="1"/>
          <a:lstStyle/>
          <a:p>
            <a:pPr>
              <a:defRPr sz="1200" b="1" i="0" u="none" strike="noStrike" kern="1200" baseline="0">
                <a:solidFill>
                  <a:schemeClr val="tx2"/>
                </a:solidFill>
                <a:latin typeface="+mn-lt"/>
                <a:ea typeface="+mn-ea"/>
                <a:cs typeface="+mn-cs"/>
              </a:defRPr>
            </a:pPr>
            <a:r>
              <a:rPr lang="en-US" sz="1200"/>
              <a:t>Number of targeted women, men, boys and girls benefitting from timely/adequate/tailored personal hygiene items and receiving appropriate/ community tailored messages that enable health seeking behavior</a:t>
            </a:r>
          </a:p>
        </c:rich>
      </c:tx>
      <c:layout>
        <c:manualLayout>
          <c:xMode val="edge"/>
          <c:yMode val="edge"/>
          <c:x val="0.13180928042000772"/>
          <c:y val="4.7888133320563167E-3"/>
        </c:manualLayout>
      </c:layout>
      <c:overlay val="0"/>
      <c:spPr>
        <a:noFill/>
        <a:ln>
          <a:noFill/>
        </a:ln>
        <a:effectLst/>
      </c:spPr>
      <c:txPr>
        <a:bodyPr rot="0" spcFirstLastPara="1" vertOverflow="ellipsis" vert="horz" wrap="square" anchor="ctr" anchorCtr="1"/>
        <a:lstStyle/>
        <a:p>
          <a:pPr>
            <a:defRPr sz="1200" b="1" i="0" u="none" strike="noStrike" kern="1200" baseline="0">
              <a:solidFill>
                <a:schemeClr val="tx2"/>
              </a:solidFill>
              <a:latin typeface="+mn-lt"/>
              <a:ea typeface="+mn-ea"/>
              <a:cs typeface="+mn-cs"/>
            </a:defRPr>
          </a:pPr>
          <a:endParaRPr lang="en-US"/>
        </a:p>
      </c:txPr>
    </c:title>
    <c:autoTitleDeleted val="0"/>
    <c:plotArea>
      <c:layout>
        <c:manualLayout>
          <c:layoutTarget val="inner"/>
          <c:xMode val="edge"/>
          <c:yMode val="edge"/>
          <c:x val="0.13512356211607784"/>
          <c:y val="0.21587074342979853"/>
          <c:w val="0.80948758650145791"/>
          <c:h val="0.57773696848499989"/>
        </c:manualLayout>
      </c:layout>
      <c:barChart>
        <c:barDir val="bar"/>
        <c:grouping val="percentStacked"/>
        <c:varyColors val="0"/>
        <c:ser>
          <c:idx val="1"/>
          <c:order val="1"/>
          <c:tx>
            <c:strRef>
              <c:f>HRP!$D$59</c:f>
              <c:strCache>
                <c:ptCount val="1"/>
                <c:pt idx="0">
                  <c:v>Coverage</c:v>
                </c:pt>
              </c:strCache>
            </c:strRef>
          </c:tx>
          <c:spPr>
            <a:solidFill>
              <a:schemeClr val="accent6">
                <a:lumMod val="7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HRP!$B$60:$B$60</c:f>
              <c:strCache>
                <c:ptCount val="1"/>
                <c:pt idx="0">
                  <c:v> Central Rakhine </c:v>
                </c:pt>
              </c:strCache>
            </c:strRef>
          </c:cat>
          <c:val>
            <c:numRef>
              <c:f>HRP!$D$60:$D$60</c:f>
              <c:numCache>
                <c:formatCode>_(* #,##0_);_(* \(#,##0\);_(* "-"??_);_(@_)</c:formatCode>
                <c:ptCount val="1"/>
                <c:pt idx="0">
                  <c:v>118323</c:v>
                </c:pt>
              </c:numCache>
            </c:numRef>
          </c:val>
          <c:extLst>
            <c:ext xmlns:c16="http://schemas.microsoft.com/office/drawing/2014/chart" uri="{C3380CC4-5D6E-409C-BE32-E72D297353CC}">
              <c16:uniqueId val="{00000001-DB15-4E31-852A-C011D1892EB1}"/>
            </c:ext>
          </c:extLst>
        </c:ser>
        <c:ser>
          <c:idx val="2"/>
          <c:order val="2"/>
          <c:tx>
            <c:strRef>
              <c:f>HRP!$E$59</c:f>
              <c:strCache>
                <c:ptCount val="1"/>
                <c:pt idx="0">
                  <c:v>Gap</c:v>
                </c:pt>
              </c:strCache>
            </c:strRef>
          </c:tx>
          <c:spPr>
            <a:solidFill>
              <a:schemeClr val="accent6">
                <a:lumMod val="40000"/>
                <a:lumOff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HRP!$B$60:$B$60</c:f>
              <c:strCache>
                <c:ptCount val="1"/>
                <c:pt idx="0">
                  <c:v> Central Rakhine </c:v>
                </c:pt>
              </c:strCache>
            </c:strRef>
          </c:cat>
          <c:val>
            <c:numRef>
              <c:f>HRP!$E$60:$E$60</c:f>
              <c:numCache>
                <c:formatCode>_(* #,##0_);_(* \(#,##0\);_(* "-"??_);_(@_)</c:formatCode>
                <c:ptCount val="1"/>
                <c:pt idx="0">
                  <c:v>136149</c:v>
                </c:pt>
              </c:numCache>
            </c:numRef>
          </c:val>
          <c:extLst>
            <c:ext xmlns:c16="http://schemas.microsoft.com/office/drawing/2014/chart" uri="{C3380CC4-5D6E-409C-BE32-E72D297353CC}">
              <c16:uniqueId val="{00000002-DB15-4E31-852A-C011D1892EB1}"/>
            </c:ext>
          </c:extLst>
        </c:ser>
        <c:dLbls>
          <c:showLegendKey val="0"/>
          <c:showVal val="0"/>
          <c:showCatName val="0"/>
          <c:showSerName val="0"/>
          <c:showPercent val="0"/>
          <c:showBubbleSize val="0"/>
        </c:dLbls>
        <c:gapWidth val="150"/>
        <c:overlap val="100"/>
        <c:axId val="390218696"/>
        <c:axId val="390219088"/>
        <c:extLst>
          <c:ext xmlns:c15="http://schemas.microsoft.com/office/drawing/2012/chart" uri="{02D57815-91ED-43cb-92C2-25804820EDAC}">
            <c15:filteredBarSeries>
              <c15:ser>
                <c:idx val="0"/>
                <c:order val="0"/>
                <c:tx>
                  <c:strRef>
                    <c:extLst>
                      <c:ext uri="{02D57815-91ED-43cb-92C2-25804820EDAC}">
                        <c15:formulaRef>
                          <c15:sqref>HRP!$C$59</c15:sqref>
                        </c15:formulaRef>
                      </c:ext>
                    </c:extLst>
                    <c:strCache>
                      <c:ptCount val="1"/>
                      <c:pt idx="0">
                        <c:v>Target</c:v>
                      </c:pt>
                    </c:strCache>
                  </c:strRef>
                </c:tx>
                <c:spPr>
                  <a:gradFill rotWithShape="1">
                    <a:gsLst>
                      <a:gs pos="0">
                        <a:schemeClr val="accent6">
                          <a:shade val="65000"/>
                          <a:satMod val="103000"/>
                          <a:lumMod val="102000"/>
                          <a:tint val="94000"/>
                        </a:schemeClr>
                      </a:gs>
                      <a:gs pos="50000">
                        <a:schemeClr val="accent6">
                          <a:shade val="65000"/>
                          <a:satMod val="110000"/>
                          <a:lumMod val="100000"/>
                          <a:shade val="100000"/>
                        </a:schemeClr>
                      </a:gs>
                      <a:gs pos="100000">
                        <a:schemeClr val="accent6">
                          <a:shade val="65000"/>
                          <a:lumMod val="99000"/>
                          <a:satMod val="120000"/>
                          <a:shade val="78000"/>
                        </a:schemeClr>
                      </a:gs>
                    </a:gsLst>
                    <a:lin ang="5400000" scaled="0"/>
                  </a:gradFill>
                  <a:ln>
                    <a:noFill/>
                  </a:ln>
                  <a:effectLst/>
                </c:spPr>
                <c:invertIfNegative val="0"/>
                <c:cat>
                  <c:strRef>
                    <c:extLst>
                      <c:ext uri="{02D57815-91ED-43cb-92C2-25804820EDAC}">
                        <c15:formulaRef>
                          <c15:sqref>HRP!$B$60:$B$60</c15:sqref>
                        </c15:formulaRef>
                      </c:ext>
                    </c:extLst>
                    <c:strCache>
                      <c:ptCount val="1"/>
                      <c:pt idx="0">
                        <c:v> Central Rakhine </c:v>
                      </c:pt>
                    </c:strCache>
                  </c:strRef>
                </c:cat>
                <c:val>
                  <c:numRef>
                    <c:extLst>
                      <c:ext uri="{02D57815-91ED-43cb-92C2-25804820EDAC}">
                        <c15:formulaRef>
                          <c15:sqref>HRP!$C$60:$C$60</c15:sqref>
                        </c15:formulaRef>
                      </c:ext>
                    </c:extLst>
                    <c:numCache>
                      <c:formatCode>_(* #,##0_);_(* \(#,##0\);_(* "-"??_);_(@_)</c:formatCode>
                      <c:ptCount val="1"/>
                      <c:pt idx="0">
                        <c:v>254472</c:v>
                      </c:pt>
                    </c:numCache>
                  </c:numRef>
                </c:val>
                <c:extLst>
                  <c:ext xmlns:c16="http://schemas.microsoft.com/office/drawing/2014/chart" uri="{C3380CC4-5D6E-409C-BE32-E72D297353CC}">
                    <c16:uniqueId val="{00000000-DB15-4E31-852A-C011D1892EB1}"/>
                  </c:ext>
                </c:extLst>
              </c15:ser>
            </c15:filteredBarSeries>
          </c:ext>
        </c:extLst>
      </c:barChart>
      <c:catAx>
        <c:axId val="390218696"/>
        <c:scaling>
          <c:orientation val="minMax"/>
        </c:scaling>
        <c:delete val="0"/>
        <c:axPos val="l"/>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n-US"/>
          </a:p>
        </c:txPr>
        <c:crossAx val="390219088"/>
        <c:crosses val="autoZero"/>
        <c:auto val="1"/>
        <c:lblAlgn val="ctr"/>
        <c:lblOffset val="100"/>
        <c:noMultiLvlLbl val="0"/>
      </c:catAx>
      <c:valAx>
        <c:axId val="390219088"/>
        <c:scaling>
          <c:orientation val="minMax"/>
        </c:scaling>
        <c:delete val="0"/>
        <c:axPos val="b"/>
        <c:majorGridlines>
          <c:spPr>
            <a:ln w="9525" cap="flat" cmpd="sng" algn="ctr">
              <a:solidFill>
                <a:schemeClr val="tx2">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n-US"/>
          </a:p>
        </c:txPr>
        <c:crossAx val="390218696"/>
        <c:crosses val="autoZero"/>
        <c:crossBetween val="between"/>
      </c:valAx>
      <c:spPr>
        <a:noFill/>
        <a:ln>
          <a:noFill/>
        </a:ln>
        <a:effectLst/>
      </c:spPr>
    </c:plotArea>
    <c:legend>
      <c:legendPos val="b"/>
      <c:layout>
        <c:manualLayout>
          <c:xMode val="edge"/>
          <c:yMode val="edge"/>
          <c:x val="0.41884453703817848"/>
          <c:y val="0.89252574488794967"/>
          <c:w val="0.18993918158000264"/>
          <c:h val="0.10146174909954438"/>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baseline="0">
                <a:solidFill>
                  <a:schemeClr val="tx2"/>
                </a:solidFill>
                <a:latin typeface="+mn-lt"/>
                <a:ea typeface="+mn-ea"/>
                <a:cs typeface="+mn-cs"/>
              </a:defRPr>
            </a:pPr>
            <a:r>
              <a:rPr lang="en-US" sz="1400"/>
              <a:t>Number of ppl Covered</a:t>
            </a:r>
            <a:r>
              <a:rPr lang="en-US" sz="1400" baseline="0"/>
              <a:t> against 2019 HRP targets</a:t>
            </a:r>
          </a:p>
          <a:p>
            <a:pPr>
              <a:defRPr sz="1400"/>
            </a:pPr>
            <a:r>
              <a:rPr lang="en-US" sz="1400"/>
              <a:t> (in</a:t>
            </a:r>
            <a:r>
              <a:rPr lang="en-US" sz="1400" baseline="0"/>
              <a:t> IDP camps)</a:t>
            </a:r>
            <a:endParaRPr lang="en-US" sz="1400"/>
          </a:p>
        </c:rich>
      </c:tx>
      <c:overlay val="0"/>
      <c:spPr>
        <a:noFill/>
        <a:ln>
          <a:noFill/>
        </a:ln>
        <a:effectLst/>
      </c:spPr>
      <c:txPr>
        <a:bodyPr rot="0" spcFirstLastPara="1" vertOverflow="ellipsis" vert="horz" wrap="square" anchor="ctr" anchorCtr="1"/>
        <a:lstStyle/>
        <a:p>
          <a:pPr>
            <a:defRPr sz="1400" b="1" i="0" u="none" strike="noStrike" kern="1200" baseline="0">
              <a:solidFill>
                <a:schemeClr val="tx2"/>
              </a:solidFill>
              <a:latin typeface="+mn-lt"/>
              <a:ea typeface="+mn-ea"/>
              <a:cs typeface="+mn-cs"/>
            </a:defRPr>
          </a:pPr>
          <a:endParaRPr lang="en-US"/>
        </a:p>
      </c:txPr>
    </c:title>
    <c:autoTitleDeleted val="0"/>
    <c:plotArea>
      <c:layout/>
      <c:barChart>
        <c:barDir val="bar"/>
        <c:grouping val="percentStacked"/>
        <c:varyColors val="0"/>
        <c:ser>
          <c:idx val="0"/>
          <c:order val="0"/>
          <c:tx>
            <c:strRef>
              <c:f>HRP!$H$81</c:f>
              <c:strCache>
                <c:ptCount val="1"/>
                <c:pt idx="0">
                  <c:v>Coverage</c:v>
                </c:pt>
              </c:strCache>
            </c:strRef>
          </c:tx>
          <c:spPr>
            <a:solidFill>
              <a:srgbClr val="0070C0"/>
            </a:solidFill>
            <a:ln>
              <a:noFill/>
            </a:ln>
            <a:effectLst/>
          </c:spPr>
          <c:invertIfNegative val="0"/>
          <c:dPt>
            <c:idx val="0"/>
            <c:invertIfNegative val="0"/>
            <c:bubble3D val="0"/>
            <c:spPr>
              <a:solidFill>
                <a:schemeClr val="accent6">
                  <a:lumMod val="75000"/>
                </a:schemeClr>
              </a:solidFill>
              <a:ln>
                <a:noFill/>
              </a:ln>
              <a:effectLst/>
            </c:spPr>
            <c:extLst>
              <c:ext xmlns:c16="http://schemas.microsoft.com/office/drawing/2014/chart" uri="{C3380CC4-5D6E-409C-BE32-E72D297353CC}">
                <c16:uniqueId val="{00000001-E308-4CE9-A15B-A8FE38957C12}"/>
              </c:ext>
            </c:extLst>
          </c:dPt>
          <c:dPt>
            <c:idx val="1"/>
            <c:invertIfNegative val="0"/>
            <c:bubble3D val="0"/>
            <c:spPr>
              <a:solidFill>
                <a:schemeClr val="accent2">
                  <a:lumMod val="75000"/>
                </a:schemeClr>
              </a:solidFill>
              <a:ln>
                <a:noFill/>
              </a:ln>
              <a:effectLst/>
            </c:spPr>
            <c:extLst>
              <c:ext xmlns:c16="http://schemas.microsoft.com/office/drawing/2014/chart" uri="{C3380CC4-5D6E-409C-BE32-E72D297353CC}">
                <c16:uniqueId val="{00000003-E308-4CE9-A15B-A8FE38957C12}"/>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HRP!$F$82:$F$84</c:f>
              <c:strCache>
                <c:ptCount val="3"/>
                <c:pt idx="0">
                  <c:v>benefitting from timely/adequate/tailored personal hygiene items and receiving appropriate/ community tailored messages that enable health seeking behavior</c:v>
                </c:pt>
                <c:pt idx="1">
                  <c:v>benefitting from a functional excreta disposal system, reducing safety/public health/environmental risks</c:v>
                </c:pt>
                <c:pt idx="2">
                  <c:v>benefitting from safe/improved drinking water, meeting demand for domestic purposes, at minimum/agreed standards</c:v>
                </c:pt>
              </c:strCache>
            </c:strRef>
          </c:cat>
          <c:val>
            <c:numRef>
              <c:f>HRP!$H$82:$H$84</c:f>
              <c:numCache>
                <c:formatCode>_(* #,##0_);_(* \(#,##0\);_(* "-"??_);_(@_)</c:formatCode>
                <c:ptCount val="3"/>
                <c:pt idx="0">
                  <c:v>118323</c:v>
                </c:pt>
                <c:pt idx="1">
                  <c:v>98000</c:v>
                </c:pt>
                <c:pt idx="2">
                  <c:v>119041</c:v>
                </c:pt>
              </c:numCache>
            </c:numRef>
          </c:val>
          <c:extLst>
            <c:ext xmlns:c16="http://schemas.microsoft.com/office/drawing/2014/chart" uri="{C3380CC4-5D6E-409C-BE32-E72D297353CC}">
              <c16:uniqueId val="{00000008-E308-4CE9-A15B-A8FE38957C12}"/>
            </c:ext>
          </c:extLst>
        </c:ser>
        <c:ser>
          <c:idx val="1"/>
          <c:order val="1"/>
          <c:tx>
            <c:strRef>
              <c:f>HRP!$I$81</c:f>
              <c:strCache>
                <c:ptCount val="1"/>
                <c:pt idx="0">
                  <c:v>Gap</c:v>
                </c:pt>
              </c:strCache>
            </c:strRef>
          </c:tx>
          <c:spPr>
            <a:solidFill>
              <a:schemeClr val="accent1">
                <a:lumMod val="40000"/>
                <a:lumOff val="60000"/>
              </a:schemeClr>
            </a:solidFill>
            <a:ln>
              <a:noFill/>
            </a:ln>
            <a:effectLst/>
          </c:spPr>
          <c:invertIfNegative val="0"/>
          <c:dPt>
            <c:idx val="0"/>
            <c:invertIfNegative val="0"/>
            <c:bubble3D val="0"/>
            <c:spPr>
              <a:solidFill>
                <a:schemeClr val="accent6">
                  <a:lumMod val="75000"/>
                </a:schemeClr>
              </a:solidFill>
              <a:ln>
                <a:noFill/>
              </a:ln>
              <a:effectLst/>
            </c:spPr>
            <c:extLst>
              <c:ext xmlns:c16="http://schemas.microsoft.com/office/drawing/2014/chart" uri="{C3380CC4-5D6E-409C-BE32-E72D297353CC}">
                <c16:uniqueId val="{0000000A-E308-4CE9-A15B-A8FE38957C12}"/>
              </c:ext>
            </c:extLst>
          </c:dPt>
          <c:dPt>
            <c:idx val="1"/>
            <c:invertIfNegative val="0"/>
            <c:bubble3D val="0"/>
            <c:spPr>
              <a:solidFill>
                <a:schemeClr val="accent2">
                  <a:lumMod val="40000"/>
                  <a:lumOff val="60000"/>
                </a:schemeClr>
              </a:solidFill>
              <a:ln>
                <a:noFill/>
              </a:ln>
              <a:effectLst/>
            </c:spPr>
            <c:extLst>
              <c:ext xmlns:c16="http://schemas.microsoft.com/office/drawing/2014/chart" uri="{C3380CC4-5D6E-409C-BE32-E72D297353CC}">
                <c16:uniqueId val="{0000000C-E308-4CE9-A15B-A8FE38957C12}"/>
              </c:ext>
            </c:extLst>
          </c:dPt>
          <c:dLbls>
            <c:dLbl>
              <c:idx val="0"/>
              <c:delete val="1"/>
              <c:extLst>
                <c:ext xmlns:c15="http://schemas.microsoft.com/office/drawing/2012/chart" uri="{CE6537A1-D6FC-4f65-9D91-7224C49458BB}"/>
                <c:ext xmlns:c16="http://schemas.microsoft.com/office/drawing/2014/chart" uri="{C3380CC4-5D6E-409C-BE32-E72D297353CC}">
                  <c16:uniqueId val="{0000000A-E308-4CE9-A15B-A8FE38957C12}"/>
                </c:ext>
              </c:extLst>
            </c:dLbl>
            <c:dLbl>
              <c:idx val="2"/>
              <c:layout>
                <c:manualLayout>
                  <c:x val="-1.2107536113273226E-16"/>
                  <c:y val="-2.8112128878394677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E308-4CE9-A15B-A8FE38957C12}"/>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2"/>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HRP!$F$82:$F$84</c:f>
              <c:strCache>
                <c:ptCount val="3"/>
                <c:pt idx="0">
                  <c:v>benefitting from timely/adequate/tailored personal hygiene items and receiving appropriate/ community tailored messages that enable health seeking behavior</c:v>
                </c:pt>
                <c:pt idx="1">
                  <c:v>benefitting from a functional excreta disposal system, reducing safety/public health/environmental risks</c:v>
                </c:pt>
                <c:pt idx="2">
                  <c:v>benefitting from safe/improved drinking water, meeting demand for domestic purposes, at minimum/agreed standards</c:v>
                </c:pt>
              </c:strCache>
            </c:strRef>
          </c:cat>
          <c:val>
            <c:numRef>
              <c:f>HRP!$I$82:$I$84</c:f>
              <c:numCache>
                <c:formatCode>_(* #,##0_);_(* \(#,##0\);_(* "-"??_);_(@_)</c:formatCode>
                <c:ptCount val="3"/>
                <c:pt idx="0">
                  <c:v>-7264</c:v>
                </c:pt>
                <c:pt idx="1">
                  <c:v>13059</c:v>
                </c:pt>
                <c:pt idx="2">
                  <c:v>-7982</c:v>
                </c:pt>
              </c:numCache>
            </c:numRef>
          </c:val>
          <c:extLst>
            <c:ext xmlns:c16="http://schemas.microsoft.com/office/drawing/2014/chart" uri="{C3380CC4-5D6E-409C-BE32-E72D297353CC}">
              <c16:uniqueId val="{00000013-E308-4CE9-A15B-A8FE38957C12}"/>
            </c:ext>
          </c:extLst>
        </c:ser>
        <c:dLbls>
          <c:showLegendKey val="0"/>
          <c:showVal val="0"/>
          <c:showCatName val="0"/>
          <c:showSerName val="0"/>
          <c:showPercent val="0"/>
          <c:showBubbleSize val="0"/>
        </c:dLbls>
        <c:gapWidth val="150"/>
        <c:overlap val="100"/>
        <c:axId val="390217520"/>
        <c:axId val="391605888"/>
      </c:barChart>
      <c:catAx>
        <c:axId val="390217520"/>
        <c:scaling>
          <c:orientation val="minMax"/>
        </c:scaling>
        <c:delete val="0"/>
        <c:axPos val="l"/>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2"/>
                </a:solidFill>
                <a:latin typeface="+mn-lt"/>
                <a:ea typeface="+mn-ea"/>
                <a:cs typeface="+mn-cs"/>
              </a:defRPr>
            </a:pPr>
            <a:endParaRPr lang="en-US"/>
          </a:p>
        </c:txPr>
        <c:crossAx val="391605888"/>
        <c:crosses val="autoZero"/>
        <c:auto val="1"/>
        <c:lblAlgn val="ctr"/>
        <c:lblOffset val="100"/>
        <c:noMultiLvlLbl val="0"/>
      </c:catAx>
      <c:valAx>
        <c:axId val="391605888"/>
        <c:scaling>
          <c:orientation val="minMax"/>
          <c:min val="0"/>
        </c:scaling>
        <c:delete val="0"/>
        <c:axPos val="b"/>
        <c:majorGridlines>
          <c:spPr>
            <a:ln w="9525" cap="flat" cmpd="sng" algn="ctr">
              <a:solidFill>
                <a:schemeClr val="tx2">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2"/>
                </a:solidFill>
                <a:latin typeface="+mn-lt"/>
                <a:ea typeface="+mn-ea"/>
                <a:cs typeface="+mn-cs"/>
              </a:defRPr>
            </a:pPr>
            <a:endParaRPr lang="en-US"/>
          </a:p>
        </c:txPr>
        <c:crossAx val="390217520"/>
        <c:crosses val="autoZero"/>
        <c:crossBetween val="between"/>
        <c:majorUnit val="0.2"/>
      </c:valAx>
      <c:spPr>
        <a:noFill/>
        <a:ln>
          <a:noFill/>
        </a:ln>
        <a:effectLst/>
      </c:spPr>
    </c:plotArea>
    <c:plotVisOnly val="1"/>
    <c:dispBlanksAs val="gap"/>
    <c:showDLblsOverMax val="0"/>
  </c:chart>
  <c:spPr>
    <a:solidFill>
      <a:schemeClr val="bg1"/>
    </a:solidFill>
    <a:ln w="9525" cap="flat" cmpd="sng" algn="ctr">
      <a:solidFill>
        <a:srgbClr val="0070C0"/>
      </a:solidFill>
      <a:round/>
    </a:ln>
    <a:effectLst/>
  </c:spPr>
  <c:txPr>
    <a:bodyPr/>
    <a:lstStyle/>
    <a:p>
      <a:pPr>
        <a:defRPr/>
      </a:pPr>
      <a:endParaRPr lang="en-US"/>
    </a:p>
  </c:txPr>
  <c:printSettings>
    <c:headerFooter/>
    <c:pageMargins b="0.75" l="0.7" r="0.7" t="0.75" header="0.3" footer="0.3"/>
    <c:pageSetup/>
  </c:printSettings>
  <c:userShapes r:id="rId3"/>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percentStacked"/>
        <c:varyColors val="0"/>
        <c:ser>
          <c:idx val="0"/>
          <c:order val="0"/>
          <c:tx>
            <c:strRef>
              <c:f>HRP!$J$16</c:f>
              <c:strCache>
                <c:ptCount val="1"/>
                <c:pt idx="0">
                  <c:v>% Reached</c:v>
                </c:pt>
              </c:strCache>
            </c:strRef>
          </c:tx>
          <c:spPr>
            <a:solidFill>
              <a:schemeClr val="tx1">
                <a:lumMod val="65000"/>
                <a:lumOff val="3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multiLvlStrRef>
              <c:extLst>
                <c:ext xmlns:c15="http://schemas.microsoft.com/office/drawing/2012/chart" uri="{02D57815-91ED-43cb-92C2-25804820EDAC}">
                  <c15:fullRef>
                    <c15:sqref>HRP!$C$17:$D$28</c15:sqref>
                  </c15:fullRef>
                </c:ext>
              </c:extLst>
              <c:f>(HRP!$C$17:$D$19,HRP!$C$21:$D$23,HRP!$C$25:$D$27)</c:f>
              <c:multiLvlStrCache>
                <c:ptCount val="9"/>
                <c:lvl>
                  <c:pt idx="0">
                    <c:v> Central Rakhine </c:v>
                  </c:pt>
                  <c:pt idx="1">
                    <c:v> Northern Rakhine </c:v>
                  </c:pt>
                  <c:pt idx="2">
                    <c:v> Rakhine (SRP) </c:v>
                  </c:pt>
                  <c:pt idx="3">
                    <c:v> Central Rakhine </c:v>
                  </c:pt>
                  <c:pt idx="4">
                    <c:v> Northern Rakhine </c:v>
                  </c:pt>
                  <c:pt idx="5">
                    <c:v> Rakhine (SRP) </c:v>
                  </c:pt>
                  <c:pt idx="6">
                    <c:v> Central Rakhine </c:v>
                  </c:pt>
                  <c:pt idx="7">
                    <c:v> Northern Rakhine </c:v>
                  </c:pt>
                  <c:pt idx="8">
                    <c:v> Rakhine (SRP) </c:v>
                  </c:pt>
                </c:lvl>
                <c:lvl>
                  <c:pt idx="0">
                    <c:v>Percentage of women, men, boys and girls benefitting from safe/improved drinking water, meeting demand for domestic purposes, at minimum/agreed standards</c:v>
                  </c:pt>
                  <c:pt idx="3">
                    <c:v>Percentage of targeted women, men, boys and girls benefitting from a functional excreta disposal system, reducing safety/public health/environmental risks</c:v>
                  </c:pt>
                  <c:pt idx="6">
                    <c:v>Percentage of targeted women, men, boys and girls benefitting from timely/adequate/tailored personal hygiene items and receiving appropriate/ community tailored messages that enable health seeking behavior</c:v>
                  </c:pt>
                </c:lvl>
              </c:multiLvlStrCache>
            </c:multiLvlStrRef>
          </c:cat>
          <c:val>
            <c:numRef>
              <c:extLst>
                <c:ext xmlns:c15="http://schemas.microsoft.com/office/drawing/2012/chart" uri="{02D57815-91ED-43cb-92C2-25804820EDAC}">
                  <c15:fullRef>
                    <c15:sqref>HRP!$J$17:$J$28</c15:sqref>
                  </c15:fullRef>
                </c:ext>
              </c:extLst>
              <c:f>(HRP!$J$17:$J$19,HRP!$J$21:$J$23,HRP!$J$25:$J$27)</c:f>
              <c:numCache>
                <c:formatCode>0%</c:formatCode>
                <c:ptCount val="9"/>
                <c:pt idx="0">
                  <c:v>0.7450603602753938</c:v>
                </c:pt>
                <c:pt idx="1">
                  <c:v>0.23733457402812241</c:v>
                </c:pt>
                <c:pt idx="2">
                  <c:v>0.17168189145620635</c:v>
                </c:pt>
                <c:pt idx="3">
                  <c:v>0.46390958533748311</c:v>
                </c:pt>
                <c:pt idx="4">
                  <c:v>8.1231044940722363E-2</c:v>
                </c:pt>
                <c:pt idx="5">
                  <c:v>0.25975914277586371</c:v>
                </c:pt>
                <c:pt idx="6">
                  <c:v>0.54850828381904493</c:v>
                </c:pt>
                <c:pt idx="7">
                  <c:v>0.93377791563275436</c:v>
                </c:pt>
                <c:pt idx="8">
                  <c:v>0.36925119322312483</c:v>
                </c:pt>
              </c:numCache>
            </c:numRef>
          </c:val>
          <c:extLst>
            <c:ext xmlns:c16="http://schemas.microsoft.com/office/drawing/2014/chart" uri="{C3380CC4-5D6E-409C-BE32-E72D297353CC}">
              <c16:uniqueId val="{00000000-78ED-4C56-BA32-1282FB4F42D0}"/>
            </c:ext>
          </c:extLst>
        </c:ser>
        <c:ser>
          <c:idx val="1"/>
          <c:order val="1"/>
          <c:tx>
            <c:strRef>
              <c:f>HRP!$K$16</c:f>
              <c:strCache>
                <c:ptCount val="1"/>
                <c:pt idx="0">
                  <c:v>% Gap</c:v>
                </c:pt>
              </c:strCache>
            </c:strRef>
          </c:tx>
          <c:spPr>
            <a:solidFill>
              <a:schemeClr val="bg1">
                <a:lumMod val="7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2"/>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multiLvlStrRef>
              <c:extLst>
                <c:ext xmlns:c15="http://schemas.microsoft.com/office/drawing/2012/chart" uri="{02D57815-91ED-43cb-92C2-25804820EDAC}">
                  <c15:fullRef>
                    <c15:sqref>HRP!$C$17:$D$28</c15:sqref>
                  </c15:fullRef>
                </c:ext>
              </c:extLst>
              <c:f>(HRP!$C$17:$D$19,HRP!$C$21:$D$23,HRP!$C$25:$D$27)</c:f>
              <c:multiLvlStrCache>
                <c:ptCount val="9"/>
                <c:lvl>
                  <c:pt idx="0">
                    <c:v> Central Rakhine </c:v>
                  </c:pt>
                  <c:pt idx="1">
                    <c:v> Northern Rakhine </c:v>
                  </c:pt>
                  <c:pt idx="2">
                    <c:v> Rakhine (SRP) </c:v>
                  </c:pt>
                  <c:pt idx="3">
                    <c:v> Central Rakhine </c:v>
                  </c:pt>
                  <c:pt idx="4">
                    <c:v> Northern Rakhine </c:v>
                  </c:pt>
                  <c:pt idx="5">
                    <c:v> Rakhine (SRP) </c:v>
                  </c:pt>
                  <c:pt idx="6">
                    <c:v> Central Rakhine </c:v>
                  </c:pt>
                  <c:pt idx="7">
                    <c:v> Northern Rakhine </c:v>
                  </c:pt>
                  <c:pt idx="8">
                    <c:v> Rakhine (SRP) </c:v>
                  </c:pt>
                </c:lvl>
                <c:lvl>
                  <c:pt idx="0">
                    <c:v>Percentage of women, men, boys and girls benefitting from safe/improved drinking water, meeting demand for domestic purposes, at minimum/agreed standards</c:v>
                  </c:pt>
                  <c:pt idx="3">
                    <c:v>Percentage of targeted women, men, boys and girls benefitting from a functional excreta disposal system, reducing safety/public health/environmental risks</c:v>
                  </c:pt>
                  <c:pt idx="6">
                    <c:v>Percentage of targeted women, men, boys and girls benefitting from timely/adequate/tailored personal hygiene items and receiving appropriate/ community tailored messages that enable health seeking behavior</c:v>
                  </c:pt>
                </c:lvl>
              </c:multiLvlStrCache>
            </c:multiLvlStrRef>
          </c:cat>
          <c:val>
            <c:numRef>
              <c:extLst>
                <c:ext xmlns:c15="http://schemas.microsoft.com/office/drawing/2012/chart" uri="{02D57815-91ED-43cb-92C2-25804820EDAC}">
                  <c15:fullRef>
                    <c15:sqref>HRP!$K$17:$K$28</c15:sqref>
                  </c15:fullRef>
                </c:ext>
              </c:extLst>
              <c:f>(HRP!$K$17:$K$19,HRP!$K$21:$K$23,HRP!$K$25:$K$27)</c:f>
              <c:numCache>
                <c:formatCode>0%</c:formatCode>
                <c:ptCount val="9"/>
                <c:pt idx="0">
                  <c:v>0.2549396397246062</c:v>
                </c:pt>
                <c:pt idx="1">
                  <c:v>0.76266542597187759</c:v>
                </c:pt>
                <c:pt idx="2">
                  <c:v>0.82831810854379362</c:v>
                </c:pt>
                <c:pt idx="3">
                  <c:v>0.53609041466251695</c:v>
                </c:pt>
                <c:pt idx="4">
                  <c:v>0.91876895505927769</c:v>
                </c:pt>
                <c:pt idx="5">
                  <c:v>0.74024085722413635</c:v>
                </c:pt>
                <c:pt idx="6">
                  <c:v>0.45149171618095507</c:v>
                </c:pt>
                <c:pt idx="7">
                  <c:v>6.6222084367245637E-2</c:v>
                </c:pt>
                <c:pt idx="8">
                  <c:v>0.63074880677687517</c:v>
                </c:pt>
              </c:numCache>
            </c:numRef>
          </c:val>
          <c:extLst>
            <c:ext xmlns:c16="http://schemas.microsoft.com/office/drawing/2014/chart" uri="{C3380CC4-5D6E-409C-BE32-E72D297353CC}">
              <c16:uniqueId val="{00000001-78ED-4C56-BA32-1282FB4F42D0}"/>
            </c:ext>
          </c:extLst>
        </c:ser>
        <c:dLbls>
          <c:showLegendKey val="0"/>
          <c:showVal val="0"/>
          <c:showCatName val="0"/>
          <c:showSerName val="0"/>
          <c:showPercent val="0"/>
          <c:showBubbleSize val="0"/>
        </c:dLbls>
        <c:gapWidth val="150"/>
        <c:overlap val="100"/>
        <c:axId val="391608632"/>
        <c:axId val="391605104"/>
      </c:barChart>
      <c:catAx>
        <c:axId val="391608632"/>
        <c:scaling>
          <c:orientation val="minMax"/>
        </c:scaling>
        <c:delete val="0"/>
        <c:axPos val="l"/>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n-US"/>
          </a:p>
        </c:txPr>
        <c:crossAx val="391605104"/>
        <c:crosses val="autoZero"/>
        <c:auto val="1"/>
        <c:lblAlgn val="ctr"/>
        <c:lblOffset val="100"/>
        <c:noMultiLvlLbl val="0"/>
      </c:catAx>
      <c:valAx>
        <c:axId val="391605104"/>
        <c:scaling>
          <c:orientation val="minMax"/>
        </c:scaling>
        <c:delete val="0"/>
        <c:axPos val="b"/>
        <c:majorGridlines>
          <c:spPr>
            <a:ln w="9525" cap="flat" cmpd="sng" algn="ctr">
              <a:solidFill>
                <a:schemeClr val="tx2">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n-US"/>
          </a:p>
        </c:txPr>
        <c:crossAx val="39160863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[20200124_Myanmar_WASH_4W_2019_Q4_Rakhine_camp_Consolidate.xlsx]Quarterly Dashboard!PivotTable1</c:name>
    <c:fmtId val="1"/>
  </c:pivotSource>
  <c:chart>
    <c:title>
      <c:tx>
        <c:rich>
          <a:bodyPr rot="0" spcFirstLastPara="1" vertOverflow="ellipsis" vert="horz" wrap="square" anchor="ctr" anchorCtr="1"/>
          <a:lstStyle/>
          <a:p>
            <a:pPr>
              <a:defRPr sz="1800" b="1" i="0" u="none" strike="noStrike" kern="1200" baseline="0">
                <a:solidFill>
                  <a:schemeClr val="tx2"/>
                </a:solidFill>
                <a:latin typeface="+mn-lt"/>
                <a:ea typeface="+mn-ea"/>
                <a:cs typeface="+mn-cs"/>
              </a:defRPr>
            </a:pPr>
            <a:r>
              <a:rPr lang="en-US" sz="1800" b="1" i="0" baseline="0">
                <a:effectLst/>
              </a:rPr>
              <a:t>Qtr Dashboard</a:t>
            </a:r>
            <a:endParaRPr lang="en-US" sz="1800" b="1">
              <a:effectLst/>
            </a:endParaRPr>
          </a:p>
        </c:rich>
      </c:tx>
      <c:overlay val="0"/>
      <c:spPr>
        <a:noFill/>
        <a:ln>
          <a:noFill/>
        </a:ln>
        <a:effectLst/>
      </c:spPr>
      <c:txPr>
        <a:bodyPr rot="0" spcFirstLastPara="1" vertOverflow="ellipsis" vert="horz" wrap="square" anchor="ctr" anchorCtr="1"/>
        <a:lstStyle/>
        <a:p>
          <a:pPr>
            <a:defRPr sz="1800" b="1" i="0" u="none" strike="noStrike" kern="1200" baseline="0">
              <a:solidFill>
                <a:schemeClr val="tx2"/>
              </a:solidFill>
              <a:latin typeface="+mn-lt"/>
              <a:ea typeface="+mn-ea"/>
              <a:cs typeface="+mn-cs"/>
            </a:defRPr>
          </a:pPr>
          <a:endParaRPr lang="en-US"/>
        </a:p>
      </c:txPr>
    </c:title>
    <c:autoTitleDeleted val="0"/>
    <c:pivotFmts>
      <c:pivotFmt>
        <c:idx val="0"/>
        <c:spPr>
          <a:solidFill>
            <a:schemeClr val="tx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44546A"/>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
        <c:spPr>
          <a:solidFill>
            <a:srgbClr val="0070C0"/>
          </a:solidFill>
          <a:ln>
            <a:noFill/>
          </a:ln>
          <a:effectLst/>
        </c:spPr>
        <c:marker>
          <c:symbol val="none"/>
        </c:marker>
      </c:pivotFmt>
      <c:pivotFmt>
        <c:idx val="2"/>
        <c:spPr>
          <a:solidFill>
            <a:schemeClr val="accent2">
              <a:lumMod val="75000"/>
            </a:schemeClr>
          </a:solidFill>
          <a:ln>
            <a:noFill/>
          </a:ln>
          <a:effectLst/>
        </c:spPr>
        <c:marker>
          <c:symbol val="none"/>
        </c:marker>
      </c:pivotFmt>
      <c:pivotFmt>
        <c:idx val="3"/>
        <c:spPr>
          <a:solidFill>
            <a:schemeClr val="accent6">
              <a:lumMod val="75000"/>
            </a:schemeClr>
          </a:solidFill>
          <a:ln>
            <a:noFill/>
          </a:ln>
          <a:effectLst/>
        </c:spPr>
        <c:marker>
          <c:symbol val="none"/>
        </c:marker>
      </c:pivotFmt>
      <c:pivotFmt>
        <c:idx val="4"/>
        <c:spPr>
          <a:solidFill>
            <a:srgbClr val="0070C0"/>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44546A"/>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
        <c:spPr>
          <a:solidFill>
            <a:schemeClr val="accent2">
              <a:lumMod val="75000"/>
            </a:schemeClr>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44546A"/>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
        <c:spPr>
          <a:solidFill>
            <a:schemeClr val="accent6">
              <a:lumMod val="75000"/>
            </a:schemeClr>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44546A"/>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11601605616466971"/>
          <c:y val="8.7295352747140065E-2"/>
          <c:w val="0.69458583980208888"/>
          <c:h val="0.85384454900966633"/>
        </c:manualLayout>
      </c:layout>
      <c:barChart>
        <c:barDir val="bar"/>
        <c:grouping val="clustered"/>
        <c:varyColors val="0"/>
        <c:ser>
          <c:idx val="0"/>
          <c:order val="0"/>
          <c:tx>
            <c:strRef>
              <c:f>'Quarterly Dashboard'!$C$29</c:f>
              <c:strCache>
                <c:ptCount val="1"/>
                <c:pt idx="0">
                  <c:v>Total Population</c:v>
                </c:pt>
              </c:strCache>
            </c:strRef>
          </c:tx>
          <c:spPr>
            <a:solidFill>
              <a:schemeClr val="tx1"/>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44546A"/>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multiLvlStrRef>
              <c:f>'Quarterly Dashboard'!$A$30:$B$36</c:f>
              <c:multiLvlStrCache>
                <c:ptCount val="5"/>
                <c:lvl>
                  <c:pt idx="0">
                    <c:v>Kyaukpyu</c:v>
                  </c:pt>
                  <c:pt idx="1">
                    <c:v>Kyauktaw</c:v>
                  </c:pt>
                  <c:pt idx="2">
                    <c:v>Myebon</c:v>
                  </c:pt>
                  <c:pt idx="3">
                    <c:v>Pauktaw</c:v>
                  </c:pt>
                  <c:pt idx="4">
                    <c:v>Sittwe</c:v>
                  </c:pt>
                </c:lvl>
                <c:lvl>
                  <c:pt idx="0">
                    <c:v>Central Rakhine</c:v>
                  </c:pt>
                </c:lvl>
              </c:multiLvlStrCache>
            </c:multiLvlStrRef>
          </c:cat>
          <c:val>
            <c:numRef>
              <c:f>'Quarterly Dashboard'!$C$30:$C$36</c:f>
              <c:numCache>
                <c:formatCode>General</c:formatCode>
                <c:ptCount val="5"/>
                <c:pt idx="0">
                  <c:v>2924</c:v>
                </c:pt>
                <c:pt idx="1">
                  <c:v>1743</c:v>
                </c:pt>
                <c:pt idx="2">
                  <c:v>8760</c:v>
                </c:pt>
                <c:pt idx="3">
                  <c:v>68391</c:v>
                </c:pt>
                <c:pt idx="4">
                  <c:v>276890</c:v>
                </c:pt>
              </c:numCache>
            </c:numRef>
          </c:val>
          <c:extLst>
            <c:ext xmlns:c16="http://schemas.microsoft.com/office/drawing/2014/chart" uri="{C3380CC4-5D6E-409C-BE32-E72D297353CC}">
              <c16:uniqueId val="{00000000-FD4A-40E3-B1F6-9704B8EB76ED}"/>
            </c:ext>
          </c:extLst>
        </c:ser>
        <c:ser>
          <c:idx val="1"/>
          <c:order val="1"/>
          <c:tx>
            <c:strRef>
              <c:f>'Quarterly Dashboard'!$D$29</c:f>
              <c:strCache>
                <c:ptCount val="1"/>
                <c:pt idx="0">
                  <c:v>Number of People adopt basic personal and community hygiene practices</c:v>
                </c:pt>
              </c:strCache>
            </c:strRef>
          </c:tx>
          <c:spPr>
            <a:solidFill>
              <a:schemeClr val="accent6">
                <a:lumMod val="75000"/>
              </a:schemeClr>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44546A"/>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multiLvlStrRef>
              <c:f>'Quarterly Dashboard'!$A$30:$B$36</c:f>
              <c:multiLvlStrCache>
                <c:ptCount val="5"/>
                <c:lvl>
                  <c:pt idx="0">
                    <c:v>Kyaukpyu</c:v>
                  </c:pt>
                  <c:pt idx="1">
                    <c:v>Kyauktaw</c:v>
                  </c:pt>
                  <c:pt idx="2">
                    <c:v>Myebon</c:v>
                  </c:pt>
                  <c:pt idx="3">
                    <c:v>Pauktaw</c:v>
                  </c:pt>
                  <c:pt idx="4">
                    <c:v>Sittwe</c:v>
                  </c:pt>
                </c:lvl>
                <c:lvl>
                  <c:pt idx="0">
                    <c:v>Central Rakhine</c:v>
                  </c:pt>
                </c:lvl>
              </c:multiLvlStrCache>
            </c:multiLvlStrRef>
          </c:cat>
          <c:val>
            <c:numRef>
              <c:f>'Quarterly Dashboard'!$D$30:$D$36</c:f>
              <c:numCache>
                <c:formatCode>General</c:formatCode>
                <c:ptCount val="5"/>
                <c:pt idx="0">
                  <c:v>2924</c:v>
                </c:pt>
                <c:pt idx="1">
                  <c:v>0</c:v>
                </c:pt>
                <c:pt idx="2">
                  <c:v>8760</c:v>
                </c:pt>
                <c:pt idx="3">
                  <c:v>65586</c:v>
                </c:pt>
                <c:pt idx="4">
                  <c:v>269480</c:v>
                </c:pt>
              </c:numCache>
            </c:numRef>
          </c:val>
          <c:extLst>
            <c:ext xmlns:c16="http://schemas.microsoft.com/office/drawing/2014/chart" uri="{C3380CC4-5D6E-409C-BE32-E72D297353CC}">
              <c16:uniqueId val="{00000000-186D-464E-B4E5-625EB4D2527A}"/>
            </c:ext>
          </c:extLst>
        </c:ser>
        <c:ser>
          <c:idx val="2"/>
          <c:order val="2"/>
          <c:tx>
            <c:strRef>
              <c:f>'Quarterly Dashboard'!$E$29</c:f>
              <c:strCache>
                <c:ptCount val="1"/>
                <c:pt idx="0">
                  <c:v>Number of people with equitable and continuous access to safe sanitation facilities</c:v>
                </c:pt>
              </c:strCache>
            </c:strRef>
          </c:tx>
          <c:spPr>
            <a:solidFill>
              <a:schemeClr val="accent2">
                <a:lumMod val="75000"/>
              </a:schemeClr>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44546A"/>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multiLvlStrRef>
              <c:f>'Quarterly Dashboard'!$A$30:$B$36</c:f>
              <c:multiLvlStrCache>
                <c:ptCount val="5"/>
                <c:lvl>
                  <c:pt idx="0">
                    <c:v>Kyaukpyu</c:v>
                  </c:pt>
                  <c:pt idx="1">
                    <c:v>Kyauktaw</c:v>
                  </c:pt>
                  <c:pt idx="2">
                    <c:v>Myebon</c:v>
                  </c:pt>
                  <c:pt idx="3">
                    <c:v>Pauktaw</c:v>
                  </c:pt>
                  <c:pt idx="4">
                    <c:v>Sittwe</c:v>
                  </c:pt>
                </c:lvl>
                <c:lvl>
                  <c:pt idx="0">
                    <c:v>Central Rakhine</c:v>
                  </c:pt>
                </c:lvl>
              </c:multiLvlStrCache>
            </c:multiLvlStrRef>
          </c:cat>
          <c:val>
            <c:numRef>
              <c:f>'Quarterly Dashboard'!$E$30:$E$36</c:f>
              <c:numCache>
                <c:formatCode>General</c:formatCode>
                <c:ptCount val="5"/>
                <c:pt idx="0">
                  <c:v>2924</c:v>
                </c:pt>
                <c:pt idx="1">
                  <c:v>1743</c:v>
                </c:pt>
                <c:pt idx="2">
                  <c:v>8760</c:v>
                </c:pt>
                <c:pt idx="3">
                  <c:v>51913</c:v>
                </c:pt>
                <c:pt idx="4">
                  <c:v>220650</c:v>
                </c:pt>
              </c:numCache>
            </c:numRef>
          </c:val>
          <c:extLst>
            <c:ext xmlns:c16="http://schemas.microsoft.com/office/drawing/2014/chart" uri="{C3380CC4-5D6E-409C-BE32-E72D297353CC}">
              <c16:uniqueId val="{00000001-186D-464E-B4E5-625EB4D2527A}"/>
            </c:ext>
          </c:extLst>
        </c:ser>
        <c:ser>
          <c:idx val="3"/>
          <c:order val="3"/>
          <c:tx>
            <c:strRef>
              <c:f>'Quarterly Dashboard'!$F$29</c:f>
              <c:strCache>
                <c:ptCount val="1"/>
                <c:pt idx="0">
                  <c:v>Number of people with equitable and continuous access to sufficient quantity of domestic water</c:v>
                </c:pt>
              </c:strCache>
            </c:strRef>
          </c:tx>
          <c:spPr>
            <a:solidFill>
              <a:srgbClr val="0070C0"/>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44546A"/>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multiLvlStrRef>
              <c:f>'Quarterly Dashboard'!$A$30:$B$36</c:f>
              <c:multiLvlStrCache>
                <c:ptCount val="5"/>
                <c:lvl>
                  <c:pt idx="0">
                    <c:v>Kyaukpyu</c:v>
                  </c:pt>
                  <c:pt idx="1">
                    <c:v>Kyauktaw</c:v>
                  </c:pt>
                  <c:pt idx="2">
                    <c:v>Myebon</c:v>
                  </c:pt>
                  <c:pt idx="3">
                    <c:v>Pauktaw</c:v>
                  </c:pt>
                  <c:pt idx="4">
                    <c:v>Sittwe</c:v>
                  </c:pt>
                </c:lvl>
                <c:lvl>
                  <c:pt idx="0">
                    <c:v>Central Rakhine</c:v>
                  </c:pt>
                </c:lvl>
              </c:multiLvlStrCache>
            </c:multiLvlStrRef>
          </c:cat>
          <c:val>
            <c:numRef>
              <c:f>'Quarterly Dashboard'!$F$30:$F$36</c:f>
              <c:numCache>
                <c:formatCode>General</c:formatCode>
                <c:ptCount val="5"/>
                <c:pt idx="0">
                  <c:v>2924</c:v>
                </c:pt>
                <c:pt idx="1">
                  <c:v>581</c:v>
                </c:pt>
                <c:pt idx="2">
                  <c:v>8760</c:v>
                </c:pt>
                <c:pt idx="3">
                  <c:v>63572.493333333332</c:v>
                </c:pt>
                <c:pt idx="4">
                  <c:v>276662</c:v>
                </c:pt>
              </c:numCache>
            </c:numRef>
          </c:val>
          <c:extLst>
            <c:ext xmlns:c16="http://schemas.microsoft.com/office/drawing/2014/chart" uri="{C3380CC4-5D6E-409C-BE32-E72D297353CC}">
              <c16:uniqueId val="{00000002-186D-464E-B4E5-625EB4D2527A}"/>
            </c:ext>
          </c:extLst>
        </c:ser>
        <c:dLbls>
          <c:showLegendKey val="0"/>
          <c:showVal val="0"/>
          <c:showCatName val="0"/>
          <c:showSerName val="0"/>
          <c:showPercent val="0"/>
          <c:showBubbleSize val="0"/>
        </c:dLbls>
        <c:gapWidth val="100"/>
        <c:axId val="415868040"/>
        <c:axId val="415868432"/>
      </c:barChart>
      <c:catAx>
        <c:axId val="415868040"/>
        <c:scaling>
          <c:orientation val="minMax"/>
        </c:scaling>
        <c:delete val="0"/>
        <c:axPos val="l"/>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2"/>
                </a:solidFill>
                <a:latin typeface="+mn-lt"/>
                <a:ea typeface="+mn-ea"/>
                <a:cs typeface="+mn-cs"/>
              </a:defRPr>
            </a:pPr>
            <a:endParaRPr lang="en-US"/>
          </a:p>
        </c:txPr>
        <c:crossAx val="415868432"/>
        <c:crosses val="autoZero"/>
        <c:auto val="1"/>
        <c:lblAlgn val="ctr"/>
        <c:lblOffset val="100"/>
        <c:noMultiLvlLbl val="0"/>
      </c:catAx>
      <c:valAx>
        <c:axId val="415868432"/>
        <c:scaling>
          <c:orientation val="minMax"/>
        </c:scaling>
        <c:delete val="0"/>
        <c:axPos val="b"/>
        <c:majorGridlines>
          <c:spPr>
            <a:ln w="9525" cap="flat" cmpd="sng" algn="ctr">
              <a:solidFill>
                <a:schemeClr val="tx2">
                  <a:lumMod val="15000"/>
                  <a:lumOff val="85000"/>
                </a:schemeClr>
              </a:solidFill>
              <a:round/>
            </a:ln>
            <a:effectLst/>
          </c:spPr>
        </c:majorGridlines>
        <c:title>
          <c:tx>
            <c:rich>
              <a:bodyPr rot="0" spcFirstLastPara="1" vertOverflow="ellipsis" vert="horz" wrap="square" anchor="ctr" anchorCtr="1"/>
              <a:lstStyle/>
              <a:p>
                <a:pPr>
                  <a:defRPr sz="900" b="1" i="0" u="none" strike="noStrike" kern="1200" baseline="0">
                    <a:solidFill>
                      <a:schemeClr val="tx2"/>
                    </a:solidFill>
                    <a:latin typeface="+mn-lt"/>
                    <a:ea typeface="+mn-ea"/>
                    <a:cs typeface="+mn-cs"/>
                  </a:defRPr>
                </a:pPr>
                <a:r>
                  <a:rPr lang="en-US"/>
                  <a:t>Nb of People</a:t>
                </a:r>
              </a:p>
            </c:rich>
          </c:tx>
          <c:layout>
            <c:manualLayout>
              <c:xMode val="edge"/>
              <c:yMode val="edge"/>
              <c:x val="0.91412593207319459"/>
              <c:y val="0.96470281483177345"/>
            </c:manualLayout>
          </c:layout>
          <c:overlay val="0"/>
          <c:spPr>
            <a:noFill/>
            <a:ln>
              <a:noFill/>
            </a:ln>
            <a:effectLst/>
          </c:spPr>
          <c:txPr>
            <a:bodyPr rot="0" spcFirstLastPara="1" vertOverflow="ellipsis" vert="horz" wrap="square" anchor="ctr" anchorCtr="1"/>
            <a:lstStyle/>
            <a:p>
              <a:pPr>
                <a:defRPr sz="900" b="1" i="0" u="none" strike="noStrike" kern="1200" baseline="0">
                  <a:solidFill>
                    <a:schemeClr val="tx2"/>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2"/>
                </a:solidFill>
                <a:latin typeface="+mn-lt"/>
                <a:ea typeface="+mn-ea"/>
                <a:cs typeface="+mn-cs"/>
              </a:defRPr>
            </a:pPr>
            <a:endParaRPr lang="en-US"/>
          </a:p>
        </c:txPr>
        <c:crossAx val="415868040"/>
        <c:crosses val="autoZero"/>
        <c:crossBetween val="between"/>
      </c:valAx>
      <c:spPr>
        <a:noFill/>
        <a:ln>
          <a:noFill/>
        </a:ln>
        <a:effectLst/>
      </c:spPr>
    </c:plotArea>
    <c:legend>
      <c:legendPos val="r"/>
      <c:layout>
        <c:manualLayout>
          <c:xMode val="edge"/>
          <c:yMode val="edge"/>
          <c:x val="0.76359977680377056"/>
          <c:y val="0.29681002027262093"/>
          <c:w val="0.23640020279019566"/>
          <c:h val="0.45008367257215715"/>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2"/>
              </a:solidFill>
              <a:latin typeface="+mn-lt"/>
              <a:ea typeface="+mn-ea"/>
              <a:cs typeface="+mn-cs"/>
            </a:defRPr>
          </a:pPr>
          <a:endParaRPr lang="en-US"/>
        </a:p>
      </c:txPr>
    </c:legend>
    <c:plotVisOnly val="1"/>
    <c:dispBlanksAs val="gap"/>
    <c:showDLblsOverMax val="0"/>
  </c:chart>
  <c:spPr>
    <a:solidFill>
      <a:schemeClr val="bg1"/>
    </a:solidFill>
    <a:ln w="9525" cap="flat" cmpd="sng" algn="ctr">
      <a:solidFill>
        <a:srgbClr val="85C2FF"/>
      </a:solidFill>
      <a:round/>
    </a:ln>
    <a:effectLst/>
  </c:spPr>
  <c:txPr>
    <a:bodyPr/>
    <a:lstStyle/>
    <a:p>
      <a:pPr>
        <a:defRPr/>
      </a:pPr>
      <a:endParaRPr lang="en-US"/>
    </a:p>
  </c:txPr>
  <c:printSettings>
    <c:headerFooter/>
    <c:pageMargins b="0.75" l="0.7" r="0.7" t="0.75" header="0.3" footer="0.3"/>
    <c:pageSetup/>
  </c:printSettings>
  <c:userShapes r:id="rId3"/>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pivotSource>
    <c:name>[20200124_Myanmar_WASH_4W_2019_Q4_Rakhine_camp_Consolidate.xlsx]Analysis!R_water1</c:name>
    <c:fmtId val="7"/>
  </c:pivotSource>
  <c:chart>
    <c:title>
      <c:tx>
        <c:rich>
          <a:bodyPr rot="0" spcFirstLastPara="1" vertOverflow="ellipsis" vert="horz" wrap="square" anchor="ctr" anchorCtr="1"/>
          <a:lstStyle/>
          <a:p>
            <a:pPr>
              <a:defRPr sz="1200" b="1" i="0" u="none" strike="noStrike" kern="1200" baseline="0">
                <a:solidFill>
                  <a:schemeClr val="tx2"/>
                </a:solidFill>
                <a:latin typeface="+mn-lt"/>
                <a:ea typeface="+mn-ea"/>
                <a:cs typeface="+mn-cs"/>
              </a:defRPr>
            </a:pPr>
            <a:r>
              <a:rPr lang="en-US" sz="1200" b="1" i="0" baseline="0">
                <a:effectLst/>
              </a:rPr>
              <a:t>Rakhine - Water Point Coverage</a:t>
            </a:r>
            <a:endParaRPr lang="en-US" sz="1200">
              <a:effectLst/>
            </a:endParaRPr>
          </a:p>
          <a:p>
            <a:pPr>
              <a:defRPr sz="1200"/>
            </a:pPr>
            <a:r>
              <a:rPr lang="en-US" sz="1200" b="1" i="0" baseline="0">
                <a:effectLst/>
              </a:rPr>
              <a:t>in protracted camps</a:t>
            </a:r>
            <a:endParaRPr lang="en-US" sz="1200">
              <a:effectLst/>
            </a:endParaRPr>
          </a:p>
        </c:rich>
      </c:tx>
      <c:layout>
        <c:manualLayout>
          <c:xMode val="edge"/>
          <c:yMode val="edge"/>
          <c:x val="0.15056128293241694"/>
          <c:y val="1.6666666666666666E-2"/>
        </c:manualLayout>
      </c:layout>
      <c:overlay val="0"/>
      <c:spPr>
        <a:noFill/>
        <a:ln>
          <a:noFill/>
        </a:ln>
        <a:effectLst/>
      </c:spPr>
      <c:txPr>
        <a:bodyPr rot="0" spcFirstLastPara="1" vertOverflow="ellipsis" vert="horz" wrap="square" anchor="ctr" anchorCtr="1"/>
        <a:lstStyle/>
        <a:p>
          <a:pPr>
            <a:defRPr sz="1200" b="1" i="0" u="none" strike="noStrike" kern="1200" baseline="0">
              <a:solidFill>
                <a:schemeClr val="tx2"/>
              </a:solidFill>
              <a:latin typeface="+mn-lt"/>
              <a:ea typeface="+mn-ea"/>
              <a:cs typeface="+mn-cs"/>
            </a:defRPr>
          </a:pPr>
          <a:endParaRPr lang="en-US"/>
        </a:p>
      </c:txPr>
    </c:title>
    <c:autoTitleDeleted val="0"/>
    <c:pivotFmts>
      <c:pivotFmt>
        <c:idx val="0"/>
        <c:spPr>
          <a:solidFill>
            <a:srgbClr val="0070C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lumMod val="40000"/>
              <a:lumOff val="6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stacked"/>
        <c:varyColors val="0"/>
        <c:ser>
          <c:idx val="0"/>
          <c:order val="0"/>
          <c:tx>
            <c:strRef>
              <c:f>Analysis!$C$28</c:f>
              <c:strCache>
                <c:ptCount val="1"/>
                <c:pt idx="0">
                  <c:v>Coverage</c:v>
                </c:pt>
              </c:strCache>
            </c:strRef>
          </c:tx>
          <c:spPr>
            <a:solidFill>
              <a:srgbClr val="0070C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Analysis!$B$29</c:f>
              <c:strCache>
                <c:ptCount val="1"/>
                <c:pt idx="0">
                  <c:v>Camp</c:v>
                </c:pt>
              </c:strCache>
            </c:strRef>
          </c:cat>
          <c:val>
            <c:numRef>
              <c:f>Analysis!$C$29</c:f>
              <c:numCache>
                <c:formatCode>0</c:formatCode>
                <c:ptCount val="1"/>
                <c:pt idx="0">
                  <c:v>238.08200000000005</c:v>
                </c:pt>
              </c:numCache>
            </c:numRef>
          </c:val>
          <c:extLst>
            <c:ext xmlns:c16="http://schemas.microsoft.com/office/drawing/2014/chart" uri="{C3380CC4-5D6E-409C-BE32-E72D297353CC}">
              <c16:uniqueId val="{00000000-8B68-4DA6-B1F8-363AA8382CF6}"/>
            </c:ext>
          </c:extLst>
        </c:ser>
        <c:ser>
          <c:idx val="1"/>
          <c:order val="1"/>
          <c:tx>
            <c:strRef>
              <c:f>Analysis!$D$28</c:f>
              <c:strCache>
                <c:ptCount val="1"/>
                <c:pt idx="0">
                  <c:v>Gap</c:v>
                </c:pt>
              </c:strCache>
            </c:strRef>
          </c:tx>
          <c:spPr>
            <a:solidFill>
              <a:schemeClr val="accent1">
                <a:lumMod val="40000"/>
                <a:lumOff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Analysis!$B$29</c:f>
              <c:strCache>
                <c:ptCount val="1"/>
                <c:pt idx="0">
                  <c:v>Camp</c:v>
                </c:pt>
              </c:strCache>
            </c:strRef>
          </c:cat>
          <c:val>
            <c:numRef>
              <c:f>Analysis!$D$29</c:f>
              <c:numCache>
                <c:formatCode>0</c:formatCode>
                <c:ptCount val="1"/>
                <c:pt idx="0">
                  <c:v>3.7159999999999971</c:v>
                </c:pt>
              </c:numCache>
            </c:numRef>
          </c:val>
          <c:extLst>
            <c:ext xmlns:c16="http://schemas.microsoft.com/office/drawing/2014/chart" uri="{C3380CC4-5D6E-409C-BE32-E72D297353CC}">
              <c16:uniqueId val="{00000001-8B68-4DA6-B1F8-363AA8382CF6}"/>
            </c:ext>
          </c:extLst>
        </c:ser>
        <c:dLbls>
          <c:dLblPos val="ctr"/>
          <c:showLegendKey val="0"/>
          <c:showVal val="1"/>
          <c:showCatName val="0"/>
          <c:showSerName val="0"/>
          <c:showPercent val="0"/>
          <c:showBubbleSize val="0"/>
        </c:dLbls>
        <c:gapWidth val="150"/>
        <c:overlap val="100"/>
        <c:axId val="392748176"/>
        <c:axId val="392754448"/>
      </c:barChart>
      <c:catAx>
        <c:axId val="392748176"/>
        <c:scaling>
          <c:orientation val="minMax"/>
        </c:scaling>
        <c:delete val="0"/>
        <c:axPos val="b"/>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n-US"/>
          </a:p>
        </c:txPr>
        <c:crossAx val="392754448"/>
        <c:crosses val="autoZero"/>
        <c:auto val="1"/>
        <c:lblAlgn val="ctr"/>
        <c:lblOffset val="100"/>
        <c:noMultiLvlLbl val="0"/>
      </c:catAx>
      <c:valAx>
        <c:axId val="392754448"/>
        <c:scaling>
          <c:orientation val="minMax"/>
        </c:scaling>
        <c:delete val="0"/>
        <c:axPos val="l"/>
        <c:majorGridlines>
          <c:spPr>
            <a:ln w="9525" cap="flat" cmpd="sng" algn="ctr">
              <a:solidFill>
                <a:schemeClr val="tx2">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n-US"/>
          </a:p>
        </c:txPr>
        <c:crossAx val="392748176"/>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[20200124_Myanmar_WASH_4W_2019_Q4_Rakhine_camp_Consolidate.xlsx]Analysis!R_Geo</c:name>
    <c:fmtId val="16"/>
  </c:pivotSource>
  <c:chart>
    <c:title>
      <c:tx>
        <c:rich>
          <a:bodyPr rot="0" spcFirstLastPara="1" vertOverflow="ellipsis" vert="horz" wrap="square" anchor="ctr" anchorCtr="1"/>
          <a:lstStyle/>
          <a:p>
            <a:pPr>
              <a:defRPr sz="1400" b="1" i="0" u="none" strike="noStrike" kern="1200" baseline="0">
                <a:solidFill>
                  <a:schemeClr val="tx2"/>
                </a:solidFill>
                <a:latin typeface="+mn-lt"/>
                <a:ea typeface="+mn-ea"/>
                <a:cs typeface="+mn-cs"/>
              </a:defRPr>
            </a:pPr>
            <a:r>
              <a:rPr lang="en-US" sz="1400" b="1" i="0" baseline="0">
                <a:effectLst/>
              </a:rPr>
              <a:t>Number of Sites - Coverage/Gaps</a:t>
            </a:r>
          </a:p>
        </c:rich>
      </c:tx>
      <c:layout>
        <c:manualLayout>
          <c:xMode val="edge"/>
          <c:yMode val="edge"/>
          <c:x val="0.24044580033600649"/>
          <c:y val="5.061697903909302E-2"/>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2"/>
              </a:solidFill>
              <a:latin typeface="+mn-lt"/>
              <a:ea typeface="+mn-ea"/>
              <a:cs typeface="+mn-cs"/>
            </a:defRPr>
          </a:pPr>
          <a:endParaRPr lang="en-US"/>
        </a:p>
      </c:txPr>
    </c:title>
    <c:autoTitleDeleted val="0"/>
    <c:pivotFmts>
      <c:pivotFmt>
        <c:idx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marker>
          <c:symbol val="circle"/>
          <c:size val="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w="12700">
              <a:solidFill>
                <a:schemeClr val="lt2"/>
              </a:solidFill>
              <a:round/>
            </a:ln>
            <a:effectLst/>
          </c:spPr>
        </c:marker>
      </c:pivotFmt>
      <c:pivotFmt>
        <c:idx val="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marker>
          <c:symbol val="circle"/>
          <c:size val="6"/>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w="12700">
              <a:solidFill>
                <a:schemeClr val="lt2"/>
              </a:solidFill>
              <a:round/>
            </a:ln>
            <a:effectLst/>
          </c:spPr>
        </c:marker>
      </c:pivotFmt>
      <c:pivotFmt>
        <c:idx val="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marker>
          <c:symbol val="none"/>
        </c:marker>
      </c:pivotFmt>
      <c:pivotFmt>
        <c:idx val="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marker>
          <c:symbol val="none"/>
        </c:marker>
      </c:pivotFmt>
      <c:pivotFmt>
        <c:idx val="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chemeClr val="tx2"/>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chemeClr val="tx2"/>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chemeClr val="tx2"/>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chemeClr val="tx2"/>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2"/>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2"/>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2"/>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9.0245267122840117E-2"/>
          <c:y val="0.19330595649436427"/>
          <c:w val="0.70386355380808219"/>
          <c:h val="0.61659333224571267"/>
        </c:manualLayout>
      </c:layout>
      <c:barChart>
        <c:barDir val="bar"/>
        <c:grouping val="clustered"/>
        <c:varyColors val="0"/>
        <c:ser>
          <c:idx val="0"/>
          <c:order val="0"/>
          <c:tx>
            <c:strRef>
              <c:f>Analysis!$I$249:$I$250</c:f>
              <c:strCache>
                <c:ptCount val="1"/>
                <c:pt idx="0">
                  <c:v>Covered</c:v>
                </c:pt>
              </c:strCache>
            </c:strRef>
          </c:tx>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2"/>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Analysis!$H$251</c:f>
              <c:strCache>
                <c:ptCount val="1"/>
                <c:pt idx="0">
                  <c:v>Camp</c:v>
                </c:pt>
              </c:strCache>
            </c:strRef>
          </c:cat>
          <c:val>
            <c:numRef>
              <c:f>Analysis!$I$251</c:f>
              <c:numCache>
                <c:formatCode>General</c:formatCode>
                <c:ptCount val="1"/>
                <c:pt idx="0">
                  <c:v>24</c:v>
                </c:pt>
              </c:numCache>
            </c:numRef>
          </c:val>
          <c:extLst>
            <c:ext xmlns:c16="http://schemas.microsoft.com/office/drawing/2014/chart" uri="{C3380CC4-5D6E-409C-BE32-E72D297353CC}">
              <c16:uniqueId val="{00000000-30DA-42B0-8831-535E468CE2F5}"/>
            </c:ext>
          </c:extLst>
        </c:ser>
        <c:ser>
          <c:idx val="1"/>
          <c:order val="1"/>
          <c:tx>
            <c:strRef>
              <c:f>Analysis!$J$249:$J$250</c:f>
              <c:strCache>
                <c:ptCount val="1"/>
                <c:pt idx="0">
                  <c:v>Gap</c:v>
                </c:pt>
              </c:strCache>
            </c:strRef>
          </c:tx>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2"/>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Analysis!$H$251</c:f>
              <c:strCache>
                <c:ptCount val="1"/>
                <c:pt idx="0">
                  <c:v>Camp</c:v>
                </c:pt>
              </c:strCache>
            </c:strRef>
          </c:cat>
          <c:val>
            <c:numRef>
              <c:f>Analysis!$J$251</c:f>
              <c:numCache>
                <c:formatCode>General</c:formatCode>
                <c:ptCount val="1"/>
                <c:pt idx="0">
                  <c:v>1</c:v>
                </c:pt>
              </c:numCache>
            </c:numRef>
          </c:val>
          <c:extLst>
            <c:ext xmlns:c16="http://schemas.microsoft.com/office/drawing/2014/chart" uri="{C3380CC4-5D6E-409C-BE32-E72D297353CC}">
              <c16:uniqueId val="{00000000-46F0-4896-AFF2-45A703AA5794}"/>
            </c:ext>
          </c:extLst>
        </c:ser>
        <c:dLbls>
          <c:showLegendKey val="0"/>
          <c:showVal val="0"/>
          <c:showCatName val="0"/>
          <c:showSerName val="0"/>
          <c:showPercent val="0"/>
          <c:showBubbleSize val="0"/>
        </c:dLbls>
        <c:gapWidth val="100"/>
        <c:axId val="417007224"/>
        <c:axId val="417013496"/>
      </c:barChart>
      <c:catAx>
        <c:axId val="417007224"/>
        <c:scaling>
          <c:orientation val="minMax"/>
        </c:scaling>
        <c:delete val="0"/>
        <c:axPos val="l"/>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2"/>
                </a:solidFill>
                <a:latin typeface="+mn-lt"/>
                <a:ea typeface="+mn-ea"/>
                <a:cs typeface="+mn-cs"/>
              </a:defRPr>
            </a:pPr>
            <a:endParaRPr lang="en-US"/>
          </a:p>
        </c:txPr>
        <c:crossAx val="417013496"/>
        <c:crosses val="autoZero"/>
        <c:auto val="1"/>
        <c:lblAlgn val="ctr"/>
        <c:lblOffset val="100"/>
        <c:noMultiLvlLbl val="0"/>
      </c:catAx>
      <c:valAx>
        <c:axId val="417013496"/>
        <c:scaling>
          <c:orientation val="minMax"/>
        </c:scaling>
        <c:delete val="0"/>
        <c:axPos val="b"/>
        <c:majorGridlines>
          <c:spPr>
            <a:ln w="9525" cap="flat" cmpd="sng" algn="ctr">
              <a:solidFill>
                <a:schemeClr val="tx2">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2"/>
                </a:solidFill>
                <a:latin typeface="+mn-lt"/>
                <a:ea typeface="+mn-ea"/>
                <a:cs typeface="+mn-cs"/>
              </a:defRPr>
            </a:pPr>
            <a:endParaRPr lang="en-US"/>
          </a:p>
        </c:txPr>
        <c:crossAx val="417007224"/>
        <c:crosses val="autoZero"/>
        <c:crossBetween val="between"/>
      </c:valAx>
      <c:spPr>
        <a:noFill/>
        <a:ln>
          <a:noFill/>
        </a:ln>
        <a:effectLst/>
      </c:spPr>
    </c:plotArea>
    <c:legend>
      <c:legendPos val="r"/>
      <c:layout>
        <c:manualLayout>
          <c:xMode val="edge"/>
          <c:yMode val="edge"/>
          <c:x val="0.83268479855514244"/>
          <c:y val="0.49398014706871168"/>
          <c:w val="0.11098993640667673"/>
          <c:h val="0.29828665164513285"/>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2"/>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baseline="0">
                <a:solidFill>
                  <a:schemeClr val="tx2"/>
                </a:solidFill>
                <a:latin typeface="+mn-lt"/>
                <a:ea typeface="+mn-ea"/>
                <a:cs typeface="+mn-cs"/>
              </a:defRPr>
            </a:pPr>
            <a:r>
              <a:rPr lang="en-US" sz="1400"/>
              <a:t> Number of ppl Covered</a:t>
            </a:r>
            <a:r>
              <a:rPr lang="en-US" sz="1400" baseline="0"/>
              <a:t> against 2019 HRP targets</a:t>
            </a:r>
          </a:p>
        </c:rich>
      </c:tx>
      <c:overlay val="0"/>
      <c:spPr>
        <a:noFill/>
        <a:ln>
          <a:noFill/>
        </a:ln>
        <a:effectLst/>
      </c:spPr>
      <c:txPr>
        <a:bodyPr rot="0" spcFirstLastPara="1" vertOverflow="ellipsis" vert="horz" wrap="square" anchor="ctr" anchorCtr="1"/>
        <a:lstStyle/>
        <a:p>
          <a:pPr>
            <a:defRPr sz="1400" b="1" i="0" u="none" strike="noStrike" kern="1200" baseline="0">
              <a:solidFill>
                <a:schemeClr val="tx2"/>
              </a:solidFill>
              <a:latin typeface="+mn-lt"/>
              <a:ea typeface="+mn-ea"/>
              <a:cs typeface="+mn-cs"/>
            </a:defRPr>
          </a:pPr>
          <a:endParaRPr lang="en-US"/>
        </a:p>
      </c:txPr>
    </c:title>
    <c:autoTitleDeleted val="0"/>
    <c:plotArea>
      <c:layout/>
      <c:barChart>
        <c:barDir val="bar"/>
        <c:grouping val="percentStacked"/>
        <c:varyColors val="0"/>
        <c:ser>
          <c:idx val="0"/>
          <c:order val="0"/>
          <c:tx>
            <c:strRef>
              <c:f>HRP!$H$81</c:f>
              <c:strCache>
                <c:ptCount val="1"/>
                <c:pt idx="0">
                  <c:v>Coverage</c:v>
                </c:pt>
              </c:strCache>
            </c:strRef>
          </c:tx>
          <c:spPr>
            <a:solidFill>
              <a:srgbClr val="0070C0"/>
            </a:solidFill>
            <a:ln>
              <a:noFill/>
            </a:ln>
            <a:effectLst/>
          </c:spPr>
          <c:invertIfNegative val="0"/>
          <c:dPt>
            <c:idx val="0"/>
            <c:invertIfNegative val="0"/>
            <c:bubble3D val="0"/>
            <c:spPr>
              <a:solidFill>
                <a:schemeClr val="accent6">
                  <a:lumMod val="75000"/>
                </a:schemeClr>
              </a:solidFill>
              <a:ln>
                <a:noFill/>
              </a:ln>
              <a:effectLst/>
            </c:spPr>
            <c:extLst>
              <c:ext xmlns:c16="http://schemas.microsoft.com/office/drawing/2014/chart" uri="{C3380CC4-5D6E-409C-BE32-E72D297353CC}">
                <c16:uniqueId val="{00000001-80AE-4D26-A150-8FAE5CF11C26}"/>
              </c:ext>
            </c:extLst>
          </c:dPt>
          <c:dPt>
            <c:idx val="1"/>
            <c:invertIfNegative val="0"/>
            <c:bubble3D val="0"/>
            <c:spPr>
              <a:solidFill>
                <a:schemeClr val="accent2">
                  <a:lumMod val="75000"/>
                </a:schemeClr>
              </a:solidFill>
              <a:ln>
                <a:noFill/>
              </a:ln>
              <a:effectLst/>
            </c:spPr>
            <c:extLst>
              <c:ext xmlns:c16="http://schemas.microsoft.com/office/drawing/2014/chart" uri="{C3380CC4-5D6E-409C-BE32-E72D297353CC}">
                <c16:uniqueId val="{00000003-80AE-4D26-A150-8FAE5CF11C26}"/>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HRP!$F$82:$F$84</c:f>
              <c:strCache>
                <c:ptCount val="3"/>
                <c:pt idx="0">
                  <c:v>benefitting from timely/adequate/tailored personal hygiene items and receiving appropriate/ community tailored messages that enable health seeking behavior</c:v>
                </c:pt>
                <c:pt idx="1">
                  <c:v>benefitting from a functional excreta disposal system, reducing safety/public health/environmental risks</c:v>
                </c:pt>
                <c:pt idx="2">
                  <c:v>benefitting from safe/improved drinking water, meeting demand for domestic purposes, at minimum/agreed standards</c:v>
                </c:pt>
              </c:strCache>
            </c:strRef>
          </c:cat>
          <c:val>
            <c:numRef>
              <c:f>HRP!$H$82:$H$84</c:f>
              <c:numCache>
                <c:formatCode>_(* #,##0_);_(* \(#,##0\);_(* "-"??_);_(@_)</c:formatCode>
                <c:ptCount val="3"/>
                <c:pt idx="0">
                  <c:v>118323</c:v>
                </c:pt>
                <c:pt idx="1">
                  <c:v>98000</c:v>
                </c:pt>
                <c:pt idx="2">
                  <c:v>119041</c:v>
                </c:pt>
              </c:numCache>
            </c:numRef>
          </c:val>
          <c:extLst>
            <c:ext xmlns:c16="http://schemas.microsoft.com/office/drawing/2014/chart" uri="{C3380CC4-5D6E-409C-BE32-E72D297353CC}">
              <c16:uniqueId val="{00000008-80AE-4D26-A150-8FAE5CF11C26}"/>
            </c:ext>
          </c:extLst>
        </c:ser>
        <c:ser>
          <c:idx val="1"/>
          <c:order val="1"/>
          <c:tx>
            <c:strRef>
              <c:f>HRP!$I$81</c:f>
              <c:strCache>
                <c:ptCount val="1"/>
                <c:pt idx="0">
                  <c:v>Gap</c:v>
                </c:pt>
              </c:strCache>
            </c:strRef>
          </c:tx>
          <c:spPr>
            <a:solidFill>
              <a:schemeClr val="accent1">
                <a:lumMod val="40000"/>
                <a:lumOff val="60000"/>
              </a:schemeClr>
            </a:solidFill>
            <a:ln>
              <a:noFill/>
            </a:ln>
            <a:effectLst/>
          </c:spPr>
          <c:invertIfNegative val="0"/>
          <c:dPt>
            <c:idx val="0"/>
            <c:invertIfNegative val="0"/>
            <c:bubble3D val="0"/>
            <c:spPr>
              <a:solidFill>
                <a:schemeClr val="accent6">
                  <a:lumMod val="75000"/>
                </a:schemeClr>
              </a:solidFill>
              <a:ln>
                <a:noFill/>
              </a:ln>
              <a:effectLst/>
            </c:spPr>
            <c:extLst>
              <c:ext xmlns:c16="http://schemas.microsoft.com/office/drawing/2014/chart" uri="{C3380CC4-5D6E-409C-BE32-E72D297353CC}">
                <c16:uniqueId val="{0000000A-80AE-4D26-A150-8FAE5CF11C26}"/>
              </c:ext>
            </c:extLst>
          </c:dPt>
          <c:dPt>
            <c:idx val="1"/>
            <c:invertIfNegative val="0"/>
            <c:bubble3D val="0"/>
            <c:spPr>
              <a:solidFill>
                <a:schemeClr val="accent2">
                  <a:lumMod val="40000"/>
                  <a:lumOff val="60000"/>
                </a:schemeClr>
              </a:solidFill>
              <a:ln>
                <a:noFill/>
              </a:ln>
              <a:effectLst/>
            </c:spPr>
            <c:extLst>
              <c:ext xmlns:c16="http://schemas.microsoft.com/office/drawing/2014/chart" uri="{C3380CC4-5D6E-409C-BE32-E72D297353CC}">
                <c16:uniqueId val="{0000000C-80AE-4D26-A150-8FAE5CF11C26}"/>
              </c:ext>
            </c:extLst>
          </c:dPt>
          <c:dLbls>
            <c:dLbl>
              <c:idx val="0"/>
              <c:delete val="1"/>
              <c:extLst>
                <c:ext xmlns:c15="http://schemas.microsoft.com/office/drawing/2012/chart" uri="{CE6537A1-D6FC-4f65-9D91-7224C49458BB}"/>
                <c:ext xmlns:c16="http://schemas.microsoft.com/office/drawing/2014/chart" uri="{C3380CC4-5D6E-409C-BE32-E72D297353CC}">
                  <c16:uniqueId val="{0000000A-80AE-4D26-A150-8FAE5CF11C26}"/>
                </c:ext>
              </c:extLst>
            </c:dLbl>
            <c:dLbl>
              <c:idx val="2"/>
              <c:layout>
                <c:manualLayout>
                  <c:x val="-1.8046247343303647E-2"/>
                  <c:y val="8.066639989530985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80AE-4D26-A150-8FAE5CF11C26}"/>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2"/>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HRP!$F$82:$F$84</c:f>
              <c:strCache>
                <c:ptCount val="3"/>
                <c:pt idx="0">
                  <c:v>benefitting from timely/adequate/tailored personal hygiene items and receiving appropriate/ community tailored messages that enable health seeking behavior</c:v>
                </c:pt>
                <c:pt idx="1">
                  <c:v>benefitting from a functional excreta disposal system, reducing safety/public health/environmental risks</c:v>
                </c:pt>
                <c:pt idx="2">
                  <c:v>benefitting from safe/improved drinking water, meeting demand for domestic purposes, at minimum/agreed standards</c:v>
                </c:pt>
              </c:strCache>
            </c:strRef>
          </c:cat>
          <c:val>
            <c:numRef>
              <c:f>HRP!$I$82:$I$84</c:f>
              <c:numCache>
                <c:formatCode>_(* #,##0_);_(* \(#,##0\);_(* "-"??_);_(@_)</c:formatCode>
                <c:ptCount val="3"/>
                <c:pt idx="0">
                  <c:v>-7264</c:v>
                </c:pt>
                <c:pt idx="1">
                  <c:v>13059</c:v>
                </c:pt>
                <c:pt idx="2">
                  <c:v>-7982</c:v>
                </c:pt>
              </c:numCache>
            </c:numRef>
          </c:val>
          <c:extLst>
            <c:ext xmlns:c16="http://schemas.microsoft.com/office/drawing/2014/chart" uri="{C3380CC4-5D6E-409C-BE32-E72D297353CC}">
              <c16:uniqueId val="{00000013-80AE-4D26-A150-8FAE5CF11C26}"/>
            </c:ext>
          </c:extLst>
        </c:ser>
        <c:dLbls>
          <c:showLegendKey val="0"/>
          <c:showVal val="0"/>
          <c:showCatName val="0"/>
          <c:showSerName val="0"/>
          <c:showPercent val="0"/>
          <c:showBubbleSize val="0"/>
        </c:dLbls>
        <c:gapWidth val="150"/>
        <c:overlap val="100"/>
        <c:axId val="417013888"/>
        <c:axId val="417006440"/>
      </c:barChart>
      <c:catAx>
        <c:axId val="417013888"/>
        <c:scaling>
          <c:orientation val="minMax"/>
        </c:scaling>
        <c:delete val="0"/>
        <c:axPos val="l"/>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2"/>
                </a:solidFill>
                <a:latin typeface="+mn-lt"/>
                <a:ea typeface="+mn-ea"/>
                <a:cs typeface="+mn-cs"/>
              </a:defRPr>
            </a:pPr>
            <a:endParaRPr lang="en-US"/>
          </a:p>
        </c:txPr>
        <c:crossAx val="417006440"/>
        <c:crosses val="autoZero"/>
        <c:auto val="1"/>
        <c:lblAlgn val="ctr"/>
        <c:lblOffset val="100"/>
        <c:noMultiLvlLbl val="0"/>
      </c:catAx>
      <c:valAx>
        <c:axId val="417006440"/>
        <c:scaling>
          <c:orientation val="minMax"/>
          <c:max val="1"/>
          <c:min val="0"/>
        </c:scaling>
        <c:delete val="0"/>
        <c:axPos val="b"/>
        <c:majorGridlines>
          <c:spPr>
            <a:ln w="9525" cap="flat" cmpd="sng" algn="ctr">
              <a:solidFill>
                <a:schemeClr val="tx2">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2"/>
                </a:solidFill>
                <a:latin typeface="+mn-lt"/>
                <a:ea typeface="+mn-ea"/>
                <a:cs typeface="+mn-cs"/>
              </a:defRPr>
            </a:pPr>
            <a:endParaRPr lang="en-US"/>
          </a:p>
        </c:txPr>
        <c:crossAx val="417013888"/>
        <c:crosses val="autoZero"/>
        <c:crossBetween val="between"/>
        <c:majorUnit val="0.2"/>
      </c:valAx>
      <c:spPr>
        <a:noFill/>
        <a:ln>
          <a:noFill/>
        </a:ln>
        <a:effectLst/>
      </c:spPr>
    </c:plotArea>
    <c:plotVisOnly val="1"/>
    <c:dispBlanksAs val="gap"/>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[20200124_Myanmar_WASH_4W_2019_Q4_Rakhine_camp_Consolidate.xlsx]Analysis!PivotTable14</c:name>
    <c:fmtId val="9"/>
  </c:pivotSource>
  <c:chart>
    <c:title>
      <c:tx>
        <c:rich>
          <a:bodyPr rot="0" spcFirstLastPara="1" vertOverflow="ellipsis" vert="horz" wrap="square" anchor="ctr" anchorCtr="1"/>
          <a:lstStyle/>
          <a:p>
            <a:pPr>
              <a:defRPr sz="1400" b="1" i="0" u="none" strike="noStrike" kern="1200" baseline="0">
                <a:solidFill>
                  <a:srgbClr val="44546A"/>
                </a:solidFill>
                <a:latin typeface="+mn-lt"/>
                <a:ea typeface="+mn-ea"/>
                <a:cs typeface="+mn-cs"/>
              </a:defRPr>
            </a:pPr>
            <a:r>
              <a:rPr lang="en-US" sz="1400" b="1" i="0" baseline="0">
                <a:solidFill>
                  <a:srgbClr val="44546A"/>
                </a:solidFill>
                <a:effectLst/>
              </a:rPr>
              <a:t>WASH in Temporary Learning Spaces </a:t>
            </a:r>
            <a:endParaRPr lang="en-US" sz="1400" b="1">
              <a:solidFill>
                <a:srgbClr val="44546A"/>
              </a:solidFill>
              <a:effectLst/>
            </a:endParaRPr>
          </a:p>
        </c:rich>
      </c:tx>
      <c:overlay val="0"/>
      <c:spPr>
        <a:noFill/>
        <a:ln>
          <a:noFill/>
        </a:ln>
        <a:effectLst/>
      </c:spPr>
      <c:txPr>
        <a:bodyPr rot="0" spcFirstLastPara="1" vertOverflow="ellipsis" vert="horz" wrap="square" anchor="ctr" anchorCtr="1"/>
        <a:lstStyle/>
        <a:p>
          <a:pPr>
            <a:defRPr sz="1400" b="1" i="0" u="none" strike="noStrike" kern="1200" baseline="0">
              <a:solidFill>
                <a:srgbClr val="44546A"/>
              </a:solidFill>
              <a:latin typeface="+mn-lt"/>
              <a:ea typeface="+mn-ea"/>
              <a:cs typeface="+mn-cs"/>
            </a:defRPr>
          </a:pPr>
          <a:endParaRPr lang="en-US"/>
        </a:p>
      </c:txPr>
    </c:title>
    <c:autoTitleDeleted val="0"/>
    <c:pivotFmts>
      <c:pivotFmt>
        <c:idx val="0"/>
        <c:spPr>
          <a:solidFill>
            <a:srgbClr val="0070C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2">
              <a:lumMod val="75000"/>
            </a:schemeClr>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2.2669632380348723E-2"/>
          <c:y val="0.15182940960512162"/>
          <c:w val="0.9546607352393025"/>
          <c:h val="0.52061484330604624"/>
        </c:manualLayout>
      </c:layout>
      <c:barChart>
        <c:barDir val="bar"/>
        <c:grouping val="clustered"/>
        <c:varyColors val="0"/>
        <c:ser>
          <c:idx val="0"/>
          <c:order val="0"/>
          <c:tx>
            <c:strRef>
              <c:f>Analysis!$D$312</c:f>
              <c:strCache>
                <c:ptCount val="1"/>
                <c:pt idx="0">
                  <c:v># of latrines in TLS/CFS</c:v>
                </c:pt>
              </c:strCache>
            </c:strRef>
          </c:tx>
          <c:spPr>
            <a:solidFill>
              <a:schemeClr val="accent2">
                <a:lumMod val="75000"/>
              </a:schemeClr>
            </a:soli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Analysis!$C$313</c:f>
              <c:strCache>
                <c:ptCount val="1"/>
                <c:pt idx="0">
                  <c:v>Central Rakhine</c:v>
                </c:pt>
              </c:strCache>
            </c:strRef>
          </c:cat>
          <c:val>
            <c:numRef>
              <c:f>Analysis!$D$313</c:f>
              <c:numCache>
                <c:formatCode>_(* #,##0_);_(* \(#,##0\);_(* "-"??_);_(@_)</c:formatCode>
                <c:ptCount val="1"/>
                <c:pt idx="0">
                  <c:v>229</c:v>
                </c:pt>
              </c:numCache>
            </c:numRef>
          </c:val>
          <c:extLst>
            <c:ext xmlns:c16="http://schemas.microsoft.com/office/drawing/2014/chart" uri="{C3380CC4-5D6E-409C-BE32-E72D297353CC}">
              <c16:uniqueId val="{0000000A-EFC4-4341-8288-90A696ADD9D3}"/>
            </c:ext>
          </c:extLst>
        </c:ser>
        <c:ser>
          <c:idx val="1"/>
          <c:order val="1"/>
          <c:tx>
            <c:strRef>
              <c:f>Analysis!$E$312</c:f>
              <c:strCache>
                <c:ptCount val="1"/>
                <c:pt idx="0">
                  <c:v> # Functional water points in TLS/CFS</c:v>
                </c:pt>
              </c:strCache>
            </c:strRef>
          </c:tx>
          <c:spPr>
            <a:solidFill>
              <a:srgbClr val="0070C0"/>
            </a:soli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Analysis!$C$313</c:f>
              <c:strCache>
                <c:ptCount val="1"/>
                <c:pt idx="0">
                  <c:v>Central Rakhine</c:v>
                </c:pt>
              </c:strCache>
            </c:strRef>
          </c:cat>
          <c:val>
            <c:numRef>
              <c:f>Analysis!$E$313</c:f>
              <c:numCache>
                <c:formatCode>_(* #,##0_);_(* \(#,##0\);_(* "-"??_);_(@_)</c:formatCode>
                <c:ptCount val="1"/>
                <c:pt idx="0">
                  <c:v>103</c:v>
                </c:pt>
              </c:numCache>
            </c:numRef>
          </c:val>
          <c:extLst>
            <c:ext xmlns:c16="http://schemas.microsoft.com/office/drawing/2014/chart" uri="{C3380CC4-5D6E-409C-BE32-E72D297353CC}">
              <c16:uniqueId val="{0000000B-EFC4-4341-8288-90A696ADD9D3}"/>
            </c:ext>
          </c:extLst>
        </c:ser>
        <c:dLbls>
          <c:dLblPos val="outEnd"/>
          <c:showLegendKey val="0"/>
          <c:showVal val="1"/>
          <c:showCatName val="0"/>
          <c:showSerName val="0"/>
          <c:showPercent val="0"/>
          <c:showBubbleSize val="0"/>
        </c:dLbls>
        <c:gapWidth val="115"/>
        <c:overlap val="-20"/>
        <c:axId val="419842040"/>
        <c:axId val="419849488"/>
      </c:barChart>
      <c:catAx>
        <c:axId val="419842040"/>
        <c:scaling>
          <c:orientation val="minMax"/>
        </c:scaling>
        <c:delete val="1"/>
        <c:axPos val="l"/>
        <c:numFmt formatCode="General" sourceLinked="1"/>
        <c:majorTickMark val="none"/>
        <c:minorTickMark val="none"/>
        <c:tickLblPos val="nextTo"/>
        <c:crossAx val="419849488"/>
        <c:crosses val="autoZero"/>
        <c:auto val="1"/>
        <c:lblAlgn val="ctr"/>
        <c:lblOffset val="100"/>
        <c:noMultiLvlLbl val="0"/>
      </c:catAx>
      <c:valAx>
        <c:axId val="419849488"/>
        <c:scaling>
          <c:orientation val="minMax"/>
        </c:scaling>
        <c:delete val="1"/>
        <c:axPos val="b"/>
        <c:majorGridlines>
          <c:spPr>
            <a:ln w="9525" cap="flat" cmpd="sng" algn="ctr">
              <a:solidFill>
                <a:schemeClr val="tx1">
                  <a:lumMod val="15000"/>
                  <a:lumOff val="85000"/>
                </a:schemeClr>
              </a:solidFill>
              <a:round/>
            </a:ln>
            <a:effectLst/>
          </c:spPr>
        </c:majorGridlines>
        <c:numFmt formatCode="_(* #,##0_);_(* \(#,##0\);_(* &quot;-&quot;??_);_(@_)" sourceLinked="1"/>
        <c:majorTickMark val="none"/>
        <c:minorTickMark val="none"/>
        <c:tickLblPos val="nextTo"/>
        <c:crossAx val="41984204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100" b="0" i="0" u="none" strike="noStrike" kern="1200" baseline="0">
              <a:solidFill>
                <a:srgbClr val="44546A"/>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pivotSource>
    <c:name>[20200124_Myanmar_WASH_4W_2019_Q4_Rakhine_camp_Consolidate.xlsx]Analysis!R_water1</c:name>
    <c:fmtId val="15"/>
  </c:pivotSource>
  <c:chart>
    <c:title>
      <c:tx>
        <c:rich>
          <a:bodyPr rot="0" spcFirstLastPara="1" vertOverflow="ellipsis" vert="horz" wrap="square" anchor="ctr" anchorCtr="1"/>
          <a:lstStyle/>
          <a:p>
            <a:pPr>
              <a:defRPr sz="1400" b="1" i="0" u="none" strike="noStrike" kern="1200" baseline="0">
                <a:solidFill>
                  <a:schemeClr val="tx2"/>
                </a:solidFill>
                <a:latin typeface="+mn-lt"/>
                <a:ea typeface="+mn-ea"/>
                <a:cs typeface="+mn-cs"/>
              </a:defRPr>
            </a:pPr>
            <a:r>
              <a:rPr lang="en-US" sz="1400" b="1" i="0" baseline="0">
                <a:effectLst/>
              </a:rPr>
              <a:t>Water Point Coverage</a:t>
            </a:r>
          </a:p>
        </c:rich>
      </c:tx>
      <c:layout>
        <c:manualLayout>
          <c:xMode val="edge"/>
          <c:yMode val="edge"/>
          <c:x val="0.27116957358570926"/>
          <c:y val="3.7086255246515966E-2"/>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2"/>
              </a:solidFill>
              <a:latin typeface="+mn-lt"/>
              <a:ea typeface="+mn-ea"/>
              <a:cs typeface="+mn-cs"/>
            </a:defRPr>
          </a:pPr>
          <a:endParaRPr lang="en-US"/>
        </a:p>
      </c:txPr>
    </c:title>
    <c:autoTitleDeleted val="0"/>
    <c:pivotFmts>
      <c:pivotFmt>
        <c:idx val="0"/>
        <c:spPr>
          <a:solidFill>
            <a:srgbClr val="0070C0"/>
          </a:solidFill>
          <a:ln>
            <a:noFill/>
          </a:ln>
          <a:effectLst/>
        </c:spPr>
        <c:marker>
          <c:symbol val="circle"/>
          <c:size val="6"/>
          <c:spPr>
            <a:gradFill rotWithShape="1">
              <a:gsLst>
                <a:gs pos="0">
                  <a:schemeClr val="accent1">
                    <a:shade val="76000"/>
                    <a:satMod val="103000"/>
                    <a:lumMod val="102000"/>
                    <a:tint val="94000"/>
                  </a:schemeClr>
                </a:gs>
                <a:gs pos="50000">
                  <a:schemeClr val="accent1">
                    <a:shade val="76000"/>
                    <a:satMod val="110000"/>
                    <a:lumMod val="100000"/>
                    <a:shade val="100000"/>
                  </a:schemeClr>
                </a:gs>
                <a:gs pos="100000">
                  <a:schemeClr val="accent1">
                    <a:shade val="76000"/>
                    <a:lumMod val="99000"/>
                    <a:satMod val="120000"/>
                    <a:shade val="78000"/>
                  </a:schemeClr>
                </a:gs>
              </a:gsLst>
              <a:lin ang="5400000" scaled="0"/>
            </a:gradFill>
            <a:ln w="12700">
              <a:solidFill>
                <a:schemeClr val="lt2"/>
              </a:solidFill>
              <a:round/>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lumMod val="40000"/>
              <a:lumOff val="60000"/>
            </a:schemeClr>
          </a:solidFill>
          <a:ln>
            <a:noFill/>
          </a:ln>
          <a:effectLst/>
        </c:spPr>
        <c:marker>
          <c:symbol val="circle"/>
          <c:size val="6"/>
          <c:spPr>
            <a:gradFill rotWithShape="1">
              <a:gsLst>
                <a:gs pos="0">
                  <a:schemeClr val="accent1">
                    <a:tint val="77000"/>
                    <a:satMod val="103000"/>
                    <a:lumMod val="102000"/>
                    <a:tint val="94000"/>
                  </a:schemeClr>
                </a:gs>
                <a:gs pos="50000">
                  <a:schemeClr val="accent1">
                    <a:tint val="77000"/>
                    <a:satMod val="110000"/>
                    <a:lumMod val="100000"/>
                    <a:shade val="100000"/>
                  </a:schemeClr>
                </a:gs>
                <a:gs pos="100000">
                  <a:schemeClr val="accent1">
                    <a:tint val="77000"/>
                    <a:lumMod val="99000"/>
                    <a:satMod val="120000"/>
                    <a:shade val="78000"/>
                  </a:schemeClr>
                </a:gs>
              </a:gsLst>
              <a:lin ang="5400000" scaled="0"/>
            </a:gradFill>
            <a:ln w="12700">
              <a:solidFill>
                <a:schemeClr val="lt2"/>
              </a:solidFill>
              <a:round/>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
        <c:spPr>
          <a:solidFill>
            <a:srgbClr val="0070C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1">
              <a:lumMod val="40000"/>
              <a:lumOff val="6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
        <c:spPr>
          <a:solidFill>
            <a:srgbClr val="0070C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bg1"/>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5"/>
        <c:spPr>
          <a:solidFill>
            <a:schemeClr val="accent1">
              <a:lumMod val="40000"/>
              <a:lumOff val="6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2"/>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6"/>
        <c:spPr>
          <a:solidFill>
            <a:srgbClr val="0070C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bg1"/>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7"/>
        <c:spPr>
          <a:solidFill>
            <a:schemeClr val="accent1">
              <a:lumMod val="40000"/>
              <a:lumOff val="6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2"/>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8"/>
        <c:spPr>
          <a:solidFill>
            <a:srgbClr val="0070C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bg1"/>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9"/>
        <c:spPr>
          <a:solidFill>
            <a:schemeClr val="accent1">
              <a:lumMod val="40000"/>
              <a:lumOff val="6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2"/>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7.724496922737123E-2"/>
          <c:y val="0.19490881723727033"/>
          <c:w val="0.72743677504115245"/>
          <c:h val="0.59267685736784093"/>
        </c:manualLayout>
      </c:layout>
      <c:barChart>
        <c:barDir val="col"/>
        <c:grouping val="percentStacked"/>
        <c:varyColors val="0"/>
        <c:ser>
          <c:idx val="0"/>
          <c:order val="0"/>
          <c:tx>
            <c:strRef>
              <c:f>Analysis!$C$28</c:f>
              <c:strCache>
                <c:ptCount val="1"/>
                <c:pt idx="0">
                  <c:v>Coverage</c:v>
                </c:pt>
              </c:strCache>
            </c:strRef>
          </c:tx>
          <c:spPr>
            <a:solidFill>
              <a:srgbClr val="0070C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bg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Analysis!$B$29</c:f>
              <c:strCache>
                <c:ptCount val="1"/>
                <c:pt idx="0">
                  <c:v>Camp</c:v>
                </c:pt>
              </c:strCache>
            </c:strRef>
          </c:cat>
          <c:val>
            <c:numRef>
              <c:f>Analysis!$C$29</c:f>
              <c:numCache>
                <c:formatCode>0</c:formatCode>
                <c:ptCount val="1"/>
                <c:pt idx="0">
                  <c:v>238.08200000000005</c:v>
                </c:pt>
              </c:numCache>
            </c:numRef>
          </c:val>
          <c:extLst>
            <c:ext xmlns:c16="http://schemas.microsoft.com/office/drawing/2014/chart" uri="{C3380CC4-5D6E-409C-BE32-E72D297353CC}">
              <c16:uniqueId val="{00000000-BD7C-468D-AE70-E23E797264C1}"/>
            </c:ext>
          </c:extLst>
        </c:ser>
        <c:ser>
          <c:idx val="1"/>
          <c:order val="1"/>
          <c:tx>
            <c:strRef>
              <c:f>Analysis!$D$28</c:f>
              <c:strCache>
                <c:ptCount val="1"/>
                <c:pt idx="0">
                  <c:v>Gap</c:v>
                </c:pt>
              </c:strCache>
            </c:strRef>
          </c:tx>
          <c:spPr>
            <a:solidFill>
              <a:schemeClr val="accent1">
                <a:lumMod val="40000"/>
                <a:lumOff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2"/>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Analysis!$B$29</c:f>
              <c:strCache>
                <c:ptCount val="1"/>
                <c:pt idx="0">
                  <c:v>Camp</c:v>
                </c:pt>
              </c:strCache>
            </c:strRef>
          </c:cat>
          <c:val>
            <c:numRef>
              <c:f>Analysis!$D$29</c:f>
              <c:numCache>
                <c:formatCode>0</c:formatCode>
                <c:ptCount val="1"/>
                <c:pt idx="0">
                  <c:v>3.7159999999999971</c:v>
                </c:pt>
              </c:numCache>
            </c:numRef>
          </c:val>
          <c:extLst>
            <c:ext xmlns:c16="http://schemas.microsoft.com/office/drawing/2014/chart" uri="{C3380CC4-5D6E-409C-BE32-E72D297353CC}">
              <c16:uniqueId val="{00000001-BD7C-468D-AE70-E23E797264C1}"/>
            </c:ext>
          </c:extLst>
        </c:ser>
        <c:dLbls>
          <c:dLblPos val="ctr"/>
          <c:showLegendKey val="0"/>
          <c:showVal val="1"/>
          <c:showCatName val="0"/>
          <c:showSerName val="0"/>
          <c:showPercent val="0"/>
          <c:showBubbleSize val="0"/>
        </c:dLbls>
        <c:gapWidth val="150"/>
        <c:overlap val="100"/>
        <c:axId val="417005656"/>
        <c:axId val="417006048"/>
      </c:barChart>
      <c:catAx>
        <c:axId val="417005656"/>
        <c:scaling>
          <c:orientation val="minMax"/>
        </c:scaling>
        <c:delete val="0"/>
        <c:axPos val="b"/>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2"/>
                </a:solidFill>
                <a:latin typeface="+mn-lt"/>
                <a:ea typeface="+mn-ea"/>
                <a:cs typeface="+mn-cs"/>
              </a:defRPr>
            </a:pPr>
            <a:endParaRPr lang="en-US"/>
          </a:p>
        </c:txPr>
        <c:crossAx val="417006048"/>
        <c:crosses val="autoZero"/>
        <c:auto val="1"/>
        <c:lblAlgn val="ctr"/>
        <c:lblOffset val="100"/>
        <c:noMultiLvlLbl val="0"/>
      </c:catAx>
      <c:valAx>
        <c:axId val="417006048"/>
        <c:scaling>
          <c:orientation val="minMax"/>
        </c:scaling>
        <c:delete val="0"/>
        <c:axPos val="l"/>
        <c:majorGridlines>
          <c:spPr>
            <a:ln w="9525" cap="flat" cmpd="sng" algn="ctr">
              <a:solidFill>
                <a:schemeClr val="tx2">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2"/>
                </a:solidFill>
                <a:latin typeface="+mn-lt"/>
                <a:ea typeface="+mn-ea"/>
                <a:cs typeface="+mn-cs"/>
              </a:defRPr>
            </a:pPr>
            <a:endParaRPr lang="en-US"/>
          </a:p>
        </c:txPr>
        <c:crossAx val="41700565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2"/>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baseline="0">
                <a:solidFill>
                  <a:schemeClr val="tx2"/>
                </a:solidFill>
                <a:latin typeface="+mn-lt"/>
                <a:ea typeface="+mn-ea"/>
                <a:cs typeface="+mn-cs"/>
              </a:defRPr>
            </a:pPr>
            <a:r>
              <a:rPr lang="en-US" sz="1400" b="1" i="0" baseline="0">
                <a:effectLst/>
              </a:rPr>
              <a:t>% of Sites which made water quality test at water sources</a:t>
            </a:r>
            <a:endParaRPr lang="en-US" sz="1400">
              <a:effectLst/>
            </a:endParaRPr>
          </a:p>
        </c:rich>
      </c:tx>
      <c:layout>
        <c:manualLayout>
          <c:xMode val="edge"/>
          <c:yMode val="edge"/>
          <c:x val="0.1741399946534461"/>
          <c:y val="1.7372597698246103E-2"/>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2"/>
              </a:solidFill>
              <a:latin typeface="+mn-lt"/>
              <a:ea typeface="+mn-ea"/>
              <a:cs typeface="+mn-cs"/>
            </a:defRPr>
          </a:pPr>
          <a:endParaRPr lang="en-US"/>
        </a:p>
      </c:txPr>
    </c:title>
    <c:autoTitleDeleted val="0"/>
    <c:plotArea>
      <c:layout>
        <c:manualLayout>
          <c:layoutTarget val="inner"/>
          <c:xMode val="edge"/>
          <c:yMode val="edge"/>
          <c:x val="5.053678186060076E-2"/>
          <c:y val="0.27814053107301084"/>
          <c:w val="0.4369630357259669"/>
          <c:h val="0.45783261663363806"/>
        </c:manualLayout>
      </c:layout>
      <c:pieChart>
        <c:varyColors val="1"/>
        <c:ser>
          <c:idx val="0"/>
          <c:order val="0"/>
          <c:tx>
            <c:strRef>
              <c:f>Analysis!$H$45</c:f>
              <c:strCache>
                <c:ptCount val="1"/>
                <c:pt idx="0">
                  <c:v>Central Rakhine</c:v>
                </c:pt>
              </c:strCache>
            </c:strRef>
          </c:tx>
          <c:dPt>
            <c:idx val="0"/>
            <c:bubble3D val="0"/>
            <c:spPr>
              <a:solidFill>
                <a:srgbClr val="0070C0"/>
              </a:solidFill>
              <a:ln>
                <a:noFill/>
              </a:ln>
              <a:effectLst/>
            </c:spPr>
            <c:extLst xmlns:c15="http://schemas.microsoft.com/office/drawing/2012/chart">
              <c:ext xmlns:c16="http://schemas.microsoft.com/office/drawing/2014/chart" uri="{C3380CC4-5D6E-409C-BE32-E72D297353CC}">
                <c16:uniqueId val="{00000001-78DD-4321-8323-0F3AD2BF55E9}"/>
              </c:ext>
            </c:extLst>
          </c:dPt>
          <c:dPt>
            <c:idx val="1"/>
            <c:bubble3D val="0"/>
            <c:spPr>
              <a:solidFill>
                <a:schemeClr val="accent1">
                  <a:lumMod val="40000"/>
                  <a:lumOff val="60000"/>
                </a:schemeClr>
              </a:solidFill>
              <a:ln>
                <a:noFill/>
              </a:ln>
              <a:effectLst/>
            </c:spPr>
            <c:extLst xmlns:c15="http://schemas.microsoft.com/office/drawing/2012/chart">
              <c:ext xmlns:c16="http://schemas.microsoft.com/office/drawing/2014/chart" uri="{C3380CC4-5D6E-409C-BE32-E72D297353CC}">
                <c16:uniqueId val="{00000003-78DD-4321-8323-0F3AD2BF55E9}"/>
              </c:ext>
            </c:extLst>
          </c:dPt>
          <c:dLbls>
            <c:dLbl>
              <c:idx val="0"/>
              <c:layout>
                <c:manualLayout>
                  <c:x val="-0.14812387054953108"/>
                  <c:y val="-8.7415644643311446E-2"/>
                </c:manualLayout>
              </c:layout>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bg1"/>
                      </a:solidFill>
                      <a:latin typeface="+mn-lt"/>
                      <a:ea typeface="+mn-ea"/>
                      <a:cs typeface="+mn-cs"/>
                    </a:defRPr>
                  </a:pPr>
                  <a:endParaRPr lang="en-US"/>
                </a:p>
              </c:txPr>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78DD-4321-8323-0F3AD2BF55E9}"/>
                </c:ext>
              </c:extLst>
            </c:dLbl>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2"/>
                    </a:solidFill>
                    <a:latin typeface="+mn-lt"/>
                    <a:ea typeface="+mn-ea"/>
                    <a:cs typeface="+mn-cs"/>
                  </a:defRPr>
                </a:pPr>
                <a:endParaRPr lang="en-US"/>
              </a:p>
            </c:txPr>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Analysis!$J$44:$K$44</c:f>
              <c:strCache>
                <c:ptCount val="2"/>
                <c:pt idx="0">
                  <c:v>Tested</c:v>
                </c:pt>
                <c:pt idx="1">
                  <c:v>No Test</c:v>
                </c:pt>
              </c:strCache>
            </c:strRef>
          </c:cat>
          <c:val>
            <c:numRef>
              <c:f>Analysis!$J$45:$K$45</c:f>
              <c:numCache>
                <c:formatCode>0</c:formatCode>
                <c:ptCount val="2"/>
                <c:pt idx="0" formatCode="General">
                  <c:v>14</c:v>
                </c:pt>
                <c:pt idx="1">
                  <c:v>10</c:v>
                </c:pt>
              </c:numCache>
            </c:numRef>
          </c:val>
          <c:extLst xmlns:c15="http://schemas.microsoft.com/office/drawing/2012/chart">
            <c:ext xmlns:c16="http://schemas.microsoft.com/office/drawing/2014/chart" uri="{C3380CC4-5D6E-409C-BE32-E72D297353CC}">
              <c16:uniqueId val="{00000004-78DD-4321-8323-0F3AD2BF55E9}"/>
            </c:ext>
          </c:extLst>
        </c:ser>
        <c:dLbls>
          <c:showLegendKey val="0"/>
          <c:showVal val="0"/>
          <c:showCatName val="0"/>
          <c:showSerName val="0"/>
          <c:showPercent val="0"/>
          <c:showBubbleSize val="0"/>
          <c:showLeaderLines val="1"/>
        </c:dLbls>
        <c:firstSliceAng val="0"/>
        <c:extLst/>
      </c:pieChart>
      <c:spPr>
        <a:noFill/>
        <a:ln>
          <a:noFill/>
        </a:ln>
        <a:effectLst/>
      </c:spPr>
    </c:plotArea>
    <c:legend>
      <c:legendPos val="b"/>
      <c:layout>
        <c:manualLayout>
          <c:xMode val="edge"/>
          <c:yMode val="edge"/>
          <c:x val="0"/>
          <c:y val="0.79596090628282512"/>
          <c:w val="0.43495323647924289"/>
          <c:h val="8.904907847481032E-2"/>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2"/>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en-US" sz="1400" b="1" i="0" baseline="0">
                <a:effectLst/>
              </a:rPr>
              <a:t>% of Sites which made water quality test at household</a:t>
            </a:r>
            <a:endParaRPr lang="en-US" sz="1400">
              <a:effectLst/>
            </a:endParaRPr>
          </a:p>
        </c:rich>
      </c:tx>
      <c:layout>
        <c:manualLayout>
          <c:xMode val="edge"/>
          <c:yMode val="edge"/>
          <c:x val="0.16675324438611841"/>
          <c:y val="2.5934021023787723E-2"/>
        </c:manualLayout>
      </c:layout>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en-US"/>
        </a:p>
      </c:txPr>
    </c:title>
    <c:autoTitleDeleted val="0"/>
    <c:plotArea>
      <c:layout>
        <c:manualLayout>
          <c:layoutTarget val="inner"/>
          <c:xMode val="edge"/>
          <c:yMode val="edge"/>
          <c:x val="1.2836893652182366E-2"/>
          <c:y val="0.31277362204724407"/>
          <c:w val="0.44491500194420142"/>
          <c:h val="0.41186417322834645"/>
        </c:manualLayout>
      </c:layout>
      <c:pieChart>
        <c:varyColors val="1"/>
        <c:ser>
          <c:idx val="0"/>
          <c:order val="0"/>
          <c:tx>
            <c:strRef>
              <c:f>Analysis!$V$45</c:f>
              <c:strCache>
                <c:ptCount val="1"/>
                <c:pt idx="0">
                  <c:v>Central Rakhine</c:v>
                </c:pt>
              </c:strCache>
            </c:strRef>
          </c:tx>
          <c:dPt>
            <c:idx val="0"/>
            <c:bubble3D val="0"/>
            <c:spPr>
              <a:solidFill>
                <a:srgbClr val="0070C0"/>
              </a:solidFill>
              <a:ln>
                <a:noFill/>
              </a:ln>
              <a:effectLst/>
            </c:spPr>
            <c:extLst xmlns:c15="http://schemas.microsoft.com/office/drawing/2012/chart">
              <c:ext xmlns:c16="http://schemas.microsoft.com/office/drawing/2014/chart" uri="{C3380CC4-5D6E-409C-BE32-E72D297353CC}">
                <c16:uniqueId val="{00000006-9702-49DA-9C90-2459AE5B6D9F}"/>
              </c:ext>
            </c:extLst>
          </c:dPt>
          <c:dPt>
            <c:idx val="1"/>
            <c:bubble3D val="0"/>
            <c:spPr>
              <a:solidFill>
                <a:schemeClr val="accent1">
                  <a:lumMod val="40000"/>
                  <a:lumOff val="60000"/>
                </a:schemeClr>
              </a:solidFill>
              <a:ln>
                <a:noFill/>
              </a:ln>
              <a:effectLst/>
            </c:spPr>
            <c:extLst xmlns:c15="http://schemas.microsoft.com/office/drawing/2012/chart">
              <c:ext xmlns:c16="http://schemas.microsoft.com/office/drawing/2014/chart" uri="{C3380CC4-5D6E-409C-BE32-E72D297353CC}">
                <c16:uniqueId val="{00000008-9702-49DA-9C90-2459AE5B6D9F}"/>
              </c:ext>
            </c:extLst>
          </c:dPt>
          <c:dLbls>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bg1"/>
                      </a:solidFill>
                      <a:latin typeface="+mn-lt"/>
                      <a:ea typeface="+mn-ea"/>
                      <a:cs typeface="+mn-cs"/>
                    </a:defRPr>
                  </a:pPr>
                  <a:endParaRPr lang="en-US"/>
                </a:p>
              </c:txPr>
              <c:showLegendKey val="0"/>
              <c:showVal val="0"/>
              <c:showCatName val="0"/>
              <c:showSerName val="0"/>
              <c:showPercent val="1"/>
              <c:showBubbleSize val="0"/>
              <c:extLst>
                <c:ext xmlns:c16="http://schemas.microsoft.com/office/drawing/2014/chart" uri="{C3380CC4-5D6E-409C-BE32-E72D297353CC}">
                  <c16:uniqueId val="{00000006-9702-49DA-9C90-2459AE5B6D9F}"/>
                </c:ext>
              </c:extLst>
            </c:dLbl>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2"/>
                    </a:solidFill>
                    <a:latin typeface="+mn-lt"/>
                    <a:ea typeface="+mn-ea"/>
                    <a:cs typeface="+mn-cs"/>
                  </a:defRPr>
                </a:pPr>
                <a:endParaRPr lang="en-US"/>
              </a:p>
            </c:txPr>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Analysis!$X$44:$Y$44</c:f>
              <c:strCache>
                <c:ptCount val="2"/>
                <c:pt idx="0">
                  <c:v>Tested</c:v>
                </c:pt>
                <c:pt idx="1">
                  <c:v>No test</c:v>
                </c:pt>
              </c:strCache>
            </c:strRef>
          </c:cat>
          <c:val>
            <c:numRef>
              <c:f>Analysis!$X$45:$Y$45</c:f>
              <c:numCache>
                <c:formatCode>General</c:formatCode>
                <c:ptCount val="2"/>
                <c:pt idx="0">
                  <c:v>13</c:v>
                </c:pt>
                <c:pt idx="1">
                  <c:v>11</c:v>
                </c:pt>
              </c:numCache>
            </c:numRef>
          </c:val>
          <c:extLst xmlns:c15="http://schemas.microsoft.com/office/drawing/2012/chart">
            <c:ext xmlns:c16="http://schemas.microsoft.com/office/drawing/2014/chart" uri="{C3380CC4-5D6E-409C-BE32-E72D297353CC}">
              <c16:uniqueId val="{00000009-9702-49DA-9C90-2459AE5B6D9F}"/>
            </c:ext>
          </c:extLst>
        </c:ser>
        <c:dLbls>
          <c:showLegendKey val="0"/>
          <c:showVal val="0"/>
          <c:showCatName val="0"/>
          <c:showSerName val="0"/>
          <c:showPercent val="0"/>
          <c:showBubbleSize val="0"/>
          <c:showLeaderLines val="1"/>
        </c:dLbls>
        <c:firstSliceAng val="0"/>
        <c:extLst/>
      </c:pieChart>
      <c:spPr>
        <a:noFill/>
        <a:ln>
          <a:noFill/>
        </a:ln>
        <a:effectLst/>
      </c:spPr>
    </c:plotArea>
    <c:legend>
      <c:legendPos val="b"/>
      <c:layout>
        <c:manualLayout>
          <c:xMode val="edge"/>
          <c:yMode val="edge"/>
          <c:x val="1.4640444250024301E-2"/>
          <c:y val="0.80190622460601657"/>
          <c:w val="0.43831140031107224"/>
          <c:h val="7.3226940382452199E-2"/>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2"/>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percentStacked"/>
        <c:varyColors val="0"/>
        <c:ser>
          <c:idx val="0"/>
          <c:order val="0"/>
          <c:tx>
            <c:strRef>
              <c:f>Analysis!$L$44</c:f>
              <c:strCache>
                <c:ptCount val="1"/>
                <c:pt idx="0">
                  <c:v># Tested</c:v>
                </c:pt>
              </c:strCache>
            </c:strRef>
          </c:tx>
          <c:spPr>
            <a:solidFill>
              <a:srgbClr val="0070C0"/>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Analysis!$H$45</c:f>
              <c:strCache>
                <c:ptCount val="1"/>
                <c:pt idx="0">
                  <c:v>Central Rakhine</c:v>
                </c:pt>
              </c:strCache>
            </c:strRef>
          </c:cat>
          <c:val>
            <c:numRef>
              <c:f>Analysis!$L$45</c:f>
              <c:numCache>
                <c:formatCode>General</c:formatCode>
                <c:ptCount val="1"/>
                <c:pt idx="0">
                  <c:v>852</c:v>
                </c:pt>
              </c:numCache>
            </c:numRef>
          </c:val>
          <c:extLst>
            <c:ext xmlns:c16="http://schemas.microsoft.com/office/drawing/2014/chart" uri="{C3380CC4-5D6E-409C-BE32-E72D297353CC}">
              <c16:uniqueId val="{00000000-1E36-40E1-814F-65F10EF1B9EE}"/>
            </c:ext>
          </c:extLst>
        </c:ser>
        <c:ser>
          <c:idx val="1"/>
          <c:order val="1"/>
          <c:tx>
            <c:strRef>
              <c:f>Analysis!$M$44</c:f>
              <c:strCache>
                <c:ptCount val="1"/>
                <c:pt idx="0">
                  <c:v> # Passed</c:v>
                </c:pt>
              </c:strCache>
            </c:strRef>
          </c:tx>
          <c:spPr>
            <a:solidFill>
              <a:schemeClr val="accent1">
                <a:lumMod val="40000"/>
                <a:lumOff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Analysis!$H$45</c:f>
              <c:strCache>
                <c:ptCount val="1"/>
                <c:pt idx="0">
                  <c:v>Central Rakhine</c:v>
                </c:pt>
              </c:strCache>
            </c:strRef>
          </c:cat>
          <c:val>
            <c:numRef>
              <c:f>Analysis!$M$45</c:f>
              <c:numCache>
                <c:formatCode>General</c:formatCode>
                <c:ptCount val="1"/>
                <c:pt idx="0">
                  <c:v>824</c:v>
                </c:pt>
              </c:numCache>
            </c:numRef>
          </c:val>
          <c:extLst>
            <c:ext xmlns:c16="http://schemas.microsoft.com/office/drawing/2014/chart" uri="{C3380CC4-5D6E-409C-BE32-E72D297353CC}">
              <c16:uniqueId val="{00000001-1E36-40E1-814F-65F10EF1B9EE}"/>
            </c:ext>
          </c:extLst>
        </c:ser>
        <c:dLbls>
          <c:showLegendKey val="0"/>
          <c:showVal val="0"/>
          <c:showCatName val="0"/>
          <c:showSerName val="0"/>
          <c:showPercent val="0"/>
          <c:showBubbleSize val="0"/>
        </c:dLbls>
        <c:gapWidth val="150"/>
        <c:overlap val="100"/>
        <c:axId val="1332863680"/>
        <c:axId val="1335493040"/>
      </c:barChart>
      <c:catAx>
        <c:axId val="1332863680"/>
        <c:scaling>
          <c:orientation val="minMax"/>
        </c:scaling>
        <c:delete val="0"/>
        <c:axPos val="b"/>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n-US"/>
          </a:p>
        </c:txPr>
        <c:crossAx val="1335493040"/>
        <c:crosses val="autoZero"/>
        <c:auto val="1"/>
        <c:lblAlgn val="ctr"/>
        <c:lblOffset val="100"/>
        <c:noMultiLvlLbl val="0"/>
      </c:catAx>
      <c:valAx>
        <c:axId val="1335493040"/>
        <c:scaling>
          <c:orientation val="minMax"/>
          <c:max val="1"/>
        </c:scaling>
        <c:delete val="0"/>
        <c:axPos val="l"/>
        <c:majorGridlines>
          <c:spPr>
            <a:ln w="9525" cap="flat" cmpd="sng" algn="ctr">
              <a:solidFill>
                <a:schemeClr val="tx2">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n-US"/>
          </a:p>
        </c:txPr>
        <c:crossAx val="1332863680"/>
        <c:crosses val="autoZero"/>
        <c:crossBetween val="between"/>
        <c:majorUnit val="0.2"/>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percentStacked"/>
        <c:varyColors val="0"/>
        <c:ser>
          <c:idx val="0"/>
          <c:order val="0"/>
          <c:tx>
            <c:strRef>
              <c:f>Analysis!$Z$44</c:f>
              <c:strCache>
                <c:ptCount val="1"/>
                <c:pt idx="0">
                  <c:v> # Tested</c:v>
                </c:pt>
              </c:strCache>
            </c:strRef>
          </c:tx>
          <c:spPr>
            <a:solidFill>
              <a:srgbClr val="0070C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Analysis!$V$45</c:f>
              <c:strCache>
                <c:ptCount val="1"/>
                <c:pt idx="0">
                  <c:v>Central Rakhine</c:v>
                </c:pt>
              </c:strCache>
            </c:strRef>
          </c:cat>
          <c:val>
            <c:numRef>
              <c:f>Analysis!$Z$45</c:f>
              <c:numCache>
                <c:formatCode>General</c:formatCode>
                <c:ptCount val="1"/>
                <c:pt idx="0">
                  <c:v>662</c:v>
                </c:pt>
              </c:numCache>
            </c:numRef>
          </c:val>
          <c:extLst>
            <c:ext xmlns:c16="http://schemas.microsoft.com/office/drawing/2014/chart" uri="{C3380CC4-5D6E-409C-BE32-E72D297353CC}">
              <c16:uniqueId val="{00000000-2561-4177-8BEC-CDB4EA7272E2}"/>
            </c:ext>
          </c:extLst>
        </c:ser>
        <c:ser>
          <c:idx val="1"/>
          <c:order val="1"/>
          <c:tx>
            <c:strRef>
              <c:f>Analysis!$AA$44</c:f>
              <c:strCache>
                <c:ptCount val="1"/>
                <c:pt idx="0">
                  <c:v> # Passed</c:v>
                </c:pt>
              </c:strCache>
            </c:strRef>
          </c:tx>
          <c:spPr>
            <a:solidFill>
              <a:schemeClr val="accent1">
                <a:lumMod val="40000"/>
                <a:lumOff val="60000"/>
              </a:schemeClr>
            </a:solidFill>
            <a:ln>
              <a:noFill/>
            </a:ln>
            <a:effectLst/>
          </c:spPr>
          <c:invertIfNegative val="0"/>
          <c:dLbls>
            <c:dLbl>
              <c:idx val="0"/>
              <c:layout>
                <c:manualLayout>
                  <c:x val="-6.3656672040099962E-17"/>
                  <c:y val="-3.667480780018293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561-4177-8BEC-CDB4EA7272E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Analysis!$V$45</c:f>
              <c:strCache>
                <c:ptCount val="1"/>
                <c:pt idx="0">
                  <c:v>Central Rakhine</c:v>
                </c:pt>
              </c:strCache>
            </c:strRef>
          </c:cat>
          <c:val>
            <c:numRef>
              <c:f>Analysis!$AA$45</c:f>
              <c:numCache>
                <c:formatCode>General</c:formatCode>
                <c:ptCount val="1"/>
                <c:pt idx="0">
                  <c:v>13</c:v>
                </c:pt>
              </c:numCache>
            </c:numRef>
          </c:val>
          <c:extLst>
            <c:ext xmlns:c16="http://schemas.microsoft.com/office/drawing/2014/chart" uri="{C3380CC4-5D6E-409C-BE32-E72D297353CC}">
              <c16:uniqueId val="{00000001-2561-4177-8BEC-CDB4EA7272E2}"/>
            </c:ext>
          </c:extLst>
        </c:ser>
        <c:dLbls>
          <c:showLegendKey val="0"/>
          <c:showVal val="0"/>
          <c:showCatName val="0"/>
          <c:showSerName val="0"/>
          <c:showPercent val="0"/>
          <c:showBubbleSize val="0"/>
        </c:dLbls>
        <c:gapWidth val="150"/>
        <c:overlap val="100"/>
        <c:axId val="1187118288"/>
        <c:axId val="1344061744"/>
      </c:barChart>
      <c:catAx>
        <c:axId val="1187118288"/>
        <c:scaling>
          <c:orientation val="minMax"/>
        </c:scaling>
        <c:delete val="0"/>
        <c:axPos val="b"/>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n-US"/>
          </a:p>
        </c:txPr>
        <c:crossAx val="1344061744"/>
        <c:crosses val="autoZero"/>
        <c:auto val="1"/>
        <c:lblAlgn val="ctr"/>
        <c:lblOffset val="100"/>
        <c:noMultiLvlLbl val="0"/>
      </c:catAx>
      <c:valAx>
        <c:axId val="1344061744"/>
        <c:scaling>
          <c:orientation val="minMax"/>
          <c:max val="1"/>
          <c:min val="0"/>
        </c:scaling>
        <c:delete val="0"/>
        <c:axPos val="l"/>
        <c:majorGridlines>
          <c:spPr>
            <a:ln w="9525" cap="flat" cmpd="sng" algn="ctr">
              <a:solidFill>
                <a:schemeClr val="tx2">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n-US"/>
          </a:p>
        </c:txPr>
        <c:crossAx val="1187118288"/>
        <c:crosses val="autoZero"/>
        <c:crossBetween val="between"/>
        <c:majorUnit val="0.2"/>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baseline="0">
                <a:solidFill>
                  <a:schemeClr val="tx2"/>
                </a:solidFill>
                <a:latin typeface="+mn-lt"/>
                <a:ea typeface="+mn-ea"/>
                <a:cs typeface="+mn-cs"/>
              </a:defRPr>
            </a:pPr>
            <a:r>
              <a:rPr lang="en-US" sz="1400"/>
              <a:t>Latrine in TLS/CFS (50:1)</a:t>
            </a:r>
          </a:p>
        </c:rich>
      </c:tx>
      <c:overlay val="0"/>
      <c:spPr>
        <a:noFill/>
        <a:ln>
          <a:noFill/>
        </a:ln>
        <a:effectLst/>
      </c:spPr>
      <c:txPr>
        <a:bodyPr rot="0" spcFirstLastPara="1" vertOverflow="ellipsis" vert="horz" wrap="square" anchor="ctr" anchorCtr="1"/>
        <a:lstStyle/>
        <a:p>
          <a:pPr>
            <a:defRPr sz="1400" b="1" i="0" u="none" strike="noStrike" kern="1200" baseline="0">
              <a:solidFill>
                <a:schemeClr val="tx2"/>
              </a:solidFill>
              <a:latin typeface="+mn-lt"/>
              <a:ea typeface="+mn-ea"/>
              <a:cs typeface="+mn-cs"/>
            </a:defRPr>
          </a:pPr>
          <a:endParaRPr lang="en-US"/>
        </a:p>
      </c:txPr>
    </c:title>
    <c:autoTitleDeleted val="0"/>
    <c:plotArea>
      <c:layout>
        <c:manualLayout>
          <c:layoutTarget val="inner"/>
          <c:xMode val="edge"/>
          <c:yMode val="edge"/>
          <c:x val="0.1618305313187203"/>
          <c:y val="0.29432081857844383"/>
          <c:w val="0.419629176420515"/>
          <c:h val="0.55552325240154166"/>
        </c:manualLayout>
      </c:layout>
      <c:pieChart>
        <c:varyColors val="1"/>
        <c:ser>
          <c:idx val="0"/>
          <c:order val="0"/>
          <c:dPt>
            <c:idx val="0"/>
            <c:bubble3D val="0"/>
            <c:spPr>
              <a:solidFill>
                <a:srgbClr val="7030A0"/>
              </a:solidFill>
              <a:ln>
                <a:noFill/>
              </a:ln>
              <a:effectLst/>
            </c:spPr>
            <c:extLst>
              <c:ext xmlns:c16="http://schemas.microsoft.com/office/drawing/2014/chart" uri="{C3380CC4-5D6E-409C-BE32-E72D297353CC}">
                <c16:uniqueId val="{00000001-DADE-47ED-976B-3B53C961EA1D}"/>
              </c:ext>
            </c:extLst>
          </c:dPt>
          <c:dPt>
            <c:idx val="1"/>
            <c:bubble3D val="0"/>
            <c:spPr>
              <a:solidFill>
                <a:srgbClr val="E4B6E4"/>
              </a:solidFill>
              <a:ln>
                <a:noFill/>
              </a:ln>
              <a:effectLst/>
            </c:spPr>
            <c:extLst>
              <c:ext xmlns:c16="http://schemas.microsoft.com/office/drawing/2014/chart" uri="{C3380CC4-5D6E-409C-BE32-E72D297353CC}">
                <c16:uniqueId val="{00000003-DADE-47ED-976B-3B53C961EA1D}"/>
              </c:ext>
            </c:extLst>
          </c:dPt>
          <c:dLbls>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bg1"/>
                      </a:solidFill>
                      <a:latin typeface="+mn-lt"/>
                      <a:ea typeface="+mn-ea"/>
                      <a:cs typeface="+mn-cs"/>
                    </a:defRPr>
                  </a:pPr>
                  <a:endParaRPr lang="en-US"/>
                </a:p>
              </c:txPr>
              <c:showLegendKey val="0"/>
              <c:showVal val="0"/>
              <c:showCatName val="0"/>
              <c:showSerName val="0"/>
              <c:showPercent val="1"/>
              <c:showBubbleSize val="0"/>
              <c:extLst>
                <c:ext xmlns:c16="http://schemas.microsoft.com/office/drawing/2014/chart" uri="{C3380CC4-5D6E-409C-BE32-E72D297353CC}">
                  <c16:uniqueId val="{00000001-DADE-47ED-976B-3B53C961EA1D}"/>
                </c:ext>
              </c:extLst>
            </c:dLbl>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2"/>
                    </a:solidFill>
                    <a:latin typeface="+mn-lt"/>
                    <a:ea typeface="+mn-ea"/>
                    <a:cs typeface="+mn-cs"/>
                  </a:defRPr>
                </a:pPr>
                <a:endParaRPr lang="en-US"/>
              </a:p>
            </c:txPr>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Analysis!$D$132:$E$132</c:f>
              <c:strCache>
                <c:ptCount val="2"/>
                <c:pt idx="0">
                  <c:v>Latrines in TLS/CFS</c:v>
                </c:pt>
                <c:pt idx="1">
                  <c:v>Latrine Gap</c:v>
                </c:pt>
              </c:strCache>
            </c:strRef>
          </c:cat>
          <c:val>
            <c:numRef>
              <c:f>Analysis!$D$133:$E$133</c:f>
              <c:numCache>
                <c:formatCode>_(* #,##0_);_(* \(#,##0\);_(* "-"??_);_(@_)</c:formatCode>
                <c:ptCount val="2"/>
                <c:pt idx="0">
                  <c:v>229</c:v>
                </c:pt>
                <c:pt idx="1">
                  <c:v>234.07999999999998</c:v>
                </c:pt>
              </c:numCache>
            </c:numRef>
          </c:val>
          <c:extLst>
            <c:ext xmlns:c16="http://schemas.microsoft.com/office/drawing/2014/chart" uri="{C3380CC4-5D6E-409C-BE32-E72D297353CC}">
              <c16:uniqueId val="{00000004-DADE-47ED-976B-3B53C961EA1D}"/>
            </c:ext>
          </c:extLst>
        </c:ser>
        <c:dLbls>
          <c:showLegendKey val="0"/>
          <c:showVal val="0"/>
          <c:showCatName val="0"/>
          <c:showSerName val="0"/>
          <c:showPercent val="0"/>
          <c:showBubbleSize val="0"/>
          <c:showLeaderLines val="1"/>
        </c:dLbls>
        <c:firstSliceAng val="0"/>
      </c:pieChart>
      <c:spPr>
        <a:noFill/>
        <a:ln>
          <a:noFill/>
        </a:ln>
        <a:effectLst/>
      </c:spPr>
    </c:plotArea>
    <c:legend>
      <c:legendPos val="r"/>
      <c:layout>
        <c:manualLayout>
          <c:xMode val="edge"/>
          <c:yMode val="edge"/>
          <c:x val="0.62316982336667381"/>
          <c:y val="0.28650480308336429"/>
          <c:w val="0.35458578657397555"/>
          <c:h val="0.45228415471602129"/>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2"/>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baseline="0">
                <a:solidFill>
                  <a:schemeClr val="tx2"/>
                </a:solidFill>
                <a:latin typeface="+mn-lt"/>
                <a:ea typeface="+mn-ea"/>
                <a:cs typeface="+mn-cs"/>
              </a:defRPr>
            </a:pPr>
            <a:r>
              <a:rPr lang="en-US" sz="1400"/>
              <a:t>% Sites with TLS/CFS</a:t>
            </a:r>
          </a:p>
        </c:rich>
      </c:tx>
      <c:overlay val="0"/>
      <c:spPr>
        <a:noFill/>
        <a:ln>
          <a:noFill/>
        </a:ln>
        <a:effectLst/>
      </c:spPr>
      <c:txPr>
        <a:bodyPr rot="0" spcFirstLastPara="1" vertOverflow="ellipsis" vert="horz" wrap="square" anchor="ctr" anchorCtr="1"/>
        <a:lstStyle/>
        <a:p>
          <a:pPr>
            <a:defRPr sz="1400" b="1" i="0" u="none" strike="noStrike" kern="1200" baseline="0">
              <a:solidFill>
                <a:schemeClr val="tx2"/>
              </a:solidFill>
              <a:latin typeface="+mn-lt"/>
              <a:ea typeface="+mn-ea"/>
              <a:cs typeface="+mn-cs"/>
            </a:defRPr>
          </a:pPr>
          <a:endParaRPr lang="en-US"/>
        </a:p>
      </c:txPr>
    </c:title>
    <c:autoTitleDeleted val="0"/>
    <c:plotArea>
      <c:layout>
        <c:manualLayout>
          <c:layoutTarget val="inner"/>
          <c:xMode val="edge"/>
          <c:yMode val="edge"/>
          <c:x val="0.30256167979002624"/>
          <c:y val="0.19226669582968794"/>
          <c:w val="0.41987685914260719"/>
          <c:h val="0.69979476523767858"/>
        </c:manualLayout>
      </c:layout>
      <c:pieChart>
        <c:varyColors val="1"/>
        <c:ser>
          <c:idx val="0"/>
          <c:order val="0"/>
          <c:tx>
            <c:strRef>
              <c:f>Analysis!$C$336</c:f>
              <c:strCache>
                <c:ptCount val="1"/>
                <c:pt idx="0">
                  <c:v>Central Rakhine</c:v>
                </c:pt>
              </c:strCache>
            </c:strRef>
          </c:tx>
          <c:dPt>
            <c:idx val="0"/>
            <c:bubble3D val="0"/>
            <c:spPr>
              <a:solidFill>
                <a:srgbClr val="7030A0"/>
              </a:solidFill>
              <a:ln>
                <a:noFill/>
              </a:ln>
              <a:effectLst/>
            </c:spPr>
            <c:extLst xmlns:c15="http://schemas.microsoft.com/office/drawing/2012/chart">
              <c:ext xmlns:c16="http://schemas.microsoft.com/office/drawing/2014/chart" uri="{C3380CC4-5D6E-409C-BE32-E72D297353CC}">
                <c16:uniqueId val="{00000001-0357-48A1-B938-CCFD56EA7F77}"/>
              </c:ext>
            </c:extLst>
          </c:dPt>
          <c:dPt>
            <c:idx val="1"/>
            <c:bubble3D val="0"/>
            <c:spPr>
              <a:solidFill>
                <a:srgbClr val="D692D6"/>
              </a:solidFill>
              <a:ln>
                <a:noFill/>
              </a:ln>
              <a:effectLst/>
            </c:spPr>
            <c:extLst xmlns:c15="http://schemas.microsoft.com/office/drawing/2012/chart">
              <c:ext xmlns:c16="http://schemas.microsoft.com/office/drawing/2014/chart" uri="{C3380CC4-5D6E-409C-BE32-E72D297353CC}">
                <c16:uniqueId val="{00000003-0357-48A1-B938-CCFD56EA7F77}"/>
              </c:ext>
            </c:extLst>
          </c:dPt>
          <c:dLbls>
            <c:dLbl>
              <c:idx val="1"/>
              <c:layout>
                <c:manualLayout>
                  <c:x val="2.0618984785046594E-2"/>
                  <c:y val="4.6380903019582309E-2"/>
                </c:manualLayout>
              </c:layout>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rgbClr val="44546A"/>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0357-48A1-B938-CCFD56EA7F77}"/>
                </c:ext>
              </c:extLst>
            </c:dLbl>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Analysis!$D$335:$E$335</c:f>
              <c:strCache>
                <c:ptCount val="2"/>
                <c:pt idx="0">
                  <c:v>Yes</c:v>
                </c:pt>
                <c:pt idx="1">
                  <c:v>No</c:v>
                </c:pt>
              </c:strCache>
            </c:strRef>
          </c:cat>
          <c:val>
            <c:numRef>
              <c:f>Analysis!$D$336:$E$336</c:f>
              <c:numCache>
                <c:formatCode>0%</c:formatCode>
                <c:ptCount val="2"/>
                <c:pt idx="0">
                  <c:v>0.95833333333333337</c:v>
                </c:pt>
                <c:pt idx="1">
                  <c:v>4.1666666666666664E-2</c:v>
                </c:pt>
              </c:numCache>
            </c:numRef>
          </c:val>
          <c:extLst xmlns:c15="http://schemas.microsoft.com/office/drawing/2012/chart">
            <c:ext xmlns:c16="http://schemas.microsoft.com/office/drawing/2014/chart" uri="{C3380CC4-5D6E-409C-BE32-E72D297353CC}">
              <c16:uniqueId val="{00000004-0357-48A1-B938-CCFD56EA7F77}"/>
            </c:ext>
          </c:extLst>
        </c:ser>
        <c:dLbls>
          <c:showLegendKey val="0"/>
          <c:showVal val="0"/>
          <c:showCatName val="0"/>
          <c:showSerName val="0"/>
          <c:showPercent val="0"/>
          <c:showBubbleSize val="0"/>
          <c:showLeaderLines val="1"/>
        </c:dLbls>
        <c:firstSliceAng val="0"/>
        <c:extLst/>
      </c:pieChart>
      <c:spPr>
        <a:noFill/>
        <a:ln>
          <a:noFill/>
        </a:ln>
        <a:effectLst/>
      </c:spPr>
    </c:plotArea>
    <c:legend>
      <c:legendPos val="r"/>
      <c:overlay val="0"/>
      <c:spPr>
        <a:noFill/>
        <a:ln>
          <a:noFill/>
        </a:ln>
        <a:effectLst/>
      </c:spPr>
      <c:txPr>
        <a:bodyPr rot="0" spcFirstLastPara="1" vertOverflow="ellipsis" vert="horz" wrap="square" anchor="ctr" anchorCtr="1"/>
        <a:lstStyle/>
        <a:p>
          <a:pPr rtl="0">
            <a:defRPr sz="1200" b="0" i="0" u="none" strike="noStrike" kern="1200" baseline="0">
              <a:solidFill>
                <a:schemeClr val="tx2"/>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00" b="1" i="0" u="none" strike="noStrike" kern="1200" baseline="0">
                <a:solidFill>
                  <a:schemeClr val="tx2"/>
                </a:solidFill>
                <a:latin typeface="+mn-lt"/>
                <a:ea typeface="+mn-ea"/>
                <a:cs typeface="+mn-cs"/>
              </a:defRPr>
            </a:pPr>
            <a:r>
              <a:rPr lang="en-US" sz="900"/>
              <a:t>% of Sites</a:t>
            </a:r>
            <a:r>
              <a:rPr lang="en-US" sz="900" baseline="0"/>
              <a:t> which made w</a:t>
            </a:r>
            <a:r>
              <a:rPr lang="en-US" sz="900"/>
              <a:t>ater quality test</a:t>
            </a:r>
            <a:r>
              <a:rPr lang="en-US" sz="900" baseline="0"/>
              <a:t> </a:t>
            </a:r>
          </a:p>
          <a:p>
            <a:pPr>
              <a:defRPr sz="900"/>
            </a:pPr>
            <a:r>
              <a:rPr lang="en-US" sz="900" baseline="0"/>
              <a:t>in Rakhine</a:t>
            </a:r>
            <a:endParaRPr lang="en-US" sz="900"/>
          </a:p>
        </c:rich>
      </c:tx>
      <c:overlay val="0"/>
      <c:spPr>
        <a:noFill/>
        <a:ln>
          <a:noFill/>
        </a:ln>
        <a:effectLst/>
      </c:spPr>
      <c:txPr>
        <a:bodyPr rot="0" spcFirstLastPara="1" vertOverflow="ellipsis" vert="horz" wrap="square" anchor="ctr" anchorCtr="1"/>
        <a:lstStyle/>
        <a:p>
          <a:pPr>
            <a:defRPr sz="900" b="1" i="0" u="none" strike="noStrike" kern="1200" baseline="0">
              <a:solidFill>
                <a:schemeClr val="tx2"/>
              </a:solidFill>
              <a:latin typeface="+mn-lt"/>
              <a:ea typeface="+mn-ea"/>
              <a:cs typeface="+mn-cs"/>
            </a:defRPr>
          </a:pPr>
          <a:endParaRPr lang="en-US"/>
        </a:p>
      </c:txPr>
    </c:title>
    <c:autoTitleDeleted val="0"/>
    <c:plotArea>
      <c:layout/>
      <c:pieChart>
        <c:varyColors val="1"/>
        <c:ser>
          <c:idx val="1"/>
          <c:order val="1"/>
          <c:tx>
            <c:strRef>
              <c:f>Analysis!$B$62</c:f>
              <c:strCache>
                <c:ptCount val="1"/>
                <c:pt idx="0">
                  <c:v>Rakhine</c:v>
                </c:pt>
              </c:strCache>
              <c:extLst xmlns:c15="http://schemas.microsoft.com/office/drawing/2012/chart"/>
            </c:strRef>
          </c:tx>
          <c:dPt>
            <c:idx val="0"/>
            <c:bubble3D val="0"/>
            <c:spPr>
              <a:solidFill>
                <a:schemeClr val="accent1">
                  <a:lumMod val="40000"/>
                  <a:lumOff val="60000"/>
                </a:schemeClr>
              </a:solidFill>
              <a:ln>
                <a:noFill/>
              </a:ln>
              <a:effectLst/>
            </c:spPr>
            <c:extLst>
              <c:ext xmlns:c16="http://schemas.microsoft.com/office/drawing/2014/chart" uri="{C3380CC4-5D6E-409C-BE32-E72D297353CC}">
                <c16:uniqueId val="{00000001-FD78-4584-8A9F-AE81D870BE41}"/>
              </c:ext>
            </c:extLst>
          </c:dPt>
          <c:dPt>
            <c:idx val="1"/>
            <c:bubble3D val="0"/>
            <c:spPr>
              <a:solidFill>
                <a:srgbClr val="0070C0"/>
              </a:solidFill>
              <a:ln>
                <a:noFill/>
              </a:ln>
              <a:effectLst/>
            </c:spPr>
            <c:extLst>
              <c:ext xmlns:c16="http://schemas.microsoft.com/office/drawing/2014/chart" uri="{C3380CC4-5D6E-409C-BE32-E72D297353CC}">
                <c16:uniqueId val="{00000003-FD78-4584-8A9F-AE81D870BE41}"/>
              </c:ext>
            </c:extLst>
          </c:dPt>
          <c:dLbls>
            <c:dLbl>
              <c:idx val="1"/>
              <c:spPr>
                <a:noFill/>
                <a:ln>
                  <a:noFill/>
                </a:ln>
                <a:effectLst/>
              </c:spPr>
              <c:txPr>
                <a:bodyPr rot="0" spcFirstLastPara="1" vertOverflow="ellipsis" vert="horz" wrap="square" lIns="38100" tIns="19050" rIns="38100" bIns="19050" anchor="ctr" anchorCtr="1">
                  <a:spAutoFit/>
                </a:bodyPr>
                <a:lstStyle/>
                <a:p>
                  <a:pPr>
                    <a:defRPr sz="800" b="1" i="0" u="none" strike="noStrike" kern="1200" baseline="0">
                      <a:solidFill>
                        <a:schemeClr val="bg1"/>
                      </a:solidFill>
                      <a:latin typeface="+mn-lt"/>
                      <a:ea typeface="+mn-ea"/>
                      <a:cs typeface="+mn-cs"/>
                    </a:defRPr>
                  </a:pPr>
                  <a:endParaRPr lang="en-US"/>
                </a:p>
              </c:txPr>
              <c:showLegendKey val="0"/>
              <c:showVal val="0"/>
              <c:showCatName val="0"/>
              <c:showSerName val="0"/>
              <c:showPercent val="1"/>
              <c:showBubbleSize val="0"/>
              <c:extLst>
                <c:ext xmlns:c16="http://schemas.microsoft.com/office/drawing/2014/chart" uri="{C3380CC4-5D6E-409C-BE32-E72D297353CC}">
                  <c16:uniqueId val="{00000003-FD78-4584-8A9F-AE81D870BE41}"/>
                </c:ext>
              </c:extLst>
            </c:dLbl>
            <c:spPr>
              <a:noFill/>
              <a:ln>
                <a:noFill/>
              </a:ln>
              <a:effectLst/>
            </c:spPr>
            <c:txPr>
              <a:bodyPr rot="0" spcFirstLastPara="1" vertOverflow="ellipsis" vert="horz" wrap="square" lIns="38100" tIns="19050" rIns="38100" bIns="19050" anchor="ctr" anchorCtr="1">
                <a:spAutoFit/>
              </a:bodyPr>
              <a:lstStyle/>
              <a:p>
                <a:pPr>
                  <a:defRPr sz="800" b="1" i="0" u="none" strike="noStrike" kern="1200" baseline="0">
                    <a:solidFill>
                      <a:schemeClr val="tx2"/>
                    </a:solidFill>
                    <a:latin typeface="+mn-lt"/>
                    <a:ea typeface="+mn-ea"/>
                    <a:cs typeface="+mn-cs"/>
                  </a:defRPr>
                </a:pPr>
                <a:endParaRPr lang="en-US"/>
              </a:p>
            </c:txPr>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Analysis!$C$60:$D$60</c:f>
              <c:strCache>
                <c:ptCount val="2"/>
                <c:pt idx="0">
                  <c:v>No Test</c:v>
                </c:pt>
                <c:pt idx="1">
                  <c:v>Tested</c:v>
                </c:pt>
              </c:strCache>
              <c:extLst xmlns:c15="http://schemas.microsoft.com/office/drawing/2012/chart"/>
            </c:strRef>
          </c:cat>
          <c:val>
            <c:numRef>
              <c:f>Analysis!$C$62:$D$62</c:f>
              <c:numCache>
                <c:formatCode>General</c:formatCode>
                <c:ptCount val="2"/>
                <c:pt idx="0">
                  <c:v>8</c:v>
                </c:pt>
                <c:pt idx="1">
                  <c:v>16</c:v>
                </c:pt>
              </c:numCache>
              <c:extLst xmlns:c15="http://schemas.microsoft.com/office/drawing/2012/chart"/>
            </c:numRef>
          </c:val>
          <c:extLst>
            <c:ext xmlns:c16="http://schemas.microsoft.com/office/drawing/2014/chart" uri="{C3380CC4-5D6E-409C-BE32-E72D297353CC}">
              <c16:uniqueId val="{00000004-FD78-4584-8A9F-AE81D870BE41}"/>
            </c:ext>
          </c:extLst>
        </c:ser>
        <c:dLbls>
          <c:showLegendKey val="0"/>
          <c:showVal val="0"/>
          <c:showCatName val="0"/>
          <c:showSerName val="0"/>
          <c:showPercent val="0"/>
          <c:showBubbleSize val="0"/>
          <c:showLeaderLines val="1"/>
        </c:dLbls>
        <c:firstSliceAng val="0"/>
        <c:extLst>
          <c:ext xmlns:c15="http://schemas.microsoft.com/office/drawing/2012/chart" uri="{02D57815-91ED-43cb-92C2-25804820EDAC}">
            <c15:filteredPieSeries>
              <c15:ser>
                <c:idx val="0"/>
                <c:order val="0"/>
                <c:tx>
                  <c:strRef>
                    <c:extLst>
                      <c:ext uri="{02D57815-91ED-43cb-92C2-25804820EDAC}">
                        <c15:formulaRef>
                          <c15:sqref>Analysis!$B$61</c15:sqref>
                        </c15:formulaRef>
                      </c:ext>
                    </c:extLst>
                    <c:strCache>
                      <c:ptCount val="1"/>
                    </c:strCache>
                  </c:strRef>
                </c:tx>
                <c:dPt>
                  <c:idx val="0"/>
                  <c:bubble3D val="0"/>
                  <c:spPr>
                    <a:solidFill>
                      <a:schemeClr val="accent1">
                        <a:lumMod val="40000"/>
                        <a:lumOff val="60000"/>
                      </a:schemeClr>
                    </a:solidFill>
                    <a:ln>
                      <a:noFill/>
                    </a:ln>
                    <a:effectLst/>
                  </c:spPr>
                  <c:extLst>
                    <c:ext xmlns:c16="http://schemas.microsoft.com/office/drawing/2014/chart" uri="{C3380CC4-5D6E-409C-BE32-E72D297353CC}">
                      <c16:uniqueId val="{00000006-FD78-4584-8A9F-AE81D870BE41}"/>
                    </c:ext>
                  </c:extLst>
                </c:dPt>
                <c:dPt>
                  <c:idx val="1"/>
                  <c:bubble3D val="0"/>
                  <c:spPr>
                    <a:solidFill>
                      <a:srgbClr val="0070C0"/>
                    </a:solidFill>
                    <a:ln>
                      <a:noFill/>
                    </a:ln>
                    <a:effectLst/>
                  </c:spPr>
                  <c:extLst>
                    <c:ext xmlns:c16="http://schemas.microsoft.com/office/drawing/2014/chart" uri="{C3380CC4-5D6E-409C-BE32-E72D297353CC}">
                      <c16:uniqueId val="{00000008-FD78-4584-8A9F-AE81D870BE41}"/>
                    </c:ext>
                  </c:extLst>
                </c:dPt>
                <c:dLbls>
                  <c:dLbl>
                    <c:idx val="0"/>
                    <c:spPr>
                      <a:noFill/>
                      <a:ln>
                        <a:noFill/>
                      </a:ln>
                      <a:effectLst/>
                    </c:spPr>
                    <c:txPr>
                      <a:bodyPr rot="0" spcFirstLastPara="1" vertOverflow="ellipsis" vert="horz" wrap="square" lIns="38100" tIns="19050" rIns="38100" bIns="19050" anchor="ctr" anchorCtr="1">
                        <a:spAutoFit/>
                      </a:bodyPr>
                      <a:lstStyle/>
                      <a:p>
                        <a:pPr>
                          <a:defRPr sz="800" b="1" i="0" u="none" strike="noStrike" kern="1200" baseline="0">
                            <a:solidFill>
                              <a:schemeClr val="tx2"/>
                            </a:solidFill>
                            <a:latin typeface="+mn-lt"/>
                            <a:ea typeface="+mn-ea"/>
                            <a:cs typeface="+mn-cs"/>
                          </a:defRPr>
                        </a:pPr>
                        <a:endParaRPr lang="en-US"/>
                      </a:p>
                    </c:txPr>
                    <c:showLegendKey val="0"/>
                    <c:showVal val="0"/>
                    <c:showCatName val="0"/>
                    <c:showSerName val="0"/>
                    <c:showPercent val="1"/>
                    <c:showBubbleSize val="0"/>
                    <c:extLst>
                      <c:ext xmlns:c16="http://schemas.microsoft.com/office/drawing/2014/chart" uri="{C3380CC4-5D6E-409C-BE32-E72D297353CC}">
                        <c16:uniqueId val="{00000006-FD78-4584-8A9F-AE81D870BE41}"/>
                      </c:ext>
                    </c:extLst>
                  </c:dLbl>
                  <c:dLbl>
                    <c:idx val="1"/>
                    <c:spPr>
                      <a:noFill/>
                      <a:ln>
                        <a:noFill/>
                      </a:ln>
                      <a:effectLst/>
                    </c:spPr>
                    <c:txPr>
                      <a:bodyPr rot="0" spcFirstLastPara="1" vertOverflow="ellipsis" vert="horz" wrap="square" lIns="38100" tIns="19050" rIns="38100" bIns="19050" anchor="ctr" anchorCtr="1">
                        <a:spAutoFit/>
                      </a:bodyPr>
                      <a:lstStyle/>
                      <a:p>
                        <a:pPr>
                          <a:defRPr sz="800" b="1" i="0" u="none" strike="noStrike" kern="1200" baseline="0">
                            <a:solidFill>
                              <a:schemeClr val="bg1"/>
                            </a:solidFill>
                            <a:latin typeface="+mn-lt"/>
                            <a:ea typeface="+mn-ea"/>
                            <a:cs typeface="+mn-cs"/>
                          </a:defRPr>
                        </a:pPr>
                        <a:endParaRPr lang="en-US"/>
                      </a:p>
                    </c:txPr>
                    <c:showLegendKey val="0"/>
                    <c:showVal val="0"/>
                    <c:showCatName val="0"/>
                    <c:showSerName val="0"/>
                    <c:showPercent val="1"/>
                    <c:showBubbleSize val="0"/>
                    <c:extLst>
                      <c:ext xmlns:c16="http://schemas.microsoft.com/office/drawing/2014/chart" uri="{C3380CC4-5D6E-409C-BE32-E72D297353CC}">
                        <c16:uniqueId val="{00000008-FD78-4584-8A9F-AE81D870BE41}"/>
                      </c:ext>
                    </c:extLst>
                  </c:dLbl>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2"/>
                          </a:solidFill>
                          <a:latin typeface="+mn-lt"/>
                          <a:ea typeface="+mn-ea"/>
                          <a:cs typeface="+mn-cs"/>
                        </a:defRPr>
                      </a:pPr>
                      <a:endParaRPr lang="en-US"/>
                    </a:p>
                  </c:txPr>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uri="{CE6537A1-D6FC-4f65-9D91-7224C49458BB}"/>
                  </c:extLst>
                </c:dLbls>
                <c:cat>
                  <c:strRef>
                    <c:extLst>
                      <c:ext uri="{02D57815-91ED-43cb-92C2-25804820EDAC}">
                        <c15:formulaRef>
                          <c15:sqref>Analysis!$C$60:$D$60</c15:sqref>
                        </c15:formulaRef>
                      </c:ext>
                    </c:extLst>
                    <c:strCache>
                      <c:ptCount val="2"/>
                      <c:pt idx="0">
                        <c:v>No Test</c:v>
                      </c:pt>
                      <c:pt idx="1">
                        <c:v>Tested</c:v>
                      </c:pt>
                    </c:strCache>
                  </c:strRef>
                </c:cat>
                <c:val>
                  <c:numRef>
                    <c:extLst>
                      <c:ext uri="{02D57815-91ED-43cb-92C2-25804820EDAC}">
                        <c15:formulaRef>
                          <c15:sqref>Analysis!$C$61:$D$61</c15:sqref>
                        </c15:formulaRef>
                      </c:ext>
                    </c:extLst>
                    <c:numCache>
                      <c:formatCode>General</c:formatCode>
                      <c:ptCount val="2"/>
                    </c:numCache>
                  </c:numRef>
                </c:val>
                <c:extLst>
                  <c:ext xmlns:c16="http://schemas.microsoft.com/office/drawing/2014/chart" uri="{C3380CC4-5D6E-409C-BE32-E72D297353CC}">
                    <c16:uniqueId val="{00000009-FD78-4584-8A9F-AE81D870BE41}"/>
                  </c:ext>
                </c:extLst>
              </c15:ser>
            </c15:filteredPieSeries>
            <c15:filteredPieSeries>
              <c15:ser>
                <c:idx val="2"/>
                <c:order val="2"/>
                <c:tx>
                  <c:strRef>
                    <c:extLst xmlns:c15="http://schemas.microsoft.com/office/drawing/2012/chart">
                      <c:ext xmlns:c15="http://schemas.microsoft.com/office/drawing/2012/chart" uri="{02D57815-91ED-43cb-92C2-25804820EDAC}">
                        <c15:formulaRef>
                          <c15:sqref>Analysis!$B$63</c15:sqref>
                        </c15:formulaRef>
                      </c:ext>
                    </c:extLst>
                    <c:strCache>
                      <c:ptCount val="1"/>
                    </c:strCache>
                  </c:strRef>
                </c:tx>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extLst xmlns:c15="http://schemas.microsoft.com/office/drawing/2012/chart">
                    <c:ext xmlns:c16="http://schemas.microsoft.com/office/drawing/2014/chart" uri="{C3380CC4-5D6E-409C-BE32-E72D297353CC}">
                      <c16:uniqueId val="{0000000B-FD78-4584-8A9F-AE81D870BE41}"/>
                    </c:ext>
                  </c:extLst>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c:spPr>
                  <c:extLst xmlns:c15="http://schemas.microsoft.com/office/drawing/2012/chart">
                    <c:ext xmlns:c16="http://schemas.microsoft.com/office/drawing/2014/chart" uri="{C3380CC4-5D6E-409C-BE32-E72D297353CC}">
                      <c16:uniqueId val="{0000000D-FD78-4584-8A9F-AE81D870BE41}"/>
                    </c:ext>
                  </c:extLst>
                </c:dPt>
                <c:cat>
                  <c:strRef>
                    <c:extLst xmlns:c15="http://schemas.microsoft.com/office/drawing/2012/chart">
                      <c:ext xmlns:c15="http://schemas.microsoft.com/office/drawing/2012/chart" uri="{02D57815-91ED-43cb-92C2-25804820EDAC}">
                        <c15:formulaRef>
                          <c15:sqref>Analysis!$C$60:$D$60</c15:sqref>
                        </c15:formulaRef>
                      </c:ext>
                    </c:extLst>
                    <c:strCache>
                      <c:ptCount val="2"/>
                      <c:pt idx="0">
                        <c:v>No Test</c:v>
                      </c:pt>
                      <c:pt idx="1">
                        <c:v>Tested</c:v>
                      </c:pt>
                    </c:strCache>
                  </c:strRef>
                </c:cat>
                <c:val>
                  <c:numRef>
                    <c:extLst xmlns:c15="http://schemas.microsoft.com/office/drawing/2012/chart">
                      <c:ext xmlns:c15="http://schemas.microsoft.com/office/drawing/2012/chart" uri="{02D57815-91ED-43cb-92C2-25804820EDAC}">
                        <c15:formulaRef>
                          <c15:sqref>Analysis!$C$63:$D$63</c15:sqref>
                        </c15:formulaRef>
                      </c:ext>
                    </c:extLst>
                    <c:numCache>
                      <c:formatCode>General</c:formatCode>
                      <c:ptCount val="2"/>
                    </c:numCache>
                  </c:numRef>
                </c:val>
                <c:extLst xmlns:c15="http://schemas.microsoft.com/office/drawing/2012/chart">
                  <c:ext xmlns:c16="http://schemas.microsoft.com/office/drawing/2014/chart" uri="{C3380CC4-5D6E-409C-BE32-E72D297353CC}">
                    <c16:uniqueId val="{0000000E-FD78-4584-8A9F-AE81D870BE41}"/>
                  </c:ext>
                </c:extLst>
              </c15:ser>
            </c15:filteredPieSeries>
          </c:ext>
        </c:extLst>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chemeClr val="tx2"/>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baseline="0">
                <a:solidFill>
                  <a:schemeClr val="tx2"/>
                </a:solidFill>
                <a:latin typeface="+mn-lt"/>
                <a:ea typeface="+mn-ea"/>
                <a:cs typeface="+mn-cs"/>
              </a:defRPr>
            </a:pPr>
            <a:r>
              <a:rPr lang="en-US" sz="1200"/>
              <a:t>% of TLS/CFS with a designated place for children to wash hands where soap is available</a:t>
            </a:r>
          </a:p>
        </c:rich>
      </c:tx>
      <c:layout>
        <c:manualLayout>
          <c:xMode val="edge"/>
          <c:yMode val="edge"/>
          <c:x val="0.16163194444444443"/>
          <c:y val="2.6709401709401708E-2"/>
        </c:manualLayout>
      </c:layout>
      <c:overlay val="0"/>
      <c:spPr>
        <a:noFill/>
        <a:ln>
          <a:noFill/>
        </a:ln>
        <a:effectLst/>
      </c:spPr>
      <c:txPr>
        <a:bodyPr rot="0" spcFirstLastPara="1" vertOverflow="ellipsis" vert="horz" wrap="square" anchor="ctr" anchorCtr="1"/>
        <a:lstStyle/>
        <a:p>
          <a:pPr>
            <a:defRPr sz="1200" b="1" i="0" u="none" strike="noStrike" kern="1200" baseline="0">
              <a:solidFill>
                <a:schemeClr val="tx2"/>
              </a:solidFill>
              <a:latin typeface="+mn-lt"/>
              <a:ea typeface="+mn-ea"/>
              <a:cs typeface="+mn-cs"/>
            </a:defRPr>
          </a:pPr>
          <a:endParaRPr lang="en-US"/>
        </a:p>
      </c:txPr>
    </c:title>
    <c:autoTitleDeleted val="0"/>
    <c:plotArea>
      <c:layout>
        <c:manualLayout>
          <c:layoutTarget val="inner"/>
          <c:xMode val="edge"/>
          <c:yMode val="edge"/>
          <c:x val="0.22374618713201391"/>
          <c:y val="0.32324604863690815"/>
          <c:w val="0.40551843026200673"/>
          <c:h val="0.55034665602215971"/>
        </c:manualLayout>
      </c:layout>
      <c:pieChart>
        <c:varyColors val="1"/>
        <c:ser>
          <c:idx val="0"/>
          <c:order val="0"/>
          <c:tx>
            <c:strRef>
              <c:f>Analysis!$C$350</c:f>
              <c:strCache>
                <c:ptCount val="1"/>
                <c:pt idx="0">
                  <c:v>Average of % of TLS/CFS with a designated place for children to wash hands where soap is available</c:v>
                </c:pt>
              </c:strCache>
            </c:strRef>
          </c:tx>
          <c:dPt>
            <c:idx val="0"/>
            <c:bubble3D val="0"/>
            <c:spPr>
              <a:solidFill>
                <a:srgbClr val="7030A0"/>
              </a:solidFill>
              <a:ln>
                <a:noFill/>
              </a:ln>
              <a:effectLst/>
            </c:spPr>
            <c:extLst>
              <c:ext xmlns:c16="http://schemas.microsoft.com/office/drawing/2014/chart" uri="{C3380CC4-5D6E-409C-BE32-E72D297353CC}">
                <c16:uniqueId val="{00000001-1C02-478A-9DAD-C21528EE50DD}"/>
              </c:ext>
            </c:extLst>
          </c:dPt>
          <c:dPt>
            <c:idx val="1"/>
            <c:bubble3D val="0"/>
            <c:spPr>
              <a:solidFill>
                <a:srgbClr val="D692D6"/>
              </a:solidFill>
              <a:ln>
                <a:noFill/>
              </a:ln>
              <a:effectLst/>
            </c:spPr>
            <c:extLst>
              <c:ext xmlns:c16="http://schemas.microsoft.com/office/drawing/2014/chart" uri="{C3380CC4-5D6E-409C-BE32-E72D297353CC}">
                <c16:uniqueId val="{00000003-1C02-478A-9DAD-C21528EE50DD}"/>
              </c:ext>
            </c:extLst>
          </c:dPt>
          <c:dLbls>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extLst>
                <c:ext xmlns:c16="http://schemas.microsoft.com/office/drawing/2014/chart" uri="{C3380CC4-5D6E-409C-BE32-E72D297353CC}">
                  <c16:uniqueId val="{00000001-1C02-478A-9DAD-C21528EE50DD}"/>
                </c:ext>
              </c:extLst>
            </c:dLbl>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2"/>
                    </a:solidFill>
                    <a:latin typeface="+mn-lt"/>
                    <a:ea typeface="+mn-ea"/>
                    <a:cs typeface="+mn-cs"/>
                  </a:defRPr>
                </a:pPr>
                <a:endParaRPr lang="en-US"/>
              </a:p>
            </c:txPr>
            <c:showLegendKey val="0"/>
            <c:showVal val="1"/>
            <c:showCatName val="0"/>
            <c:showSerName val="0"/>
            <c:showPercent val="0"/>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Analysis!$D$349:$E$349</c:f>
              <c:strCache>
                <c:ptCount val="2"/>
                <c:pt idx="0">
                  <c:v>Yes</c:v>
                </c:pt>
                <c:pt idx="1">
                  <c:v>No</c:v>
                </c:pt>
              </c:strCache>
            </c:strRef>
          </c:cat>
          <c:val>
            <c:numRef>
              <c:f>Analysis!$D$350:$E$350</c:f>
              <c:numCache>
                <c:formatCode>0%</c:formatCode>
                <c:ptCount val="2"/>
                <c:pt idx="0">
                  <c:v>0.37220815195884444</c:v>
                </c:pt>
                <c:pt idx="1">
                  <c:v>0.62779184804115551</c:v>
                </c:pt>
              </c:numCache>
            </c:numRef>
          </c:val>
          <c:extLst>
            <c:ext xmlns:c16="http://schemas.microsoft.com/office/drawing/2014/chart" uri="{C3380CC4-5D6E-409C-BE32-E72D297353CC}">
              <c16:uniqueId val="{00000004-1C02-478A-9DAD-C21528EE50DD}"/>
            </c:ext>
          </c:extLst>
        </c:ser>
        <c:dLbls>
          <c:showLegendKey val="0"/>
          <c:showVal val="0"/>
          <c:showCatName val="0"/>
          <c:showSerName val="0"/>
          <c:showPercent val="0"/>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1200" b="0" i="0" u="none" strike="noStrike" kern="1200" baseline="0">
              <a:solidFill>
                <a:schemeClr val="tx2"/>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en-US"/>
              <a:t>AAP - Partner reported</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en-US"/>
        </a:p>
      </c:txPr>
    </c:title>
    <c:autoTitleDeleted val="0"/>
    <c:plotArea>
      <c:layout>
        <c:manualLayout>
          <c:layoutTarget val="inner"/>
          <c:xMode val="edge"/>
          <c:yMode val="edge"/>
          <c:x val="0.47016283710378648"/>
          <c:y val="0.17668883000699606"/>
          <c:w val="0.49090190668175759"/>
          <c:h val="0.60629156610008361"/>
        </c:manualLayout>
      </c:layout>
      <c:barChart>
        <c:barDir val="bar"/>
        <c:grouping val="percentStacked"/>
        <c:varyColors val="0"/>
        <c:ser>
          <c:idx val="0"/>
          <c:order val="0"/>
          <c:tx>
            <c:strRef>
              <c:f>Analysis!$D$368</c:f>
              <c:strCache>
                <c:ptCount val="1"/>
                <c:pt idx="0">
                  <c:v>Yes</c:v>
                </c:pt>
              </c:strCache>
            </c:strRef>
          </c:tx>
          <c:spPr>
            <a:solidFill>
              <a:schemeClr val="accent4">
                <a:lumMod val="7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Analysis!$C$369:$C$372</c:f>
              <c:strCache>
                <c:ptCount val="4"/>
                <c:pt idx="0">
                  <c:v>% of affected people surveyed who report feeling satistfied with the latrine design and sanitation service</c:v>
                </c:pt>
                <c:pt idx="1">
                  <c:v>% of affected people surveyed who report feeling satistfied with the water point design and water service</c:v>
                </c:pt>
                <c:pt idx="2">
                  <c:v>% of complaints received that result in timely corrective action and feedback to the community</c:v>
                </c:pt>
                <c:pt idx="3">
                  <c:v>% of affected people surveyed who report feeling informed about the different WASH services available to them</c:v>
                </c:pt>
              </c:strCache>
            </c:strRef>
          </c:cat>
          <c:val>
            <c:numRef>
              <c:f>Analysis!$D$369:$D$372</c:f>
              <c:numCache>
                <c:formatCode>0%</c:formatCode>
                <c:ptCount val="4"/>
                <c:pt idx="0">
                  <c:v>0.94</c:v>
                </c:pt>
                <c:pt idx="1">
                  <c:v>1</c:v>
                </c:pt>
                <c:pt idx="2">
                  <c:v>0.71399999999999997</c:v>
                </c:pt>
                <c:pt idx="3">
                  <c:v>0.4880000000000001</c:v>
                </c:pt>
              </c:numCache>
            </c:numRef>
          </c:val>
          <c:extLst>
            <c:ext xmlns:c16="http://schemas.microsoft.com/office/drawing/2014/chart" uri="{C3380CC4-5D6E-409C-BE32-E72D297353CC}">
              <c16:uniqueId val="{00000000-A093-4252-A27B-DB5B8C623703}"/>
            </c:ext>
          </c:extLst>
        </c:ser>
        <c:ser>
          <c:idx val="1"/>
          <c:order val="1"/>
          <c:tx>
            <c:strRef>
              <c:f>Analysis!$E$368</c:f>
              <c:strCache>
                <c:ptCount val="1"/>
                <c:pt idx="0">
                  <c:v>No</c:v>
                </c:pt>
              </c:strCache>
            </c:strRef>
          </c:tx>
          <c:spPr>
            <a:solidFill>
              <a:schemeClr val="accent4">
                <a:lumMod val="40000"/>
                <a:lumOff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2"/>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Analysis!$C$369:$C$372</c:f>
              <c:strCache>
                <c:ptCount val="4"/>
                <c:pt idx="0">
                  <c:v>% of affected people surveyed who report feeling satistfied with the latrine design and sanitation service</c:v>
                </c:pt>
                <c:pt idx="1">
                  <c:v>% of affected people surveyed who report feeling satistfied with the water point design and water service</c:v>
                </c:pt>
                <c:pt idx="2">
                  <c:v>% of complaints received that result in timely corrective action and feedback to the community</c:v>
                </c:pt>
                <c:pt idx="3">
                  <c:v>% of affected people surveyed who report feeling informed about the different WASH services available to them</c:v>
                </c:pt>
              </c:strCache>
            </c:strRef>
          </c:cat>
          <c:val>
            <c:numRef>
              <c:f>Analysis!$E$369:$E$372</c:f>
              <c:numCache>
                <c:formatCode>0%</c:formatCode>
                <c:ptCount val="4"/>
                <c:pt idx="0">
                  <c:v>6.0000000000000053E-2</c:v>
                </c:pt>
                <c:pt idx="1">
                  <c:v>0</c:v>
                </c:pt>
                <c:pt idx="2">
                  <c:v>0.28600000000000003</c:v>
                </c:pt>
                <c:pt idx="3">
                  <c:v>0.5119999999999999</c:v>
                </c:pt>
              </c:numCache>
            </c:numRef>
          </c:val>
          <c:extLst>
            <c:ext xmlns:c16="http://schemas.microsoft.com/office/drawing/2014/chart" uri="{C3380CC4-5D6E-409C-BE32-E72D297353CC}">
              <c16:uniqueId val="{00000001-A093-4252-A27B-DB5B8C623703}"/>
            </c:ext>
          </c:extLst>
        </c:ser>
        <c:dLbls>
          <c:showLegendKey val="0"/>
          <c:showVal val="0"/>
          <c:showCatName val="0"/>
          <c:showSerName val="0"/>
          <c:showPercent val="0"/>
          <c:showBubbleSize val="0"/>
        </c:dLbls>
        <c:gapWidth val="150"/>
        <c:overlap val="100"/>
        <c:axId val="782142527"/>
        <c:axId val="777875167"/>
      </c:barChart>
      <c:catAx>
        <c:axId val="782142527"/>
        <c:scaling>
          <c:orientation val="minMax"/>
        </c:scaling>
        <c:delete val="0"/>
        <c:axPos val="l"/>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2"/>
                </a:solidFill>
                <a:latin typeface="+mn-lt"/>
                <a:ea typeface="+mn-ea"/>
                <a:cs typeface="+mn-cs"/>
              </a:defRPr>
            </a:pPr>
            <a:endParaRPr lang="en-US"/>
          </a:p>
        </c:txPr>
        <c:crossAx val="777875167"/>
        <c:crosses val="autoZero"/>
        <c:auto val="1"/>
        <c:lblAlgn val="ctr"/>
        <c:lblOffset val="100"/>
        <c:noMultiLvlLbl val="0"/>
      </c:catAx>
      <c:valAx>
        <c:axId val="777875167"/>
        <c:scaling>
          <c:orientation val="minMax"/>
        </c:scaling>
        <c:delete val="0"/>
        <c:axPos val="b"/>
        <c:majorGridlines>
          <c:spPr>
            <a:ln w="9525" cap="flat" cmpd="sng" algn="ctr">
              <a:solidFill>
                <a:schemeClr val="tx2">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2"/>
                </a:solidFill>
                <a:latin typeface="+mn-lt"/>
                <a:ea typeface="+mn-ea"/>
                <a:cs typeface="+mn-cs"/>
              </a:defRPr>
            </a:pPr>
            <a:endParaRPr lang="en-US"/>
          </a:p>
        </c:txPr>
        <c:crossAx val="782142527"/>
        <c:crosses val="autoZero"/>
        <c:crossBetween val="between"/>
      </c:valAx>
      <c:spPr>
        <a:noFill/>
        <a:ln>
          <a:noFill/>
        </a:ln>
        <a:effectLst/>
      </c:spPr>
    </c:plotArea>
    <c:legend>
      <c:legendPos val="b"/>
      <c:layout>
        <c:manualLayout>
          <c:xMode val="edge"/>
          <c:yMode val="edge"/>
          <c:x val="0.6512923628195747"/>
          <c:y val="0.88502684303875823"/>
          <c:w val="0.12638300015927595"/>
          <c:h val="0.11497315696124173"/>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2"/>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n-US"/>
    </a:p>
  </c:txPr>
  <c:printSettings>
    <c:headerFooter/>
    <c:pageMargins b="0.75" l="0.7" r="0.7" t="0.75" header="0.3" footer="0.3"/>
    <c:pageSetup orientation="portrait"/>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8"/>
    </mc:Choice>
    <mc:Fallback>
      <c:style val="8"/>
    </mc:Fallback>
  </mc:AlternateContent>
  <c:chart>
    <c:title>
      <c:tx>
        <c:rich>
          <a:bodyPr rot="0" spcFirstLastPara="1" vertOverflow="ellipsis" vert="horz" wrap="square" anchor="ctr" anchorCtr="1"/>
          <a:lstStyle/>
          <a:p>
            <a:pPr>
              <a:defRPr sz="1400" b="1" i="0" u="none" strike="noStrike" kern="1200" baseline="0">
                <a:solidFill>
                  <a:schemeClr val="tx2"/>
                </a:solidFill>
                <a:latin typeface="+mn-lt"/>
                <a:ea typeface="+mn-ea"/>
                <a:cs typeface="+mn-cs"/>
              </a:defRPr>
            </a:pPr>
            <a:r>
              <a:rPr lang="en-US" sz="1400" b="1" i="0" baseline="0">
                <a:effectLst/>
              </a:rPr>
              <a:t>Hygiene Coverage </a:t>
            </a:r>
            <a:endParaRPr lang="en-US" sz="1400">
              <a:effectLst/>
            </a:endParaRPr>
          </a:p>
        </c:rich>
      </c:tx>
      <c:overlay val="0"/>
      <c:spPr>
        <a:noFill/>
        <a:ln>
          <a:noFill/>
        </a:ln>
        <a:effectLst/>
      </c:spPr>
      <c:txPr>
        <a:bodyPr rot="0" spcFirstLastPara="1" vertOverflow="ellipsis" vert="horz" wrap="square" anchor="ctr" anchorCtr="1"/>
        <a:lstStyle/>
        <a:p>
          <a:pPr>
            <a:defRPr sz="1400" b="1" i="0" u="none" strike="noStrike" kern="1200" baseline="0">
              <a:solidFill>
                <a:schemeClr val="tx2"/>
              </a:solidFill>
              <a:latin typeface="+mn-lt"/>
              <a:ea typeface="+mn-ea"/>
              <a:cs typeface="+mn-cs"/>
            </a:defRPr>
          </a:pPr>
          <a:endParaRPr lang="en-US"/>
        </a:p>
      </c:txPr>
    </c:title>
    <c:autoTitleDeleted val="0"/>
    <c:plotArea>
      <c:layout>
        <c:manualLayout>
          <c:layoutTarget val="inner"/>
          <c:xMode val="edge"/>
          <c:yMode val="edge"/>
          <c:x val="0.10219866574296047"/>
          <c:y val="0.1768920122290806"/>
          <c:w val="0.87251225217106865"/>
          <c:h val="0.48433366593957394"/>
        </c:manualLayout>
      </c:layout>
      <c:barChart>
        <c:barDir val="col"/>
        <c:grouping val="percentStacked"/>
        <c:varyColors val="0"/>
        <c:ser>
          <c:idx val="0"/>
          <c:order val="0"/>
          <c:tx>
            <c:strRef>
              <c:f>Analysis!$I$187</c:f>
              <c:strCache>
                <c:ptCount val="1"/>
                <c:pt idx="0">
                  <c:v>Covered</c:v>
                </c:pt>
              </c:strCache>
            </c:strRef>
          </c:tx>
          <c:spPr>
            <a:solidFill>
              <a:schemeClr val="accent6">
                <a:lumMod val="75000"/>
              </a:schemeClr>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Analysis!$H$188:$H$190</c:f>
              <c:strCache>
                <c:ptCount val="3"/>
                <c:pt idx="0">
                  <c:v>#HH reached by regular dedicated hygiene promotion</c:v>
                </c:pt>
                <c:pt idx="1">
                  <c:v># HH received soaps</c:v>
                </c:pt>
                <c:pt idx="2">
                  <c:v># HH received Sanitary Pads</c:v>
                </c:pt>
              </c:strCache>
            </c:strRef>
          </c:cat>
          <c:val>
            <c:numRef>
              <c:f>Analysis!$I$188:$I$190</c:f>
              <c:numCache>
                <c:formatCode>_(* #,##0_);_(* \(#,##0\);_(* "-"??_);_(@_)</c:formatCode>
                <c:ptCount val="3"/>
                <c:pt idx="0">
                  <c:v>14266</c:v>
                </c:pt>
                <c:pt idx="1">
                  <c:v>23805</c:v>
                </c:pt>
                <c:pt idx="2">
                  <c:v>14856</c:v>
                </c:pt>
              </c:numCache>
            </c:numRef>
          </c:val>
          <c:extLst>
            <c:ext xmlns:c16="http://schemas.microsoft.com/office/drawing/2014/chart" uri="{C3380CC4-5D6E-409C-BE32-E72D297353CC}">
              <c16:uniqueId val="{00000000-F5FF-4313-84A4-722007FD5F1B}"/>
            </c:ext>
          </c:extLst>
        </c:ser>
        <c:ser>
          <c:idx val="1"/>
          <c:order val="1"/>
          <c:tx>
            <c:strRef>
              <c:f>Analysis!$J$187</c:f>
              <c:strCache>
                <c:ptCount val="1"/>
                <c:pt idx="0">
                  <c:v>Gap</c:v>
                </c:pt>
              </c:strCache>
            </c:strRef>
          </c:tx>
          <c:spPr>
            <a:solidFill>
              <a:schemeClr val="accent6">
                <a:lumMod val="40000"/>
                <a:lumOff val="60000"/>
              </a:schemeClr>
            </a:solidFill>
            <a:ln>
              <a:noFill/>
            </a:ln>
            <a:effectLst/>
          </c:spPr>
          <c:invertIfNegative val="0"/>
          <c:dLbls>
            <c:dLbl>
              <c:idx val="1"/>
              <c:layout>
                <c:manualLayout>
                  <c:x val="0"/>
                  <c:y val="-2.427194516706396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4F10-4909-8961-28403D38D39F}"/>
                </c:ext>
              </c:extLst>
            </c:dLbl>
            <c:dLbl>
              <c:idx val="2"/>
              <c:layout>
                <c:manualLayout>
                  <c:x val="-2.5725572556040224E-3"/>
                  <c:y val="-2.83172693615745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AB59-4DE4-BDC8-7EF66AD71170}"/>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2"/>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Analysis!$H$188:$H$190</c:f>
              <c:strCache>
                <c:ptCount val="3"/>
                <c:pt idx="0">
                  <c:v>#HH reached by regular dedicated hygiene promotion</c:v>
                </c:pt>
                <c:pt idx="1">
                  <c:v># HH received soaps</c:v>
                </c:pt>
                <c:pt idx="2">
                  <c:v># HH received Sanitary Pads</c:v>
                </c:pt>
              </c:strCache>
            </c:strRef>
          </c:cat>
          <c:val>
            <c:numRef>
              <c:f>Analysis!$J$188:$J$190</c:f>
              <c:numCache>
                <c:formatCode>_(* #,##0_);_(* \(#,##0\);_(* "-"??_);_(@_)</c:formatCode>
                <c:ptCount val="3"/>
                <c:pt idx="0">
                  <c:v>9146</c:v>
                </c:pt>
                <c:pt idx="1">
                  <c:v>-393</c:v>
                </c:pt>
                <c:pt idx="2">
                  <c:v>8556</c:v>
                </c:pt>
              </c:numCache>
            </c:numRef>
          </c:val>
          <c:extLst>
            <c:ext xmlns:c16="http://schemas.microsoft.com/office/drawing/2014/chart" uri="{C3380CC4-5D6E-409C-BE32-E72D297353CC}">
              <c16:uniqueId val="{00000001-F5FF-4313-84A4-722007FD5F1B}"/>
            </c:ext>
          </c:extLst>
        </c:ser>
        <c:dLbls>
          <c:showLegendKey val="0"/>
          <c:showVal val="0"/>
          <c:showCatName val="0"/>
          <c:showSerName val="0"/>
          <c:showPercent val="0"/>
          <c:showBubbleSize val="0"/>
        </c:dLbls>
        <c:gapWidth val="150"/>
        <c:overlap val="100"/>
        <c:axId val="417017024"/>
        <c:axId val="417015456"/>
      </c:barChart>
      <c:catAx>
        <c:axId val="417017024"/>
        <c:scaling>
          <c:orientation val="minMax"/>
        </c:scaling>
        <c:delete val="0"/>
        <c:axPos val="b"/>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2"/>
                </a:solidFill>
                <a:latin typeface="+mn-lt"/>
                <a:ea typeface="+mn-ea"/>
                <a:cs typeface="+mn-cs"/>
              </a:defRPr>
            </a:pPr>
            <a:endParaRPr lang="en-US"/>
          </a:p>
        </c:txPr>
        <c:crossAx val="417015456"/>
        <c:crosses val="autoZero"/>
        <c:auto val="1"/>
        <c:lblAlgn val="ctr"/>
        <c:lblOffset val="100"/>
        <c:noMultiLvlLbl val="0"/>
      </c:catAx>
      <c:valAx>
        <c:axId val="417015456"/>
        <c:scaling>
          <c:orientation val="minMax"/>
          <c:min val="0"/>
        </c:scaling>
        <c:delete val="0"/>
        <c:axPos val="l"/>
        <c:majorGridlines>
          <c:spPr>
            <a:ln w="9525" cap="flat" cmpd="sng" algn="ctr">
              <a:solidFill>
                <a:schemeClr val="tx2">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2"/>
                </a:solidFill>
                <a:latin typeface="+mn-lt"/>
                <a:ea typeface="+mn-ea"/>
                <a:cs typeface="+mn-cs"/>
              </a:defRPr>
            </a:pPr>
            <a:endParaRPr lang="en-US"/>
          </a:p>
        </c:txPr>
        <c:crossAx val="417017024"/>
        <c:crosses val="autoZero"/>
        <c:crossBetween val="between"/>
        <c:majorUnit val="0.2"/>
      </c:valAx>
      <c:spPr>
        <a:noFill/>
        <a:ln>
          <a:noFill/>
        </a:ln>
        <a:effectLst/>
      </c:spPr>
    </c:plotArea>
    <c:legend>
      <c:legendPos val="b"/>
      <c:legendEntry>
        <c:idx val="1"/>
        <c:txPr>
          <a:bodyPr rot="0" spcFirstLastPara="1" vertOverflow="ellipsis" vert="horz" wrap="square" anchor="ctr" anchorCtr="1"/>
          <a:lstStyle/>
          <a:p>
            <a:pPr>
              <a:defRPr sz="1200" b="0" i="0" u="none" strike="noStrike" kern="1200" baseline="0">
                <a:solidFill>
                  <a:schemeClr val="tx2"/>
                </a:solidFill>
                <a:latin typeface="+mn-lt"/>
                <a:ea typeface="+mn-ea"/>
                <a:cs typeface="+mn-cs"/>
              </a:defRPr>
            </a:pPr>
            <a:endParaRPr lang="en-US"/>
          </a:p>
        </c:txPr>
      </c:legendEntry>
      <c:layout>
        <c:manualLayout>
          <c:xMode val="edge"/>
          <c:yMode val="edge"/>
          <c:x val="0.39631435292145367"/>
          <c:y val="0.88868555664118631"/>
          <c:w val="0.28858398950131231"/>
          <c:h val="8.1363267091613553E-2"/>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2"/>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8713137670183398"/>
          <c:y val="9.9173540811669063E-3"/>
          <c:w val="0.48583155010710327"/>
          <c:h val="0.78047780562532632"/>
        </c:manualLayout>
      </c:layout>
      <c:barChart>
        <c:barDir val="bar"/>
        <c:grouping val="percentStacked"/>
        <c:varyColors val="0"/>
        <c:ser>
          <c:idx val="0"/>
          <c:order val="0"/>
          <c:tx>
            <c:strRef>
              <c:f>Analysis!$C$220</c:f>
              <c:strCache>
                <c:ptCount val="1"/>
                <c:pt idx="0">
                  <c:v>Yes</c:v>
                </c:pt>
              </c:strCache>
            </c:strRef>
          </c:tx>
          <c:spPr>
            <a:solidFill>
              <a:schemeClr val="accent6">
                <a:lumMod val="7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Analysis!$B$221:$B$223</c:f>
              <c:strCache>
                <c:ptCount val="3"/>
                <c:pt idx="0">
                  <c:v> % of women and girls who report that they have an adequate system for disposing of used sanitary pads</c:v>
                </c:pt>
                <c:pt idx="1">
                  <c:v> % of affected people who report handwashing at key times</c:v>
                </c:pt>
                <c:pt idx="2">
                  <c:v> % of households observed with a place to WASH hands with soap present</c:v>
                </c:pt>
              </c:strCache>
            </c:strRef>
          </c:cat>
          <c:val>
            <c:numRef>
              <c:f>Analysis!$C$221:$C$223</c:f>
              <c:numCache>
                <c:formatCode>0%</c:formatCode>
                <c:ptCount val="3"/>
                <c:pt idx="0">
                  <c:v>0.5</c:v>
                </c:pt>
                <c:pt idx="1">
                  <c:v>0.82</c:v>
                </c:pt>
                <c:pt idx="2">
                  <c:v>0.28499999999999998</c:v>
                </c:pt>
              </c:numCache>
            </c:numRef>
          </c:val>
          <c:extLst>
            <c:ext xmlns:c16="http://schemas.microsoft.com/office/drawing/2014/chart" uri="{C3380CC4-5D6E-409C-BE32-E72D297353CC}">
              <c16:uniqueId val="{00000000-06D8-4824-AEFF-B6328979CBF1}"/>
            </c:ext>
          </c:extLst>
        </c:ser>
        <c:ser>
          <c:idx val="1"/>
          <c:order val="1"/>
          <c:tx>
            <c:strRef>
              <c:f>Analysis!$D$220</c:f>
              <c:strCache>
                <c:ptCount val="1"/>
                <c:pt idx="0">
                  <c:v>No</c:v>
                </c:pt>
              </c:strCache>
            </c:strRef>
          </c:tx>
          <c:spPr>
            <a:solidFill>
              <a:schemeClr val="accent6">
                <a:lumMod val="40000"/>
                <a:lumOff val="60000"/>
              </a:schemeClr>
            </a:solidFill>
            <a:ln>
              <a:noFill/>
            </a:ln>
            <a:effectLst/>
          </c:spPr>
          <c:invertIfNegative val="0"/>
          <c:dLbls>
            <c:dLbl>
              <c:idx val="1"/>
              <c:layout>
                <c:manualLayout>
                  <c:x val="1.5470146272060043E-2"/>
                  <c:y val="4.2884494848067341E-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6D8-4824-AEFF-B6328979CBF1}"/>
                </c:ext>
              </c:extLst>
            </c:dLbl>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2"/>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Analysis!$B$221:$B$223</c:f>
              <c:strCache>
                <c:ptCount val="3"/>
                <c:pt idx="0">
                  <c:v> % of women and girls who report that they have an adequate system for disposing of used sanitary pads</c:v>
                </c:pt>
                <c:pt idx="1">
                  <c:v> % of affected people who report handwashing at key times</c:v>
                </c:pt>
                <c:pt idx="2">
                  <c:v> % of households observed with a place to WASH hands with soap present</c:v>
                </c:pt>
              </c:strCache>
            </c:strRef>
          </c:cat>
          <c:val>
            <c:numRef>
              <c:f>Analysis!$D$221:$D$223</c:f>
              <c:numCache>
                <c:formatCode>0%</c:formatCode>
                <c:ptCount val="3"/>
                <c:pt idx="0">
                  <c:v>0.5</c:v>
                </c:pt>
                <c:pt idx="1">
                  <c:v>0.18000000000000005</c:v>
                </c:pt>
                <c:pt idx="2">
                  <c:v>0.71500000000000008</c:v>
                </c:pt>
              </c:numCache>
            </c:numRef>
          </c:val>
          <c:extLst>
            <c:ext xmlns:c16="http://schemas.microsoft.com/office/drawing/2014/chart" uri="{C3380CC4-5D6E-409C-BE32-E72D297353CC}">
              <c16:uniqueId val="{00000002-06D8-4824-AEFF-B6328979CBF1}"/>
            </c:ext>
          </c:extLst>
        </c:ser>
        <c:dLbls>
          <c:showLegendKey val="0"/>
          <c:showVal val="0"/>
          <c:showCatName val="0"/>
          <c:showSerName val="0"/>
          <c:showPercent val="0"/>
          <c:showBubbleSize val="0"/>
        </c:dLbls>
        <c:gapWidth val="150"/>
        <c:overlap val="100"/>
        <c:axId val="766520672"/>
        <c:axId val="828045152"/>
      </c:barChart>
      <c:catAx>
        <c:axId val="766520672"/>
        <c:scaling>
          <c:orientation val="minMax"/>
        </c:scaling>
        <c:delete val="0"/>
        <c:axPos val="l"/>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2"/>
                </a:solidFill>
                <a:latin typeface="+mn-lt"/>
                <a:ea typeface="+mn-ea"/>
                <a:cs typeface="+mn-cs"/>
              </a:defRPr>
            </a:pPr>
            <a:endParaRPr lang="en-US"/>
          </a:p>
        </c:txPr>
        <c:crossAx val="828045152"/>
        <c:crosses val="autoZero"/>
        <c:auto val="1"/>
        <c:lblAlgn val="ctr"/>
        <c:lblOffset val="100"/>
        <c:noMultiLvlLbl val="0"/>
      </c:catAx>
      <c:valAx>
        <c:axId val="828045152"/>
        <c:scaling>
          <c:orientation val="minMax"/>
        </c:scaling>
        <c:delete val="0"/>
        <c:axPos val="b"/>
        <c:majorGridlines>
          <c:spPr>
            <a:ln w="9525" cap="flat" cmpd="sng" algn="ctr">
              <a:solidFill>
                <a:schemeClr val="tx2">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2"/>
                </a:solidFill>
                <a:latin typeface="+mn-lt"/>
                <a:ea typeface="+mn-ea"/>
                <a:cs typeface="+mn-cs"/>
              </a:defRPr>
            </a:pPr>
            <a:endParaRPr lang="en-US"/>
          </a:p>
        </c:txPr>
        <c:crossAx val="766520672"/>
        <c:crosses val="autoZero"/>
        <c:crossBetween val="between"/>
      </c:valAx>
      <c:spPr>
        <a:noFill/>
        <a:ln>
          <a:noFill/>
        </a:ln>
        <a:effectLst/>
      </c:spPr>
    </c:plotArea>
    <c:legend>
      <c:legendPos val="b"/>
      <c:layout>
        <c:manualLayout>
          <c:xMode val="edge"/>
          <c:yMode val="edge"/>
          <c:x val="0.26016811865702505"/>
          <c:y val="0.8629127442539386"/>
          <c:w val="9.5210789953681818E-2"/>
          <c:h val="0.10605278141385245"/>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2"/>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baseline="0">
                <a:solidFill>
                  <a:schemeClr val="tx2"/>
                </a:solidFill>
                <a:latin typeface="+mn-lt"/>
                <a:ea typeface="+mn-ea"/>
                <a:cs typeface="+mn-cs"/>
              </a:defRPr>
            </a:pPr>
            <a:r>
              <a:rPr lang="en-US" sz="1400"/>
              <a:t>% of people reached with Hygiene Promotion</a:t>
            </a:r>
          </a:p>
        </c:rich>
      </c:tx>
      <c:overlay val="0"/>
      <c:spPr>
        <a:noFill/>
        <a:ln>
          <a:noFill/>
        </a:ln>
        <a:effectLst/>
      </c:spPr>
      <c:txPr>
        <a:bodyPr rot="0" spcFirstLastPara="1" vertOverflow="ellipsis" vert="horz" wrap="square" anchor="ctr" anchorCtr="1"/>
        <a:lstStyle/>
        <a:p>
          <a:pPr>
            <a:defRPr sz="1400" b="1" i="0" u="none" strike="noStrike" kern="1200" baseline="0">
              <a:solidFill>
                <a:schemeClr val="tx2"/>
              </a:solidFill>
              <a:latin typeface="+mn-lt"/>
              <a:ea typeface="+mn-ea"/>
              <a:cs typeface="+mn-cs"/>
            </a:defRPr>
          </a:pPr>
          <a:endParaRPr lang="en-US"/>
        </a:p>
      </c:txPr>
    </c:title>
    <c:autoTitleDeleted val="0"/>
    <c:plotArea>
      <c:layout/>
      <c:ofPieChart>
        <c:ofPieType val="pie"/>
        <c:varyColors val="1"/>
        <c:ser>
          <c:idx val="0"/>
          <c:order val="0"/>
          <c:dPt>
            <c:idx val="0"/>
            <c:bubble3D val="0"/>
            <c:spPr>
              <a:solidFill>
                <a:schemeClr val="accent4">
                  <a:lumMod val="40000"/>
                  <a:lumOff val="60000"/>
                </a:schemeClr>
              </a:solidFill>
              <a:ln>
                <a:noFill/>
              </a:ln>
              <a:effectLst/>
            </c:spPr>
            <c:extLst>
              <c:ext xmlns:c16="http://schemas.microsoft.com/office/drawing/2014/chart" uri="{C3380CC4-5D6E-409C-BE32-E72D297353CC}">
                <c16:uniqueId val="{00000001-01E8-4AFC-987A-1B69722162E7}"/>
              </c:ext>
            </c:extLst>
          </c:dPt>
          <c:dPt>
            <c:idx val="1"/>
            <c:bubble3D val="0"/>
            <c:spPr>
              <a:solidFill>
                <a:schemeClr val="accent6">
                  <a:lumMod val="50000"/>
                </a:schemeClr>
              </a:solidFill>
              <a:ln>
                <a:noFill/>
              </a:ln>
              <a:effectLst/>
            </c:spPr>
            <c:extLst>
              <c:ext xmlns:c16="http://schemas.microsoft.com/office/drawing/2014/chart" uri="{C3380CC4-5D6E-409C-BE32-E72D297353CC}">
                <c16:uniqueId val="{00000003-01E8-4AFC-987A-1B69722162E7}"/>
              </c:ext>
            </c:extLst>
          </c:dPt>
          <c:dPt>
            <c:idx val="2"/>
            <c:bubble3D val="0"/>
            <c:spPr>
              <a:solidFill>
                <a:schemeClr val="accent6">
                  <a:lumMod val="75000"/>
                </a:schemeClr>
              </a:solidFill>
              <a:ln>
                <a:noFill/>
              </a:ln>
              <a:effectLst/>
            </c:spPr>
            <c:extLst>
              <c:ext xmlns:c16="http://schemas.microsoft.com/office/drawing/2014/chart" uri="{C3380CC4-5D6E-409C-BE32-E72D297353CC}">
                <c16:uniqueId val="{00000005-01E8-4AFC-987A-1B69722162E7}"/>
              </c:ext>
            </c:extLst>
          </c:dPt>
          <c:dPt>
            <c:idx val="3"/>
            <c:bubble3D val="0"/>
            <c:spPr>
              <a:solidFill>
                <a:schemeClr val="accent6">
                  <a:lumMod val="60000"/>
                  <a:lumOff val="40000"/>
                </a:schemeClr>
              </a:solidFill>
              <a:ln>
                <a:noFill/>
              </a:ln>
              <a:effectLst/>
            </c:spPr>
            <c:extLst>
              <c:ext xmlns:c16="http://schemas.microsoft.com/office/drawing/2014/chart" uri="{C3380CC4-5D6E-409C-BE32-E72D297353CC}">
                <c16:uniqueId val="{00000007-01E8-4AFC-987A-1B69722162E7}"/>
              </c:ext>
            </c:extLst>
          </c:dPt>
          <c:dPt>
            <c:idx val="4"/>
            <c:bubble3D val="0"/>
            <c:spPr>
              <a:solidFill>
                <a:schemeClr val="accent6">
                  <a:lumMod val="40000"/>
                  <a:lumOff val="60000"/>
                </a:schemeClr>
              </a:solidFill>
              <a:ln>
                <a:noFill/>
              </a:ln>
              <a:effectLst/>
            </c:spPr>
            <c:extLst>
              <c:ext xmlns:c16="http://schemas.microsoft.com/office/drawing/2014/chart" uri="{C3380CC4-5D6E-409C-BE32-E72D297353CC}">
                <c16:uniqueId val="{00000009-01E8-4AFC-987A-1B69722162E7}"/>
              </c:ext>
            </c:extLst>
          </c:dPt>
          <c:dPt>
            <c:idx val="5"/>
            <c:bubble3D val="0"/>
            <c:spPr>
              <a:solidFill>
                <a:schemeClr val="accent6">
                  <a:lumMod val="75000"/>
                </a:schemeClr>
              </a:solidFill>
              <a:ln>
                <a:noFill/>
              </a:ln>
              <a:effectLst/>
            </c:spPr>
            <c:extLst>
              <c:ext xmlns:c16="http://schemas.microsoft.com/office/drawing/2014/chart" uri="{C3380CC4-5D6E-409C-BE32-E72D297353CC}">
                <c16:uniqueId val="{0000000B-01E8-4AFC-987A-1B69722162E7}"/>
              </c:ext>
            </c:extLst>
          </c:dPt>
          <c:dLbls>
            <c:dLbl>
              <c:idx val="1"/>
              <c:layout>
                <c:manualLayout>
                  <c:x val="7.866818051877067E-2"/>
                  <c:y val="-5.0529521545879162E-2"/>
                </c:manualLayout>
              </c:layout>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bg1"/>
                      </a:solidFill>
                      <a:latin typeface="+mn-lt"/>
                      <a:ea typeface="+mn-ea"/>
                      <a:cs typeface="+mn-cs"/>
                    </a:defRPr>
                  </a:pPr>
                  <a:endParaRPr lang="en-US"/>
                </a:p>
              </c:txPr>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01E8-4AFC-987A-1B69722162E7}"/>
                </c:ext>
              </c:extLst>
            </c:dLbl>
            <c:dLbl>
              <c:idx val="2"/>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bg1"/>
                      </a:solidFill>
                      <a:latin typeface="+mn-lt"/>
                      <a:ea typeface="+mn-ea"/>
                      <a:cs typeface="+mn-cs"/>
                    </a:defRPr>
                  </a:pPr>
                  <a:endParaRPr lang="en-US"/>
                </a:p>
              </c:txPr>
              <c:showLegendKey val="0"/>
              <c:showVal val="0"/>
              <c:showCatName val="0"/>
              <c:showSerName val="0"/>
              <c:showPercent val="1"/>
              <c:showBubbleSize val="0"/>
              <c:extLst>
                <c:ext xmlns:c16="http://schemas.microsoft.com/office/drawing/2014/chart" uri="{C3380CC4-5D6E-409C-BE32-E72D297353CC}">
                  <c16:uniqueId val="{00000005-01E8-4AFC-987A-1B69722162E7}"/>
                </c:ext>
              </c:extLst>
            </c:dLbl>
            <c:dLbl>
              <c:idx val="5"/>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bg1"/>
                      </a:solidFill>
                      <a:latin typeface="+mn-lt"/>
                      <a:ea typeface="+mn-ea"/>
                      <a:cs typeface="+mn-cs"/>
                    </a:defRPr>
                  </a:pPr>
                  <a:endParaRPr lang="en-US"/>
                </a:p>
              </c:txPr>
              <c:showLegendKey val="0"/>
              <c:showVal val="0"/>
              <c:showCatName val="0"/>
              <c:showSerName val="0"/>
              <c:showPercent val="1"/>
              <c:showBubbleSize val="0"/>
              <c:extLst>
                <c:ext xmlns:c16="http://schemas.microsoft.com/office/drawing/2014/chart" uri="{C3380CC4-5D6E-409C-BE32-E72D297353CC}">
                  <c16:uniqueId val="{0000000B-01E8-4AFC-987A-1B69722162E7}"/>
                </c:ext>
              </c:extLst>
            </c:dLbl>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2"/>
                    </a:solidFill>
                    <a:latin typeface="+mn-lt"/>
                    <a:ea typeface="+mn-ea"/>
                    <a:cs typeface="+mn-cs"/>
                  </a:defRPr>
                </a:pPr>
                <a:endParaRPr lang="en-US"/>
              </a:p>
            </c:txPr>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Analysis!$E$234:$I$234</c:f>
              <c:strCache>
                <c:ptCount val="5"/>
                <c:pt idx="0">
                  <c:v>No Reached</c:v>
                </c:pt>
                <c:pt idx="1">
                  <c:v>Men</c:v>
                </c:pt>
                <c:pt idx="2">
                  <c:v>Women</c:v>
                </c:pt>
                <c:pt idx="3">
                  <c:v>Boys</c:v>
                </c:pt>
                <c:pt idx="4">
                  <c:v>Girls</c:v>
                </c:pt>
              </c:strCache>
            </c:strRef>
          </c:cat>
          <c:val>
            <c:numRef>
              <c:f>Analysis!$E$235:$I$235</c:f>
              <c:numCache>
                <c:formatCode>_(* #,##0_);_(* \(#,##0\);_(* "-"??_);_(@_)</c:formatCode>
                <c:ptCount val="5"/>
                <c:pt idx="0">
                  <c:v>34755</c:v>
                </c:pt>
                <c:pt idx="1">
                  <c:v>10425</c:v>
                </c:pt>
                <c:pt idx="2">
                  <c:v>34015</c:v>
                </c:pt>
                <c:pt idx="3">
                  <c:v>16917</c:v>
                </c:pt>
                <c:pt idx="4">
                  <c:v>23043</c:v>
                </c:pt>
              </c:numCache>
            </c:numRef>
          </c:val>
          <c:extLst>
            <c:ext xmlns:c16="http://schemas.microsoft.com/office/drawing/2014/chart" uri="{C3380CC4-5D6E-409C-BE32-E72D297353CC}">
              <c16:uniqueId val="{0000000C-01E8-4AFC-987A-1B69722162E7}"/>
            </c:ext>
          </c:extLst>
        </c:ser>
        <c:dLbls>
          <c:showLegendKey val="0"/>
          <c:showVal val="0"/>
          <c:showCatName val="0"/>
          <c:showSerName val="0"/>
          <c:showPercent val="0"/>
          <c:showBubbleSize val="0"/>
          <c:showLeaderLines val="1"/>
        </c:dLbls>
        <c:gapWidth val="100"/>
        <c:splitType val="cust"/>
        <c:custSplit>
          <c:secondPiePt val="1"/>
          <c:secondPiePt val="2"/>
          <c:secondPiePt val="3"/>
          <c:secondPiePt val="4"/>
        </c:custSplit>
        <c:secondPieSize val="75"/>
        <c:serLines>
          <c:spPr>
            <a:ln w="9525">
              <a:solidFill>
                <a:schemeClr val="tx2">
                  <a:lumMod val="60000"/>
                  <a:lumOff val="40000"/>
                </a:schemeClr>
              </a:solidFill>
              <a:prstDash val="dash"/>
            </a:ln>
            <a:effectLst/>
          </c:spPr>
        </c:serLines>
      </c:ofPieChart>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2"/>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baseline="0">
                <a:solidFill>
                  <a:schemeClr val="tx2"/>
                </a:solidFill>
                <a:latin typeface="+mn-lt"/>
                <a:ea typeface="+mn-ea"/>
                <a:cs typeface="+mn-cs"/>
              </a:defRPr>
            </a:pPr>
            <a:r>
              <a:rPr lang="en-US" sz="1400"/>
              <a:t>% of People feel safe</a:t>
            </a:r>
            <a:r>
              <a:rPr lang="en-US" sz="1400" baseline="0"/>
              <a:t> to use latrines when they need to </a:t>
            </a:r>
          </a:p>
          <a:p>
            <a:pPr>
              <a:defRPr sz="1400"/>
            </a:pPr>
            <a:r>
              <a:rPr lang="en-US" sz="1400" baseline="0"/>
              <a:t>(or at day/night)</a:t>
            </a:r>
            <a:endParaRPr lang="en-US" sz="1400"/>
          </a:p>
        </c:rich>
      </c:tx>
      <c:overlay val="0"/>
      <c:spPr>
        <a:noFill/>
        <a:ln>
          <a:noFill/>
        </a:ln>
        <a:effectLst/>
      </c:spPr>
      <c:txPr>
        <a:bodyPr rot="0" spcFirstLastPara="1" vertOverflow="ellipsis" vert="horz" wrap="square" anchor="ctr" anchorCtr="1"/>
        <a:lstStyle/>
        <a:p>
          <a:pPr>
            <a:defRPr sz="1400" b="1" i="0" u="none" strike="noStrike" kern="1200" baseline="0">
              <a:solidFill>
                <a:schemeClr val="tx2"/>
              </a:solidFill>
              <a:latin typeface="+mn-lt"/>
              <a:ea typeface="+mn-ea"/>
              <a:cs typeface="+mn-cs"/>
            </a:defRPr>
          </a:pPr>
          <a:endParaRPr lang="en-US"/>
        </a:p>
      </c:txPr>
    </c:title>
    <c:autoTitleDeleted val="0"/>
    <c:plotArea>
      <c:layout>
        <c:manualLayout>
          <c:layoutTarget val="inner"/>
          <c:xMode val="edge"/>
          <c:yMode val="edge"/>
          <c:x val="0.14564290444621819"/>
          <c:y val="0.16477757833542139"/>
          <c:w val="0.80173502344339553"/>
          <c:h val="0.61381571255811929"/>
        </c:manualLayout>
      </c:layout>
      <c:barChart>
        <c:barDir val="bar"/>
        <c:grouping val="percentStacked"/>
        <c:varyColors val="0"/>
        <c:ser>
          <c:idx val="0"/>
          <c:order val="0"/>
          <c:tx>
            <c:strRef>
              <c:f>Analysis!$G$111</c:f>
              <c:strCache>
                <c:ptCount val="1"/>
                <c:pt idx="0">
                  <c:v>Safe</c:v>
                </c:pt>
              </c:strCache>
            </c:strRef>
          </c:tx>
          <c:spPr>
            <a:solidFill>
              <a:schemeClr val="accent2">
                <a:lumMod val="7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Analysis!$F$112:$F$115</c:f>
              <c:strCache>
                <c:ptCount val="4"/>
                <c:pt idx="0">
                  <c:v>Men</c:v>
                </c:pt>
                <c:pt idx="1">
                  <c:v>Women</c:v>
                </c:pt>
                <c:pt idx="2">
                  <c:v>Boys</c:v>
                </c:pt>
                <c:pt idx="3">
                  <c:v>Girls</c:v>
                </c:pt>
              </c:strCache>
            </c:strRef>
          </c:cat>
          <c:val>
            <c:numRef>
              <c:f>Analysis!$G$112:$G$115</c:f>
              <c:numCache>
                <c:formatCode>0%</c:formatCode>
                <c:ptCount val="4"/>
                <c:pt idx="0">
                  <c:v>0.97250000000000014</c:v>
                </c:pt>
                <c:pt idx="1">
                  <c:v>0.6908333333333333</c:v>
                </c:pt>
                <c:pt idx="2">
                  <c:v>0.67916666666666659</c:v>
                </c:pt>
                <c:pt idx="3">
                  <c:v>0.67333333333333334</c:v>
                </c:pt>
              </c:numCache>
            </c:numRef>
          </c:val>
          <c:extLst>
            <c:ext xmlns:c16="http://schemas.microsoft.com/office/drawing/2014/chart" uri="{C3380CC4-5D6E-409C-BE32-E72D297353CC}">
              <c16:uniqueId val="{00000000-5C59-4926-A64C-74A08B132187}"/>
            </c:ext>
          </c:extLst>
        </c:ser>
        <c:ser>
          <c:idx val="1"/>
          <c:order val="1"/>
          <c:tx>
            <c:strRef>
              <c:f>Analysis!$H$111</c:f>
              <c:strCache>
                <c:ptCount val="1"/>
                <c:pt idx="0">
                  <c:v>Unsafe</c:v>
                </c:pt>
              </c:strCache>
            </c:strRef>
          </c:tx>
          <c:spPr>
            <a:solidFill>
              <a:schemeClr val="accent2">
                <a:lumMod val="40000"/>
                <a:lumOff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2"/>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Analysis!$F$112:$F$115</c:f>
              <c:strCache>
                <c:ptCount val="4"/>
                <c:pt idx="0">
                  <c:v>Men</c:v>
                </c:pt>
                <c:pt idx="1">
                  <c:v>Women</c:v>
                </c:pt>
                <c:pt idx="2">
                  <c:v>Boys</c:v>
                </c:pt>
                <c:pt idx="3">
                  <c:v>Girls</c:v>
                </c:pt>
              </c:strCache>
            </c:strRef>
          </c:cat>
          <c:val>
            <c:numRef>
              <c:f>Analysis!$H$112:$H$115</c:f>
              <c:numCache>
                <c:formatCode>0%</c:formatCode>
                <c:ptCount val="4"/>
                <c:pt idx="0">
                  <c:v>2.7499999999999858E-2</c:v>
                </c:pt>
                <c:pt idx="1">
                  <c:v>0.3091666666666667</c:v>
                </c:pt>
                <c:pt idx="2">
                  <c:v>0.32083333333333341</c:v>
                </c:pt>
                <c:pt idx="3">
                  <c:v>0.32666666666666666</c:v>
                </c:pt>
              </c:numCache>
            </c:numRef>
          </c:val>
          <c:extLst>
            <c:ext xmlns:c16="http://schemas.microsoft.com/office/drawing/2014/chart" uri="{C3380CC4-5D6E-409C-BE32-E72D297353CC}">
              <c16:uniqueId val="{00000001-5C59-4926-A64C-74A08B132187}"/>
            </c:ext>
          </c:extLst>
        </c:ser>
        <c:dLbls>
          <c:showLegendKey val="0"/>
          <c:showVal val="0"/>
          <c:showCatName val="0"/>
          <c:showSerName val="0"/>
          <c:showPercent val="0"/>
          <c:showBubbleSize val="0"/>
        </c:dLbls>
        <c:gapWidth val="150"/>
        <c:overlap val="100"/>
        <c:axId val="240704655"/>
        <c:axId val="2054818927"/>
      </c:barChart>
      <c:catAx>
        <c:axId val="240704655"/>
        <c:scaling>
          <c:orientation val="minMax"/>
        </c:scaling>
        <c:delete val="0"/>
        <c:axPos val="l"/>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2"/>
                </a:solidFill>
                <a:latin typeface="+mn-lt"/>
                <a:ea typeface="+mn-ea"/>
                <a:cs typeface="+mn-cs"/>
              </a:defRPr>
            </a:pPr>
            <a:endParaRPr lang="en-US"/>
          </a:p>
        </c:txPr>
        <c:crossAx val="2054818927"/>
        <c:crosses val="autoZero"/>
        <c:auto val="1"/>
        <c:lblAlgn val="ctr"/>
        <c:lblOffset val="100"/>
        <c:noMultiLvlLbl val="0"/>
      </c:catAx>
      <c:valAx>
        <c:axId val="2054818927"/>
        <c:scaling>
          <c:orientation val="minMax"/>
        </c:scaling>
        <c:delete val="0"/>
        <c:axPos val="b"/>
        <c:majorGridlines>
          <c:spPr>
            <a:ln w="9525" cap="flat" cmpd="sng" algn="ctr">
              <a:solidFill>
                <a:schemeClr val="tx2">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2"/>
                </a:solidFill>
                <a:latin typeface="+mn-lt"/>
                <a:ea typeface="+mn-ea"/>
                <a:cs typeface="+mn-cs"/>
              </a:defRPr>
            </a:pPr>
            <a:endParaRPr lang="en-US"/>
          </a:p>
        </c:txPr>
        <c:crossAx val="24070465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2"/>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chart>
    <c:title>
      <c:tx>
        <c:rich>
          <a:bodyPr rot="0" spcFirstLastPara="1" vertOverflow="ellipsis" vert="horz" wrap="square" anchor="ctr" anchorCtr="1"/>
          <a:lstStyle/>
          <a:p>
            <a:pPr>
              <a:defRPr sz="1400" b="1" i="0" u="none" strike="noStrike" kern="1200" baseline="0">
                <a:solidFill>
                  <a:schemeClr val="tx2"/>
                </a:solidFill>
                <a:latin typeface="+mn-lt"/>
                <a:ea typeface="+mn-ea"/>
                <a:cs typeface="+mn-cs"/>
              </a:defRPr>
            </a:pPr>
            <a:r>
              <a:rPr lang="en-US" sz="1400"/>
              <a:t>Latrine Coverage</a:t>
            </a:r>
          </a:p>
        </c:rich>
      </c:tx>
      <c:overlay val="0"/>
      <c:spPr>
        <a:noFill/>
        <a:ln>
          <a:noFill/>
        </a:ln>
        <a:effectLst/>
      </c:spPr>
      <c:txPr>
        <a:bodyPr rot="0" spcFirstLastPara="1" vertOverflow="ellipsis" vert="horz" wrap="square" anchor="ctr" anchorCtr="1"/>
        <a:lstStyle/>
        <a:p>
          <a:pPr>
            <a:defRPr sz="1400" b="1" i="0" u="none" strike="noStrike" kern="1200" baseline="0">
              <a:solidFill>
                <a:schemeClr val="tx2"/>
              </a:solidFill>
              <a:latin typeface="+mn-lt"/>
              <a:ea typeface="+mn-ea"/>
              <a:cs typeface="+mn-cs"/>
            </a:defRPr>
          </a:pPr>
          <a:endParaRPr lang="en-US"/>
        </a:p>
      </c:txPr>
    </c:title>
    <c:autoTitleDeleted val="0"/>
    <c:plotArea>
      <c:layout>
        <c:manualLayout>
          <c:layoutTarget val="inner"/>
          <c:xMode val="edge"/>
          <c:yMode val="edge"/>
          <c:x val="0.17928240287341965"/>
          <c:y val="0.21516191168752388"/>
          <c:w val="0.77586055206596072"/>
          <c:h val="0.43143424982722389"/>
        </c:manualLayout>
      </c:layout>
      <c:barChart>
        <c:barDir val="col"/>
        <c:grouping val="percentStacked"/>
        <c:varyColors val="0"/>
        <c:ser>
          <c:idx val="0"/>
          <c:order val="0"/>
          <c:tx>
            <c:strRef>
              <c:f>Analysis!$F$95</c:f>
              <c:strCache>
                <c:ptCount val="1"/>
                <c:pt idx="0">
                  <c:v> Coverage </c:v>
                </c:pt>
              </c:strCache>
            </c:strRef>
          </c:tx>
          <c:spPr>
            <a:gradFill rotWithShape="1">
              <a:gsLst>
                <a:gs pos="0">
                  <a:schemeClr val="accent2">
                    <a:shade val="76000"/>
                    <a:satMod val="103000"/>
                    <a:lumMod val="102000"/>
                    <a:tint val="94000"/>
                  </a:schemeClr>
                </a:gs>
                <a:gs pos="50000">
                  <a:schemeClr val="accent2">
                    <a:shade val="76000"/>
                    <a:satMod val="110000"/>
                    <a:lumMod val="100000"/>
                    <a:shade val="100000"/>
                  </a:schemeClr>
                </a:gs>
                <a:gs pos="100000">
                  <a:schemeClr val="accent2">
                    <a:shade val="76000"/>
                    <a:lumMod val="99000"/>
                    <a:satMod val="120000"/>
                    <a:shade val="78000"/>
                  </a:schemeClr>
                </a:gs>
              </a:gsLst>
              <a:lin ang="5400000" scaled="0"/>
            </a:gra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bg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Analysis!$G$94</c:f>
              <c:strCache>
                <c:ptCount val="1"/>
                <c:pt idx="0">
                  <c:v> # in camps (20:1) </c:v>
                </c:pt>
              </c:strCache>
            </c:strRef>
          </c:cat>
          <c:val>
            <c:numRef>
              <c:f>Analysis!$G$95</c:f>
              <c:numCache>
                <c:formatCode>_(* #,##0_);_(* \(#,##0\);_(* "-"??_);_(@_)</c:formatCode>
                <c:ptCount val="1"/>
                <c:pt idx="0">
                  <c:v>5256</c:v>
                </c:pt>
              </c:numCache>
            </c:numRef>
          </c:val>
          <c:extLst>
            <c:ext xmlns:c16="http://schemas.microsoft.com/office/drawing/2014/chart" uri="{C3380CC4-5D6E-409C-BE32-E72D297353CC}">
              <c16:uniqueId val="{00000000-15F8-4510-B681-E9F538B3E9BA}"/>
            </c:ext>
          </c:extLst>
        </c:ser>
        <c:ser>
          <c:idx val="1"/>
          <c:order val="1"/>
          <c:tx>
            <c:strRef>
              <c:f>Analysis!$F$96</c:f>
              <c:strCache>
                <c:ptCount val="1"/>
                <c:pt idx="0">
                  <c:v> GAP </c:v>
                </c:pt>
              </c:strCache>
            </c:strRef>
          </c:tx>
          <c:spPr>
            <a:solidFill>
              <a:schemeClr val="accent2">
                <a:lumMod val="40000"/>
                <a:lumOff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2"/>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Analysis!$G$94</c:f>
              <c:strCache>
                <c:ptCount val="1"/>
                <c:pt idx="0">
                  <c:v> # in camps (20:1) </c:v>
                </c:pt>
              </c:strCache>
            </c:strRef>
          </c:cat>
          <c:val>
            <c:numRef>
              <c:f>Analysis!$G$96</c:f>
              <c:numCache>
                <c:formatCode>_(* #,##0_);_(* \(#,##0\);_(* "-"??_);_(@_)</c:formatCode>
                <c:ptCount val="1"/>
                <c:pt idx="0">
                  <c:v>704</c:v>
                </c:pt>
              </c:numCache>
            </c:numRef>
          </c:val>
          <c:extLst>
            <c:ext xmlns:c16="http://schemas.microsoft.com/office/drawing/2014/chart" uri="{C3380CC4-5D6E-409C-BE32-E72D297353CC}">
              <c16:uniqueId val="{00000001-15F8-4510-B681-E9F538B3E9BA}"/>
            </c:ext>
          </c:extLst>
        </c:ser>
        <c:dLbls>
          <c:dLblPos val="ctr"/>
          <c:showLegendKey val="0"/>
          <c:showVal val="1"/>
          <c:showCatName val="0"/>
          <c:showSerName val="0"/>
          <c:showPercent val="0"/>
          <c:showBubbleSize val="0"/>
        </c:dLbls>
        <c:gapWidth val="150"/>
        <c:overlap val="100"/>
        <c:axId val="395455520"/>
        <c:axId val="395451208"/>
      </c:barChart>
      <c:catAx>
        <c:axId val="395455520"/>
        <c:scaling>
          <c:orientation val="minMax"/>
        </c:scaling>
        <c:delete val="0"/>
        <c:axPos val="b"/>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2"/>
                </a:solidFill>
                <a:latin typeface="+mn-lt"/>
                <a:ea typeface="+mn-ea"/>
                <a:cs typeface="+mn-cs"/>
              </a:defRPr>
            </a:pPr>
            <a:endParaRPr lang="en-US"/>
          </a:p>
        </c:txPr>
        <c:crossAx val="395451208"/>
        <c:crosses val="autoZero"/>
        <c:auto val="1"/>
        <c:lblAlgn val="ctr"/>
        <c:lblOffset val="100"/>
        <c:noMultiLvlLbl val="0"/>
      </c:catAx>
      <c:valAx>
        <c:axId val="395451208"/>
        <c:scaling>
          <c:orientation val="minMax"/>
        </c:scaling>
        <c:delete val="0"/>
        <c:axPos val="l"/>
        <c:majorGridlines>
          <c:spPr>
            <a:ln w="9525" cap="flat" cmpd="sng" algn="ctr">
              <a:solidFill>
                <a:schemeClr val="tx2">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n-US"/>
          </a:p>
        </c:txPr>
        <c:crossAx val="39545552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2"/>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chart>
    <c:title>
      <c:tx>
        <c:rich>
          <a:bodyPr rot="0" spcFirstLastPara="1" vertOverflow="ellipsis" vert="horz" wrap="square" anchor="ctr" anchorCtr="1"/>
          <a:lstStyle/>
          <a:p>
            <a:pPr>
              <a:defRPr sz="1400" b="1" i="0" u="none" strike="noStrike" kern="1200" baseline="0">
                <a:solidFill>
                  <a:schemeClr val="tx2"/>
                </a:solidFill>
                <a:latin typeface="+mn-lt"/>
                <a:ea typeface="+mn-ea"/>
                <a:cs typeface="+mn-cs"/>
              </a:defRPr>
            </a:pPr>
            <a:r>
              <a:rPr lang="en-US" sz="1400"/>
              <a:t> Effective solid waste management system in place </a:t>
            </a:r>
          </a:p>
        </c:rich>
      </c:tx>
      <c:overlay val="0"/>
      <c:spPr>
        <a:noFill/>
        <a:ln>
          <a:noFill/>
        </a:ln>
        <a:effectLst/>
      </c:spPr>
      <c:txPr>
        <a:bodyPr rot="0" spcFirstLastPara="1" vertOverflow="ellipsis" vert="horz" wrap="square" anchor="ctr" anchorCtr="1"/>
        <a:lstStyle/>
        <a:p>
          <a:pPr>
            <a:defRPr sz="1400" b="1" i="0" u="none" strike="noStrike" kern="1200" baseline="0">
              <a:solidFill>
                <a:schemeClr val="tx2"/>
              </a:solidFill>
              <a:latin typeface="+mn-lt"/>
              <a:ea typeface="+mn-ea"/>
              <a:cs typeface="+mn-cs"/>
            </a:defRPr>
          </a:pPr>
          <a:endParaRPr lang="en-US"/>
        </a:p>
      </c:txPr>
    </c:title>
    <c:autoTitleDeleted val="0"/>
    <c:plotArea>
      <c:layout>
        <c:manualLayout>
          <c:layoutTarget val="inner"/>
          <c:xMode val="edge"/>
          <c:yMode val="edge"/>
          <c:x val="0.18143420543460065"/>
          <c:y val="0.35328950521760566"/>
          <c:w val="0.49920625990214784"/>
          <c:h val="0.54489871203199036"/>
        </c:manualLayout>
      </c:layout>
      <c:pieChart>
        <c:varyColors val="1"/>
        <c:ser>
          <c:idx val="3"/>
          <c:order val="0"/>
          <c:tx>
            <c:strRef>
              <c:f>Analysis!$B$149</c:f>
              <c:strCache>
                <c:ptCount val="1"/>
                <c:pt idx="0">
                  <c:v>Rakhine</c:v>
                </c:pt>
              </c:strCache>
            </c:strRef>
          </c:tx>
          <c:dPt>
            <c:idx val="0"/>
            <c:bubble3D val="0"/>
            <c:spPr>
              <a:solidFill>
                <a:schemeClr val="accent2">
                  <a:lumMod val="75000"/>
                </a:schemeClr>
              </a:solidFill>
              <a:ln>
                <a:noFill/>
              </a:ln>
              <a:effectLst/>
            </c:spPr>
            <c:extLst>
              <c:ext xmlns:c16="http://schemas.microsoft.com/office/drawing/2014/chart" uri="{C3380CC4-5D6E-409C-BE32-E72D297353CC}">
                <c16:uniqueId val="{00000001-05AC-4EF5-B3E1-346534AE4609}"/>
              </c:ext>
            </c:extLst>
          </c:dPt>
          <c:dPt>
            <c:idx val="1"/>
            <c:bubble3D val="0"/>
            <c:spPr>
              <a:solidFill>
                <a:schemeClr val="accent2">
                  <a:lumMod val="40000"/>
                  <a:lumOff val="60000"/>
                </a:schemeClr>
              </a:solidFill>
              <a:ln>
                <a:noFill/>
              </a:ln>
              <a:effectLst/>
            </c:spPr>
            <c:extLst>
              <c:ext xmlns:c16="http://schemas.microsoft.com/office/drawing/2014/chart" uri="{C3380CC4-5D6E-409C-BE32-E72D297353CC}">
                <c16:uniqueId val="{00000003-05AC-4EF5-B3E1-346534AE4609}"/>
              </c:ext>
            </c:extLst>
          </c:dPt>
          <c:dLbls>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bg1"/>
                      </a:solidFill>
                      <a:latin typeface="+mn-lt"/>
                      <a:ea typeface="+mn-ea"/>
                      <a:cs typeface="+mn-cs"/>
                    </a:defRPr>
                  </a:pPr>
                  <a:endParaRPr lang="en-US"/>
                </a:p>
              </c:txPr>
              <c:dLblPos val="bestFit"/>
              <c:showLegendKey val="0"/>
              <c:showVal val="0"/>
              <c:showCatName val="0"/>
              <c:showSerName val="0"/>
              <c:showPercent val="1"/>
              <c:showBubbleSize val="0"/>
              <c:extLst>
                <c:ext xmlns:c16="http://schemas.microsoft.com/office/drawing/2014/chart" uri="{C3380CC4-5D6E-409C-BE32-E72D297353CC}">
                  <c16:uniqueId val="{00000001-05AC-4EF5-B3E1-346534AE4609}"/>
                </c:ext>
              </c:extLst>
            </c:dLbl>
            <c:dLbl>
              <c:idx val="1"/>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bg1"/>
                      </a:solidFill>
                      <a:latin typeface="+mn-lt"/>
                      <a:ea typeface="+mn-ea"/>
                      <a:cs typeface="+mn-cs"/>
                    </a:defRPr>
                  </a:pPr>
                  <a:endParaRPr lang="en-US"/>
                </a:p>
              </c:txPr>
              <c:dLblPos val="bestFit"/>
              <c:showLegendKey val="0"/>
              <c:showVal val="0"/>
              <c:showCatName val="0"/>
              <c:showSerName val="0"/>
              <c:showPercent val="1"/>
              <c:showBubbleSize val="0"/>
              <c:extLst>
                <c:ext xmlns:c16="http://schemas.microsoft.com/office/drawing/2014/chart" uri="{C3380CC4-5D6E-409C-BE32-E72D297353CC}">
                  <c16:uniqueId val="{00000003-05AC-4EF5-B3E1-346534AE4609}"/>
                </c:ext>
              </c:extLst>
            </c:dLbl>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2"/>
                    </a:solidFill>
                    <a:latin typeface="+mn-lt"/>
                    <a:ea typeface="+mn-ea"/>
                    <a:cs typeface="+mn-cs"/>
                  </a:defRPr>
                </a:pPr>
                <a:endParaRPr lang="en-US"/>
              </a:p>
            </c:txPr>
            <c:dLblPos val="bestFit"/>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Analysis!$C$148:$D$148</c:f>
              <c:strCache>
                <c:ptCount val="2"/>
                <c:pt idx="0">
                  <c:v>Yes</c:v>
                </c:pt>
                <c:pt idx="1">
                  <c:v>No</c:v>
                </c:pt>
              </c:strCache>
            </c:strRef>
          </c:cat>
          <c:val>
            <c:numRef>
              <c:f>Analysis!$C$149:$D$149</c:f>
              <c:numCache>
                <c:formatCode>General</c:formatCode>
                <c:ptCount val="2"/>
                <c:pt idx="0">
                  <c:v>19</c:v>
                </c:pt>
                <c:pt idx="1">
                  <c:v>5</c:v>
                </c:pt>
              </c:numCache>
            </c:numRef>
          </c:val>
          <c:extLst>
            <c:ext xmlns:c16="http://schemas.microsoft.com/office/drawing/2014/chart" uri="{C3380CC4-5D6E-409C-BE32-E72D297353CC}">
              <c16:uniqueId val="{00000004-05AC-4EF5-B3E1-346534AE4609}"/>
            </c:ext>
          </c:extLst>
        </c:ser>
        <c:dLbls>
          <c:dLblPos val="bestFit"/>
          <c:showLegendKey val="0"/>
          <c:showVal val="1"/>
          <c:showCatName val="0"/>
          <c:showSerName val="0"/>
          <c:showPercent val="0"/>
          <c:showBubbleSize val="0"/>
          <c:showLeaderLines val="1"/>
        </c:dLbls>
        <c:firstSliceAng val="0"/>
        <c:extLst/>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1200" b="0" i="0" u="none" strike="noStrike" kern="1200" baseline="0">
              <a:solidFill>
                <a:schemeClr val="tx2"/>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baseline="0">
                <a:solidFill>
                  <a:schemeClr val="tx2"/>
                </a:solidFill>
                <a:latin typeface="+mn-lt"/>
                <a:ea typeface="+mn-ea"/>
                <a:cs typeface="+mn-cs"/>
              </a:defRPr>
            </a:pPr>
            <a:r>
              <a:rPr lang="en-US" sz="1400"/>
              <a:t>People with</a:t>
            </a:r>
            <a:r>
              <a:rPr lang="en-US" sz="1400" baseline="0"/>
              <a:t> disabilities with adapted sanitation option</a:t>
            </a:r>
            <a:endParaRPr lang="en-US" sz="1400"/>
          </a:p>
        </c:rich>
      </c:tx>
      <c:overlay val="0"/>
      <c:spPr>
        <a:noFill/>
        <a:ln>
          <a:noFill/>
        </a:ln>
        <a:effectLst/>
      </c:spPr>
      <c:txPr>
        <a:bodyPr rot="0" spcFirstLastPara="1" vertOverflow="ellipsis" vert="horz" wrap="square" anchor="ctr" anchorCtr="1"/>
        <a:lstStyle/>
        <a:p>
          <a:pPr>
            <a:defRPr sz="1400" b="1" i="0" u="none" strike="noStrike" kern="1200" baseline="0">
              <a:solidFill>
                <a:schemeClr val="tx2"/>
              </a:solidFill>
              <a:latin typeface="+mn-lt"/>
              <a:ea typeface="+mn-ea"/>
              <a:cs typeface="+mn-cs"/>
            </a:defRPr>
          </a:pPr>
          <a:endParaRPr lang="en-US"/>
        </a:p>
      </c:txPr>
    </c:title>
    <c:autoTitleDeleted val="0"/>
    <c:plotArea>
      <c:layout>
        <c:manualLayout>
          <c:layoutTarget val="inner"/>
          <c:xMode val="edge"/>
          <c:yMode val="edge"/>
          <c:x val="0.23929728510498688"/>
          <c:y val="0.20716357214607431"/>
          <c:w val="0.45739754024976081"/>
          <c:h val="0.61129780778599208"/>
        </c:manualLayout>
      </c:layout>
      <c:pieChart>
        <c:varyColors val="1"/>
        <c:ser>
          <c:idx val="0"/>
          <c:order val="0"/>
          <c:dPt>
            <c:idx val="0"/>
            <c:bubble3D val="0"/>
            <c:spPr>
              <a:solidFill>
                <a:schemeClr val="accent2">
                  <a:lumMod val="75000"/>
                </a:schemeClr>
              </a:solidFill>
              <a:ln>
                <a:noFill/>
              </a:ln>
              <a:effectLst/>
            </c:spPr>
            <c:extLst>
              <c:ext xmlns:c16="http://schemas.microsoft.com/office/drawing/2014/chart" uri="{C3380CC4-5D6E-409C-BE32-E72D297353CC}">
                <c16:uniqueId val="{00000001-86AE-40EB-9C37-2CD133B0E425}"/>
              </c:ext>
            </c:extLst>
          </c:dPt>
          <c:dPt>
            <c:idx val="1"/>
            <c:bubble3D val="0"/>
            <c:spPr>
              <a:solidFill>
                <a:schemeClr val="accent2">
                  <a:lumMod val="40000"/>
                  <a:lumOff val="60000"/>
                </a:schemeClr>
              </a:solidFill>
              <a:ln>
                <a:noFill/>
              </a:ln>
              <a:effectLst/>
            </c:spPr>
            <c:extLst>
              <c:ext xmlns:c16="http://schemas.microsoft.com/office/drawing/2014/chart" uri="{C3380CC4-5D6E-409C-BE32-E72D297353CC}">
                <c16:uniqueId val="{00000003-86AE-40EB-9C37-2CD133B0E425}"/>
              </c:ext>
            </c:extLst>
          </c:dPt>
          <c:dLbls>
            <c:dLbl>
              <c:idx val="0"/>
              <c:layout>
                <c:manualLayout>
                  <c:x val="-8.5936132983377087E-3"/>
                  <c:y val="0.10567585301837271"/>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86AE-40EB-9C37-2CD133B0E425}"/>
                </c:ext>
              </c:extLst>
            </c:dLbl>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2"/>
                    </a:solidFill>
                    <a:latin typeface="+mn-lt"/>
                    <a:ea typeface="+mn-ea"/>
                    <a:cs typeface="+mn-cs"/>
                  </a:defRPr>
                </a:pPr>
                <a:endParaRPr lang="en-US"/>
              </a:p>
            </c:txPr>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Analysis!$L$130:$M$130</c:f>
              <c:strCache>
                <c:ptCount val="2"/>
                <c:pt idx="0">
                  <c:v>Access to adapted sanitation option</c:v>
                </c:pt>
                <c:pt idx="1">
                  <c:v>No access to adapted sanitation option</c:v>
                </c:pt>
              </c:strCache>
            </c:strRef>
          </c:cat>
          <c:val>
            <c:numRef>
              <c:f>Analysis!$L$131:$M$131</c:f>
              <c:numCache>
                <c:formatCode>General</c:formatCode>
                <c:ptCount val="2"/>
                <c:pt idx="0">
                  <c:v>401</c:v>
                </c:pt>
                <c:pt idx="1">
                  <c:v>14179</c:v>
                </c:pt>
              </c:numCache>
            </c:numRef>
          </c:val>
          <c:extLst>
            <c:ext xmlns:c16="http://schemas.microsoft.com/office/drawing/2014/chart" uri="{C3380CC4-5D6E-409C-BE32-E72D297353CC}">
              <c16:uniqueId val="{00000004-86AE-40EB-9C37-2CD133B0E425}"/>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2"/>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1" i="0" u="none" strike="noStrike" kern="1200" baseline="0">
                <a:solidFill>
                  <a:srgbClr val="44546A"/>
                </a:solidFill>
                <a:latin typeface="+mn-lt"/>
                <a:ea typeface="+mn-ea"/>
                <a:cs typeface="+mn-cs"/>
              </a:defRPr>
            </a:pPr>
            <a:r>
              <a:rPr lang="en-US" sz="1400" b="1" i="0" baseline="0">
                <a:effectLst/>
              </a:rPr>
              <a:t>Latrine Functionality</a:t>
            </a:r>
            <a:endParaRPr lang="en-US" sz="1400">
              <a:effectLst/>
            </a:endParaRP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1" i="0" u="none" strike="noStrike" kern="1200" baseline="0">
              <a:solidFill>
                <a:srgbClr val="44546A"/>
              </a:solidFill>
              <a:latin typeface="+mn-lt"/>
              <a:ea typeface="+mn-ea"/>
              <a:cs typeface="+mn-cs"/>
            </a:defRPr>
          </a:pPr>
          <a:endParaRPr lang="en-US"/>
        </a:p>
      </c:txPr>
    </c:title>
    <c:autoTitleDeleted val="0"/>
    <c:plotArea>
      <c:layout>
        <c:manualLayout>
          <c:layoutTarget val="inner"/>
          <c:xMode val="edge"/>
          <c:yMode val="edge"/>
          <c:x val="0.17669295116084219"/>
          <c:y val="0.20955031120066489"/>
          <c:w val="0.48613847671558685"/>
          <c:h val="0.5665080446818721"/>
        </c:manualLayout>
      </c:layout>
      <c:pieChart>
        <c:varyColors val="1"/>
        <c:ser>
          <c:idx val="0"/>
          <c:order val="0"/>
          <c:dPt>
            <c:idx val="0"/>
            <c:bubble3D val="0"/>
            <c:spPr>
              <a:solidFill>
                <a:schemeClr val="accent2">
                  <a:lumMod val="75000"/>
                </a:schemeClr>
              </a:solidFill>
              <a:ln>
                <a:noFill/>
              </a:ln>
              <a:effectLst/>
            </c:spPr>
            <c:extLst>
              <c:ext xmlns:c16="http://schemas.microsoft.com/office/drawing/2014/chart" uri="{C3380CC4-5D6E-409C-BE32-E72D297353CC}">
                <c16:uniqueId val="{00000001-DDD7-4D0E-A856-D66800E8ACB7}"/>
              </c:ext>
            </c:extLst>
          </c:dPt>
          <c:dPt>
            <c:idx val="1"/>
            <c:bubble3D val="0"/>
            <c:spPr>
              <a:solidFill>
                <a:schemeClr val="accent2">
                  <a:lumMod val="40000"/>
                  <a:lumOff val="60000"/>
                </a:schemeClr>
              </a:solidFill>
              <a:ln>
                <a:noFill/>
              </a:ln>
              <a:effectLst/>
            </c:spPr>
            <c:extLst>
              <c:ext xmlns:c16="http://schemas.microsoft.com/office/drawing/2014/chart" uri="{C3380CC4-5D6E-409C-BE32-E72D297353CC}">
                <c16:uniqueId val="{00000003-DDD7-4D0E-A856-D66800E8ACB7}"/>
              </c:ext>
            </c:extLst>
          </c:dPt>
          <c:dLbls>
            <c:dLbl>
              <c:idx val="0"/>
              <c:layout>
                <c:manualLayout>
                  <c:x val="-5.4314489121275629E-2"/>
                  <c:y val="-0.19645368857872042"/>
                </c:manualLayout>
              </c:layout>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bg1"/>
                      </a:solidFill>
                      <a:latin typeface="+mn-lt"/>
                      <a:ea typeface="+mn-ea"/>
                      <a:cs typeface="+mn-cs"/>
                    </a:defRPr>
                  </a:pPr>
                  <a:endParaRPr lang="en-US"/>
                </a:p>
              </c:txPr>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DDD7-4D0E-A856-D66800E8ACB7}"/>
                </c:ext>
              </c:extLst>
            </c:dLbl>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2"/>
                    </a:solidFill>
                    <a:latin typeface="+mn-lt"/>
                    <a:ea typeface="+mn-ea"/>
                    <a:cs typeface="+mn-cs"/>
                  </a:defRPr>
                </a:pPr>
                <a:endParaRPr lang="en-US"/>
              </a:p>
            </c:txPr>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Analysis!$I$94:$I$95</c:f>
              <c:strCache>
                <c:ptCount val="2"/>
                <c:pt idx="0">
                  <c:v>Functioning</c:v>
                </c:pt>
                <c:pt idx="1">
                  <c:v>Not_Functioning</c:v>
                </c:pt>
              </c:strCache>
            </c:strRef>
          </c:cat>
          <c:val>
            <c:numRef>
              <c:f>Analysis!$J$94:$J$95</c:f>
              <c:numCache>
                <c:formatCode>_(* #,##0_);_(* \(#,##0\);_(* "-"??_);_(@_)</c:formatCode>
                <c:ptCount val="2"/>
                <c:pt idx="0">
                  <c:v>5256</c:v>
                </c:pt>
                <c:pt idx="1">
                  <c:v>656</c:v>
                </c:pt>
              </c:numCache>
            </c:numRef>
          </c:val>
          <c:extLst>
            <c:ext xmlns:c16="http://schemas.microsoft.com/office/drawing/2014/chart" uri="{C3380CC4-5D6E-409C-BE32-E72D297353CC}">
              <c16:uniqueId val="{00000004-DDD7-4D0E-A856-D66800E8ACB7}"/>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2"/>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chart>
    <c:title>
      <c:tx>
        <c:rich>
          <a:bodyPr rot="0" spcFirstLastPara="1" vertOverflow="ellipsis" vert="horz" wrap="square" anchor="ctr" anchorCtr="1"/>
          <a:lstStyle/>
          <a:p>
            <a:pPr>
              <a:defRPr sz="1400" b="1" i="0" u="none" strike="noStrike" kern="1200" baseline="0">
                <a:solidFill>
                  <a:schemeClr val="tx2"/>
                </a:solidFill>
                <a:latin typeface="+mn-lt"/>
                <a:ea typeface="+mn-ea"/>
                <a:cs typeface="+mn-cs"/>
              </a:defRPr>
            </a:pPr>
            <a:r>
              <a:rPr lang="en-US" sz="1400"/>
              <a:t>Latrine Coverage</a:t>
            </a:r>
          </a:p>
        </c:rich>
      </c:tx>
      <c:overlay val="0"/>
      <c:spPr>
        <a:noFill/>
        <a:ln>
          <a:noFill/>
        </a:ln>
        <a:effectLst/>
      </c:spPr>
      <c:txPr>
        <a:bodyPr rot="0" spcFirstLastPara="1" vertOverflow="ellipsis" vert="horz" wrap="square" anchor="ctr" anchorCtr="1"/>
        <a:lstStyle/>
        <a:p>
          <a:pPr>
            <a:defRPr sz="1400" b="1" i="0" u="none" strike="noStrike" kern="1200" baseline="0">
              <a:solidFill>
                <a:schemeClr val="tx2"/>
              </a:solidFill>
              <a:latin typeface="+mn-lt"/>
              <a:ea typeface="+mn-ea"/>
              <a:cs typeface="+mn-cs"/>
            </a:defRPr>
          </a:pPr>
          <a:endParaRPr lang="en-US"/>
        </a:p>
      </c:txPr>
    </c:title>
    <c:autoTitleDeleted val="0"/>
    <c:plotArea>
      <c:layout>
        <c:manualLayout>
          <c:layoutTarget val="inner"/>
          <c:xMode val="edge"/>
          <c:yMode val="edge"/>
          <c:x val="0.17928240287341965"/>
          <c:y val="0.21516191168752388"/>
          <c:w val="0.77586055206596072"/>
          <c:h val="0.43143424982722389"/>
        </c:manualLayout>
      </c:layout>
      <c:barChart>
        <c:barDir val="col"/>
        <c:grouping val="percentStacked"/>
        <c:varyColors val="0"/>
        <c:ser>
          <c:idx val="0"/>
          <c:order val="0"/>
          <c:tx>
            <c:strRef>
              <c:f>Analysis!$F$95</c:f>
              <c:strCache>
                <c:ptCount val="1"/>
                <c:pt idx="0">
                  <c:v> Coverage </c:v>
                </c:pt>
              </c:strCache>
            </c:strRef>
          </c:tx>
          <c:spPr>
            <a:solidFill>
              <a:schemeClr val="accent2">
                <a:lumMod val="7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bg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Analysis!$G$94</c:f>
              <c:strCache>
                <c:ptCount val="1"/>
                <c:pt idx="0">
                  <c:v> # in camps (20:1) </c:v>
                </c:pt>
              </c:strCache>
            </c:strRef>
          </c:cat>
          <c:val>
            <c:numRef>
              <c:f>Analysis!$G$95</c:f>
              <c:numCache>
                <c:formatCode>_(* #,##0_);_(* \(#,##0\);_(* "-"??_);_(@_)</c:formatCode>
                <c:ptCount val="1"/>
                <c:pt idx="0">
                  <c:v>5256</c:v>
                </c:pt>
              </c:numCache>
            </c:numRef>
          </c:val>
          <c:extLst>
            <c:ext xmlns:c16="http://schemas.microsoft.com/office/drawing/2014/chart" uri="{C3380CC4-5D6E-409C-BE32-E72D297353CC}">
              <c16:uniqueId val="{00000000-A6C3-4C9D-924E-545947A62E9C}"/>
            </c:ext>
          </c:extLst>
        </c:ser>
        <c:ser>
          <c:idx val="1"/>
          <c:order val="1"/>
          <c:tx>
            <c:strRef>
              <c:f>Analysis!$F$96</c:f>
              <c:strCache>
                <c:ptCount val="1"/>
                <c:pt idx="0">
                  <c:v> GAP </c:v>
                </c:pt>
              </c:strCache>
            </c:strRef>
          </c:tx>
          <c:spPr>
            <a:solidFill>
              <a:schemeClr val="accent2">
                <a:lumMod val="40000"/>
                <a:lumOff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2"/>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Analysis!$G$94</c:f>
              <c:strCache>
                <c:ptCount val="1"/>
                <c:pt idx="0">
                  <c:v> # in camps (20:1) </c:v>
                </c:pt>
              </c:strCache>
            </c:strRef>
          </c:cat>
          <c:val>
            <c:numRef>
              <c:f>Analysis!$G$96</c:f>
              <c:numCache>
                <c:formatCode>_(* #,##0_);_(* \(#,##0\);_(* "-"??_);_(@_)</c:formatCode>
                <c:ptCount val="1"/>
                <c:pt idx="0">
                  <c:v>704</c:v>
                </c:pt>
              </c:numCache>
            </c:numRef>
          </c:val>
          <c:extLst>
            <c:ext xmlns:c16="http://schemas.microsoft.com/office/drawing/2014/chart" uri="{C3380CC4-5D6E-409C-BE32-E72D297353CC}">
              <c16:uniqueId val="{00000001-A6C3-4C9D-924E-545947A62E9C}"/>
            </c:ext>
          </c:extLst>
        </c:ser>
        <c:dLbls>
          <c:dLblPos val="ctr"/>
          <c:showLegendKey val="0"/>
          <c:showVal val="1"/>
          <c:showCatName val="0"/>
          <c:showSerName val="0"/>
          <c:showPercent val="0"/>
          <c:showBubbleSize val="0"/>
        </c:dLbls>
        <c:gapWidth val="150"/>
        <c:overlap val="100"/>
        <c:axId val="395455520"/>
        <c:axId val="395451208"/>
      </c:barChart>
      <c:catAx>
        <c:axId val="395455520"/>
        <c:scaling>
          <c:orientation val="minMax"/>
        </c:scaling>
        <c:delete val="0"/>
        <c:axPos val="b"/>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2"/>
                </a:solidFill>
                <a:latin typeface="+mn-lt"/>
                <a:ea typeface="+mn-ea"/>
                <a:cs typeface="+mn-cs"/>
              </a:defRPr>
            </a:pPr>
            <a:endParaRPr lang="en-US"/>
          </a:p>
        </c:txPr>
        <c:crossAx val="395451208"/>
        <c:crosses val="autoZero"/>
        <c:auto val="1"/>
        <c:lblAlgn val="ctr"/>
        <c:lblOffset val="100"/>
        <c:noMultiLvlLbl val="0"/>
      </c:catAx>
      <c:valAx>
        <c:axId val="395451208"/>
        <c:scaling>
          <c:orientation val="minMax"/>
        </c:scaling>
        <c:delete val="0"/>
        <c:axPos val="l"/>
        <c:majorGridlines>
          <c:spPr>
            <a:ln w="9525" cap="flat" cmpd="sng" algn="ctr">
              <a:solidFill>
                <a:schemeClr val="tx2">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n-US"/>
          </a:p>
        </c:txPr>
        <c:crossAx val="39545552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2"/>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baseline="0">
                <a:solidFill>
                  <a:schemeClr val="tx2"/>
                </a:solidFill>
                <a:latin typeface="+mn-lt"/>
                <a:ea typeface="+mn-ea"/>
                <a:cs typeface="+mn-cs"/>
              </a:defRPr>
            </a:pPr>
            <a:r>
              <a:rPr lang="en-US" sz="1400" b="1" i="0" baseline="0">
                <a:effectLst/>
              </a:rPr>
              <a:t>Rakhine Funding Splits INGO, LNGO</a:t>
            </a:r>
            <a:endParaRPr lang="en-US" sz="1400">
              <a:effectLst/>
            </a:endParaRPr>
          </a:p>
        </c:rich>
      </c:tx>
      <c:overlay val="0"/>
      <c:spPr>
        <a:noFill/>
        <a:ln>
          <a:noFill/>
        </a:ln>
        <a:effectLst/>
      </c:spPr>
      <c:txPr>
        <a:bodyPr rot="0" spcFirstLastPara="1" vertOverflow="ellipsis" vert="horz" wrap="square" anchor="ctr" anchorCtr="1"/>
        <a:lstStyle/>
        <a:p>
          <a:pPr>
            <a:defRPr sz="1400" b="1" i="0" u="none" strike="noStrike" kern="1200" baseline="0">
              <a:solidFill>
                <a:schemeClr val="tx2"/>
              </a:solidFill>
              <a:latin typeface="+mn-lt"/>
              <a:ea typeface="+mn-ea"/>
              <a:cs typeface="+mn-cs"/>
            </a:defRPr>
          </a:pPr>
          <a:endParaRPr lang="en-US"/>
        </a:p>
      </c:txPr>
    </c:title>
    <c:autoTitleDeleted val="0"/>
    <c:pivotFmts>
      <c:pivotFmt>
        <c:idx val="0"/>
        <c:spPr>
          <a:solidFill>
            <a:schemeClr val="bg1">
              <a:lumMod val="50000"/>
            </a:schemeClr>
          </a:solidFill>
          <a:ln>
            <a:noFill/>
          </a:ln>
          <a:effectLst/>
        </c:spPr>
        <c:marker>
          <c:symbol val="none"/>
        </c:marker>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bg1">
              <a:lumMod val="65000"/>
            </a:schemeClr>
          </a:solidFill>
          <a:ln>
            <a:noFill/>
          </a:ln>
          <a:effectLst/>
        </c:spPr>
        <c:marker>
          <c:symbol val="none"/>
        </c:marker>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marker>
          <c:symbol val="none"/>
        </c:marker>
      </c:pivotFmt>
      <c:pivotFmt>
        <c:idx val="3"/>
        <c:spPr>
          <a:solidFill>
            <a:schemeClr val="bg1">
              <a:lumMod val="65000"/>
            </a:schemeClr>
          </a:solidFill>
          <a:ln>
            <a:noFill/>
          </a:ln>
          <a:effectLst/>
        </c:spPr>
        <c:dLbl>
          <c:idx val="0"/>
          <c:layout>
            <c:manualLayout>
              <c:x val="-2.2636003615344239E-2"/>
              <c:y val="-1.957559493624059E-2"/>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marker>
          <c:symbol val="none"/>
        </c:marker>
      </c:pivotFmt>
      <c:pivotFmt>
        <c:idx val="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marker>
          <c:symbol val="none"/>
        </c:marker>
      </c:pivotFmt>
      <c:pivotFmt>
        <c:idx val="6"/>
        <c:spPr>
          <a:solidFill>
            <a:schemeClr val="bg1">
              <a:lumMod val="50000"/>
            </a:schemeClr>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marker>
          <c:symbol val="none"/>
        </c:marker>
      </c:pivotFmt>
      <c:pivotFmt>
        <c:idx val="8"/>
        <c:spPr>
          <a:solidFill>
            <a:schemeClr val="bg1">
              <a:lumMod val="65000"/>
            </a:schemeClr>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9"/>
        <c:spPr>
          <a:solidFill>
            <a:schemeClr val="accent4"/>
          </a:solidFill>
          <a:ln>
            <a:noFill/>
          </a:ln>
          <a:effectLst/>
        </c:spPr>
        <c:marker>
          <c:symbol val="none"/>
        </c:marker>
      </c:pivotFmt>
      <c:pivotFmt>
        <c:idx val="10"/>
        <c:spPr>
          <a:solidFill>
            <a:schemeClr val="bg1">
              <a:lumMod val="85000"/>
            </a:schemeClr>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2"/>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1"/>
        <c:spPr>
          <a:solidFill>
            <a:schemeClr val="bg1">
              <a:lumMod val="65000"/>
            </a:schemeClr>
          </a:solidFill>
          <a:ln>
            <a:noFill/>
          </a:ln>
          <a:effectLst/>
        </c:spPr>
        <c:dLbl>
          <c:idx val="0"/>
          <c:layout>
            <c:manualLayout>
              <c:x val="-4.5925927265264722E-3"/>
              <c:y val="-6.0162677190098248E-17"/>
            </c:manualLayout>
          </c:layout>
          <c:numFmt formatCode="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2"/>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2"/>
        <c:spPr>
          <a:solidFill>
            <a:schemeClr val="bg1">
              <a:lumMod val="85000"/>
            </a:schemeClr>
          </a:solidFill>
          <a:ln>
            <a:noFill/>
          </a:ln>
          <a:effectLst/>
        </c:spPr>
        <c:dLbl>
          <c:idx val="0"/>
          <c:layout>
            <c:manualLayout>
              <c:x val="3.4444445448948542E-2"/>
              <c:y val="-6.0162677190098248E-17"/>
            </c:manualLayout>
          </c:layout>
          <c:numFmt formatCode="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2"/>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3"/>
        <c:spPr>
          <a:solidFill>
            <a:schemeClr val="bg1">
              <a:lumMod val="50000"/>
            </a:schemeClr>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4"/>
        <c:spPr>
          <a:solidFill>
            <a:schemeClr val="bg1">
              <a:lumMod val="65000"/>
            </a:schemeClr>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5"/>
        <c:spPr>
          <a:solidFill>
            <a:schemeClr val="bg1">
              <a:lumMod val="65000"/>
            </a:schemeClr>
          </a:solidFill>
          <a:ln>
            <a:noFill/>
          </a:ln>
          <a:effectLst/>
        </c:spPr>
        <c:dLbl>
          <c:idx val="0"/>
          <c:layout>
            <c:manualLayout>
              <c:x val="-4.5925927265264722E-3"/>
              <c:y val="-6.0162677190098248E-17"/>
            </c:manualLayout>
          </c:layout>
          <c:numFmt formatCode="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2"/>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6"/>
        <c:spPr>
          <a:solidFill>
            <a:schemeClr val="bg1">
              <a:lumMod val="85000"/>
            </a:schemeClr>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2"/>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7"/>
        <c:spPr>
          <a:solidFill>
            <a:schemeClr val="bg1">
              <a:lumMod val="85000"/>
            </a:schemeClr>
          </a:solidFill>
          <a:ln>
            <a:noFill/>
          </a:ln>
          <a:effectLst/>
        </c:spPr>
        <c:dLbl>
          <c:idx val="0"/>
          <c:layout>
            <c:manualLayout>
              <c:x val="3.4444445448948542E-2"/>
              <c:y val="-6.0162677190098248E-17"/>
            </c:manualLayout>
          </c:layout>
          <c:numFmt formatCode="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2"/>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bar"/>
        <c:grouping val="percentStacked"/>
        <c:varyColors val="0"/>
        <c:ser>
          <c:idx val="0"/>
          <c:order val="0"/>
          <c:tx>
            <c:v>INGO</c:v>
          </c:tx>
          <c:spPr>
            <a:solidFill>
              <a:schemeClr val="bg1">
                <a:lumMod val="50000"/>
              </a:schemeClr>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Lit>
              <c:ptCount val="1"/>
              <c:pt idx="0">
                <c:v>Total</c:v>
              </c:pt>
            </c:strLit>
          </c:cat>
          <c:val>
            <c:numLit>
              <c:formatCode>General</c:formatCode>
              <c:ptCount val="1"/>
              <c:pt idx="0">
                <c:v>0.91321082705598466</c:v>
              </c:pt>
            </c:numLit>
          </c:val>
          <c:extLst>
            <c:ext xmlns:c16="http://schemas.microsoft.com/office/drawing/2014/chart" uri="{C3380CC4-5D6E-409C-BE32-E72D297353CC}">
              <c16:uniqueId val="{00000000-75ED-41DF-827B-171A3BFD0CA4}"/>
            </c:ext>
          </c:extLst>
        </c:ser>
        <c:ser>
          <c:idx val="1"/>
          <c:order val="1"/>
          <c:tx>
            <c:v>LNGO</c:v>
          </c:tx>
          <c:spPr>
            <a:solidFill>
              <a:schemeClr val="bg1">
                <a:lumMod val="65000"/>
              </a:schemeClr>
            </a:solidFill>
            <a:ln>
              <a:noFill/>
            </a:ln>
            <a:effectLst/>
          </c:spPr>
          <c:invertIfNegative val="0"/>
          <c:dPt>
            <c:idx val="0"/>
            <c:invertIfNegative val="0"/>
            <c:bubble3D val="0"/>
            <c:spPr>
              <a:solidFill>
                <a:schemeClr val="bg1">
                  <a:lumMod val="65000"/>
                </a:schemeClr>
              </a:solidFill>
              <a:ln>
                <a:noFill/>
              </a:ln>
              <a:effectLst/>
            </c:spPr>
            <c:extLst>
              <c:ext xmlns:c16="http://schemas.microsoft.com/office/drawing/2014/chart" uri="{C3380CC4-5D6E-409C-BE32-E72D297353CC}">
                <c16:uniqueId val="{00000002-75ED-41DF-827B-171A3BFD0CA4}"/>
              </c:ext>
            </c:extLst>
          </c:dPt>
          <c:dLbls>
            <c:dLbl>
              <c:idx val="0"/>
              <c:layout>
                <c:manualLayout>
                  <c:x val="-4.5925927265264722E-3"/>
                  <c:y val="-6.0162677190098248E-17"/>
                </c:manualLayout>
              </c:layout>
              <c:numFmt formatCode="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2"/>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75ED-41DF-827B-171A3BFD0CA4}"/>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Lit>
              <c:ptCount val="1"/>
              <c:pt idx="0">
                <c:v>Total</c:v>
              </c:pt>
            </c:strLit>
          </c:cat>
          <c:val>
            <c:numLit>
              <c:formatCode>General</c:formatCode>
              <c:ptCount val="1"/>
              <c:pt idx="0">
                <c:v>6.2897639156402049E-2</c:v>
              </c:pt>
            </c:numLit>
          </c:val>
          <c:extLst>
            <c:ext xmlns:c16="http://schemas.microsoft.com/office/drawing/2014/chart" uri="{C3380CC4-5D6E-409C-BE32-E72D297353CC}">
              <c16:uniqueId val="{00000003-75ED-41DF-827B-171A3BFD0CA4}"/>
            </c:ext>
          </c:extLst>
        </c:ser>
        <c:ser>
          <c:idx val="2"/>
          <c:order val="2"/>
          <c:tx>
            <c:v>INGO/LNGO</c:v>
          </c:tx>
          <c:spPr>
            <a:solidFill>
              <a:schemeClr val="bg1">
                <a:lumMod val="85000"/>
              </a:schemeClr>
            </a:solidFill>
            <a:ln>
              <a:noFill/>
            </a:ln>
            <a:effectLst/>
          </c:spPr>
          <c:invertIfNegative val="0"/>
          <c:dPt>
            <c:idx val="0"/>
            <c:invertIfNegative val="0"/>
            <c:bubble3D val="0"/>
            <c:spPr>
              <a:solidFill>
                <a:schemeClr val="bg1">
                  <a:lumMod val="85000"/>
                </a:schemeClr>
              </a:solidFill>
              <a:ln>
                <a:noFill/>
              </a:ln>
              <a:effectLst/>
            </c:spPr>
            <c:extLst>
              <c:ext xmlns:c16="http://schemas.microsoft.com/office/drawing/2014/chart" uri="{C3380CC4-5D6E-409C-BE32-E72D297353CC}">
                <c16:uniqueId val="{00000005-75ED-41DF-827B-171A3BFD0CA4}"/>
              </c:ext>
            </c:extLst>
          </c:dPt>
          <c:dLbls>
            <c:dLbl>
              <c:idx val="0"/>
              <c:layout>
                <c:manualLayout>
                  <c:x val="3.4444445448948542E-2"/>
                  <c:y val="-6.0162677190098248E-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75ED-41DF-827B-171A3BFD0CA4}"/>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2"/>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Lit>
              <c:ptCount val="1"/>
              <c:pt idx="0">
                <c:v>Total</c:v>
              </c:pt>
            </c:strLit>
          </c:cat>
          <c:val>
            <c:numLit>
              <c:formatCode>General</c:formatCode>
              <c:ptCount val="1"/>
              <c:pt idx="0">
                <c:v>2.3891533787613311E-2</c:v>
              </c:pt>
            </c:numLit>
          </c:val>
          <c:extLst>
            <c:ext xmlns:c16="http://schemas.microsoft.com/office/drawing/2014/chart" uri="{C3380CC4-5D6E-409C-BE32-E72D297353CC}">
              <c16:uniqueId val="{00000006-75ED-41DF-827B-171A3BFD0CA4}"/>
            </c:ext>
          </c:extLst>
        </c:ser>
        <c:dLbls>
          <c:showLegendKey val="0"/>
          <c:showVal val="0"/>
          <c:showCatName val="0"/>
          <c:showSerName val="0"/>
          <c:showPercent val="0"/>
          <c:showBubbleSize val="0"/>
        </c:dLbls>
        <c:gapWidth val="150"/>
        <c:overlap val="100"/>
        <c:axId val="364369400"/>
        <c:axId val="364369792"/>
      </c:barChart>
      <c:catAx>
        <c:axId val="364369400"/>
        <c:scaling>
          <c:orientation val="minMax"/>
        </c:scaling>
        <c:delete val="1"/>
        <c:axPos val="l"/>
        <c:numFmt formatCode="General" sourceLinked="1"/>
        <c:majorTickMark val="none"/>
        <c:minorTickMark val="none"/>
        <c:tickLblPos val="nextTo"/>
        <c:crossAx val="364369792"/>
        <c:crosses val="autoZero"/>
        <c:auto val="1"/>
        <c:lblAlgn val="ctr"/>
        <c:lblOffset val="100"/>
        <c:noMultiLvlLbl val="0"/>
      </c:catAx>
      <c:valAx>
        <c:axId val="364369792"/>
        <c:scaling>
          <c:orientation val="minMax"/>
          <c:min val="0"/>
        </c:scaling>
        <c:delete val="0"/>
        <c:axPos val="b"/>
        <c:majorGridlines>
          <c:spPr>
            <a:ln w="9525" cap="flat" cmpd="sng" algn="ctr">
              <a:solidFill>
                <a:schemeClr val="tx2">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2"/>
                </a:solidFill>
                <a:latin typeface="+mn-lt"/>
                <a:ea typeface="+mn-ea"/>
                <a:cs typeface="+mn-cs"/>
              </a:defRPr>
            </a:pPr>
            <a:endParaRPr lang="en-US"/>
          </a:p>
        </c:txPr>
        <c:crossAx val="36436940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2"/>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n-US"/>
    </a:p>
  </c:txPr>
  <c:printSettings>
    <c:headerFooter/>
    <c:pageMargins b="0.75" l="0.7" r="0.7" t="0.75" header="0.3" footer="0.3"/>
    <c:pageSetup/>
  </c:printSettings>
  <c:extLst/>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rot="0" spcFirstLastPara="1" vertOverflow="ellipsis" vert="horz" wrap="square" anchor="ctr" anchorCtr="1"/>
          <a:lstStyle/>
          <a:p>
            <a:pPr>
              <a:defRPr sz="1400" b="1" i="0" u="none" strike="noStrike" kern="1200" baseline="0">
                <a:solidFill>
                  <a:schemeClr val="tx2"/>
                </a:solidFill>
                <a:latin typeface="+mn-lt"/>
                <a:ea typeface="+mn-ea"/>
                <a:cs typeface="+mn-cs"/>
              </a:defRPr>
            </a:pPr>
            <a:r>
              <a:rPr lang="en-US" sz="1400"/>
              <a:t>Funding Received/Gap as of 2019-Q4(US$)</a:t>
            </a:r>
          </a:p>
        </c:rich>
      </c:tx>
      <c:overlay val="0"/>
      <c:spPr>
        <a:noFill/>
        <a:ln>
          <a:noFill/>
        </a:ln>
        <a:effectLst/>
      </c:spPr>
      <c:txPr>
        <a:bodyPr rot="0" spcFirstLastPara="1" vertOverflow="ellipsis" vert="horz" wrap="square" anchor="ctr" anchorCtr="1"/>
        <a:lstStyle/>
        <a:p>
          <a:pPr>
            <a:defRPr sz="1400" b="1" i="0" u="none" strike="noStrike" kern="1200" baseline="0">
              <a:solidFill>
                <a:schemeClr val="tx2"/>
              </a:solidFill>
              <a:latin typeface="+mn-lt"/>
              <a:ea typeface="+mn-ea"/>
              <a:cs typeface="+mn-cs"/>
            </a:defRPr>
          </a:pPr>
          <a:endParaRPr lang="en-US"/>
        </a:p>
      </c:txPr>
    </c:title>
    <c:autoTitleDeleted val="0"/>
    <c:plotArea>
      <c:layout/>
      <c:barChart>
        <c:barDir val="bar"/>
        <c:grouping val="percentStacked"/>
        <c:varyColors val="0"/>
        <c:ser>
          <c:idx val="0"/>
          <c:order val="0"/>
          <c:tx>
            <c:strRef>
              <c:f>[5]National!$D$3</c:f>
              <c:strCache>
                <c:ptCount val="1"/>
                <c:pt idx="0">
                  <c:v>Cumulative Funding Received for 2019</c:v>
                </c:pt>
              </c:strCache>
            </c:strRef>
          </c:tx>
          <c:spPr>
            <a:solidFill>
              <a:schemeClr val="bg1">
                <a:lumMod val="50000"/>
              </a:schemeClr>
            </a:solidFill>
            <a:ln>
              <a:noFill/>
            </a:ln>
            <a:effectLst/>
          </c:spPr>
          <c:invertIfNegative val="0"/>
          <c:dLbls>
            <c:numFmt formatCode="&quot;$&quot;#,##0" sourceLinked="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dLblPos val="ct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extLst>
                <c:ext xmlns:c15="http://schemas.microsoft.com/office/drawing/2012/chart" uri="{02D57815-91ED-43cb-92C2-25804820EDAC}">
                  <c15:fullRef>
                    <c15:sqref>[5]National!$B$4:$B$6</c15:sqref>
                  </c15:fullRef>
                </c:ext>
              </c:extLst>
              <c:f>[5]National!$B$5</c:f>
              <c:strCache>
                <c:ptCount val="1"/>
                <c:pt idx="0">
                  <c:v>Rakhine</c:v>
                </c:pt>
              </c:strCache>
            </c:strRef>
          </c:cat>
          <c:val>
            <c:numRef>
              <c:extLst>
                <c:ext xmlns:c15="http://schemas.microsoft.com/office/drawing/2012/chart" uri="{02D57815-91ED-43cb-92C2-25804820EDAC}">
                  <c15:fullRef>
                    <c15:sqref>[5]National!$D$4:$D$6</c15:sqref>
                  </c15:fullRef>
                </c:ext>
              </c:extLst>
              <c:f>[5]National!$D$5</c:f>
              <c:numCache>
                <c:formatCode>General</c:formatCode>
                <c:ptCount val="1"/>
                <c:pt idx="0">
                  <c:v>10198493.822703928</c:v>
                </c:pt>
              </c:numCache>
            </c:numRef>
          </c:val>
          <c:extLst xmlns:c15="http://schemas.microsoft.com/office/drawing/2012/chart">
            <c:ext xmlns:c16="http://schemas.microsoft.com/office/drawing/2014/chart" uri="{C3380CC4-5D6E-409C-BE32-E72D297353CC}">
              <c16:uniqueId val="{00000000-6002-4494-8D2E-4896124953D9}"/>
            </c:ext>
          </c:extLst>
        </c:ser>
        <c:ser>
          <c:idx val="1"/>
          <c:order val="1"/>
          <c:tx>
            <c:strRef>
              <c:f>[5]National!$E$3</c:f>
              <c:strCache>
                <c:ptCount val="1"/>
                <c:pt idx="0">
                  <c:v>Gap</c:v>
                </c:pt>
              </c:strCache>
            </c:strRef>
          </c:tx>
          <c:spPr>
            <a:solidFill>
              <a:schemeClr val="bg1">
                <a:lumMod val="85000"/>
              </a:schemeClr>
            </a:solidFill>
            <a:ln>
              <a:noFill/>
            </a:ln>
            <a:effectLst/>
          </c:spPr>
          <c:invertIfNegative val="0"/>
          <c:dLbls>
            <c:numFmt formatCode="&quot;$&quot;#,##0" sourceLinked="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2"/>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extLst>
                <c:ext xmlns:c15="http://schemas.microsoft.com/office/drawing/2012/chart" uri="{02D57815-91ED-43cb-92C2-25804820EDAC}">
                  <c15:fullRef>
                    <c15:sqref>[5]National!$B$4:$B$6</c15:sqref>
                  </c15:fullRef>
                </c:ext>
              </c:extLst>
              <c:f>[5]National!$B$5</c:f>
              <c:strCache>
                <c:ptCount val="1"/>
                <c:pt idx="0">
                  <c:v>Rakhine</c:v>
                </c:pt>
              </c:strCache>
            </c:strRef>
          </c:cat>
          <c:val>
            <c:numRef>
              <c:extLst>
                <c:ext xmlns:c15="http://schemas.microsoft.com/office/drawing/2012/chart" uri="{02D57815-91ED-43cb-92C2-25804820EDAC}">
                  <c15:fullRef>
                    <c15:sqref>[5]National!$E$4:$E$6</c15:sqref>
                  </c15:fullRef>
                </c:ext>
              </c:extLst>
              <c:f>[5]National!$E$5</c:f>
              <c:numCache>
                <c:formatCode>General</c:formatCode>
                <c:ptCount val="1"/>
                <c:pt idx="0">
                  <c:v>9501506.1772960722</c:v>
                </c:pt>
              </c:numCache>
            </c:numRef>
          </c:val>
          <c:extLst>
            <c:ext xmlns:c16="http://schemas.microsoft.com/office/drawing/2014/chart" uri="{C3380CC4-5D6E-409C-BE32-E72D297353CC}">
              <c16:uniqueId val="{00000001-6002-4494-8D2E-4896124953D9}"/>
            </c:ext>
          </c:extLst>
        </c:ser>
        <c:dLbls>
          <c:dLblPos val="ctr"/>
          <c:showLegendKey val="0"/>
          <c:showVal val="1"/>
          <c:showCatName val="0"/>
          <c:showSerName val="0"/>
          <c:showPercent val="0"/>
          <c:showBubbleSize val="0"/>
        </c:dLbls>
        <c:gapWidth val="150"/>
        <c:overlap val="100"/>
        <c:axId val="364368616"/>
        <c:axId val="364375672"/>
        <c:extLst/>
      </c:barChart>
      <c:catAx>
        <c:axId val="364368616"/>
        <c:scaling>
          <c:orientation val="minMax"/>
        </c:scaling>
        <c:delete val="0"/>
        <c:axPos val="l"/>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2"/>
                </a:solidFill>
                <a:latin typeface="+mn-lt"/>
                <a:ea typeface="+mn-ea"/>
                <a:cs typeface="+mn-cs"/>
              </a:defRPr>
            </a:pPr>
            <a:endParaRPr lang="en-US"/>
          </a:p>
        </c:txPr>
        <c:crossAx val="364375672"/>
        <c:crosses val="autoZero"/>
        <c:auto val="1"/>
        <c:lblAlgn val="ctr"/>
        <c:lblOffset val="100"/>
        <c:noMultiLvlLbl val="0"/>
      </c:catAx>
      <c:valAx>
        <c:axId val="364375672"/>
        <c:scaling>
          <c:orientation val="minMax"/>
        </c:scaling>
        <c:delete val="0"/>
        <c:axPos val="b"/>
        <c:majorGridlines>
          <c:spPr>
            <a:ln w="9525" cap="flat" cmpd="sng" algn="ctr">
              <a:solidFill>
                <a:schemeClr val="tx2">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2"/>
                </a:solidFill>
                <a:latin typeface="+mn-lt"/>
                <a:ea typeface="+mn-ea"/>
                <a:cs typeface="+mn-cs"/>
              </a:defRPr>
            </a:pPr>
            <a:endParaRPr lang="en-US"/>
          </a:p>
        </c:txPr>
        <c:crossAx val="36436861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2"/>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[20200124_Myanmar_WASH_4W_2019_Q4_Rakhine_camp_Consolidate.xlsx]By Camps!PivotTable1</c:name>
    <c:fmtId val="4"/>
  </c:pivotSource>
  <c:chart>
    <c:title>
      <c:tx>
        <c:strRef>
          <c:f>'By Camps'!$B$34</c:f>
          <c:strCache>
            <c:ptCount val="1"/>
            <c:pt idx="0">
              <c:v>2019_Q4</c:v>
            </c:pt>
          </c:strCache>
        </c:strRef>
      </c:tx>
      <c:overlay val="0"/>
      <c:spPr>
        <a:noFill/>
        <a:ln>
          <a:noFill/>
        </a:ln>
        <a:effectLst/>
      </c:spPr>
      <c:txPr>
        <a:bodyPr rot="0" spcFirstLastPara="1" vertOverflow="ellipsis" vert="horz" wrap="square" anchor="ctr" anchorCtr="1"/>
        <a:lstStyle/>
        <a:p>
          <a:pPr>
            <a:defRPr sz="1600" b="1" i="0" u="none" strike="noStrike" kern="1200" baseline="0">
              <a:solidFill>
                <a:schemeClr val="dk1"/>
              </a:solidFill>
              <a:latin typeface="+mn-lt"/>
              <a:ea typeface="+mn-ea"/>
              <a:cs typeface="+mn-cs"/>
            </a:defRPr>
          </a:pPr>
          <a:endParaRPr lang="en-US"/>
        </a:p>
      </c:txPr>
    </c:title>
    <c:autoTitleDeleted val="0"/>
    <c:pivotFmts>
      <c:pivotFmt>
        <c:idx val="0"/>
      </c:pivotFmt>
      <c:pivotFmt>
        <c:idx val="1"/>
      </c:pivotFmt>
      <c:pivotFmt>
        <c:idx val="2"/>
        <c:spPr>
          <a:solidFill>
            <a:schemeClr val="tx1"/>
          </a:solidFill>
          <a:ln>
            <a:noFill/>
          </a:ln>
          <a:effectLst/>
        </c:spPr>
        <c:marker>
          <c:symbol val="none"/>
        </c:marker>
      </c:pivotFmt>
      <c:pivotFmt>
        <c:idx val="3"/>
        <c:spPr>
          <a:solidFill>
            <a:schemeClr val="accent6">
              <a:lumMod val="75000"/>
            </a:schemeClr>
          </a:solidFill>
          <a:ln>
            <a:noFill/>
          </a:ln>
          <a:effectLst/>
        </c:spPr>
        <c:marker>
          <c:symbol val="none"/>
        </c:marker>
      </c:pivotFmt>
      <c:pivotFmt>
        <c:idx val="4"/>
        <c:spPr>
          <a:solidFill>
            <a:schemeClr val="accent2">
              <a:lumMod val="75000"/>
            </a:schemeClr>
          </a:solidFill>
          <a:ln>
            <a:noFill/>
          </a:ln>
          <a:effectLst/>
        </c:spPr>
        <c:marker>
          <c:symbol val="none"/>
        </c:marker>
      </c:pivotFmt>
      <c:pivotFmt>
        <c:idx val="5"/>
        <c:spPr>
          <a:solidFill>
            <a:srgbClr val="0070C0"/>
          </a:solidFill>
          <a:ln>
            <a:noFill/>
          </a:ln>
          <a:effectLst/>
        </c:spPr>
        <c:marker>
          <c:symbol val="none"/>
        </c:marker>
      </c:pivotFmt>
      <c:pivotFmt>
        <c:idx val="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marker>
          <c:symbol val="none"/>
        </c:marker>
      </c:pivotFmt>
      <c:pivotFmt>
        <c:idx val="7"/>
        <c:spPr>
          <a:solidFill>
            <a:schemeClr val="accent6">
              <a:lumMod val="50000"/>
            </a:schemeClr>
          </a:solidFill>
          <a:ln>
            <a:noFill/>
          </a:ln>
          <a:effectLst/>
        </c:spPr>
        <c:marker>
          <c:symbol val="none"/>
        </c:marker>
      </c:pivotFmt>
      <c:pivotFmt>
        <c:idx val="8"/>
        <c:spPr>
          <a:solidFill>
            <a:schemeClr val="accent2">
              <a:lumMod val="75000"/>
            </a:schemeClr>
          </a:solidFill>
          <a:ln>
            <a:noFill/>
          </a:ln>
          <a:effectLst/>
        </c:spPr>
        <c:marker>
          <c:symbol val="none"/>
        </c:marker>
      </c:pivotFmt>
      <c:pivotFmt>
        <c:idx val="9"/>
        <c:spPr>
          <a:solidFill>
            <a:srgbClr val="0070C0"/>
          </a:solidFill>
          <a:ln>
            <a:noFill/>
          </a:ln>
          <a:effectLst/>
        </c:spPr>
        <c:marker>
          <c:symbol val="none"/>
        </c:marker>
      </c:pivotFmt>
    </c:pivotFmts>
    <c:plotArea>
      <c:layout>
        <c:manualLayout>
          <c:layoutTarget val="inner"/>
          <c:xMode val="edge"/>
          <c:yMode val="edge"/>
          <c:x val="0.22539750826490748"/>
          <c:y val="0.11493115019255251"/>
          <c:w val="0.54299572271418772"/>
          <c:h val="0.82620867752909466"/>
        </c:manualLayout>
      </c:layout>
      <c:barChart>
        <c:barDir val="bar"/>
        <c:grouping val="clustered"/>
        <c:varyColors val="0"/>
        <c:ser>
          <c:idx val="0"/>
          <c:order val="0"/>
          <c:tx>
            <c:strRef>
              <c:f>'By Camps'!$B$34</c:f>
              <c:strCache>
                <c:ptCount val="1"/>
                <c:pt idx="0">
                  <c:v>Total Population</c:v>
                </c:pt>
              </c:strCache>
            </c:strRef>
          </c:tx>
          <c:spPr>
            <a:solidFill>
              <a:schemeClr val="tx1"/>
            </a:solidFill>
            <a:ln>
              <a:noFill/>
            </a:ln>
            <a:effectLst/>
          </c:spPr>
          <c:invertIfNegative val="0"/>
          <c:cat>
            <c:strRef>
              <c:f>'By Camps'!$B$34</c:f>
              <c:strCache>
                <c:ptCount val="25"/>
                <c:pt idx="0">
                  <c:v>Ah Nauk Ywe</c:v>
                </c:pt>
                <c:pt idx="1">
                  <c:v>Basare</c:v>
                </c:pt>
                <c:pt idx="2">
                  <c:v>Baw Du Pha 1</c:v>
                </c:pt>
                <c:pt idx="3">
                  <c:v>Baw Du Pha 2</c:v>
                </c:pt>
                <c:pt idx="4">
                  <c:v>Dar Pai</c:v>
                </c:pt>
                <c:pt idx="5">
                  <c:v>Dar Pai (IDP in host families)</c:v>
                </c:pt>
                <c:pt idx="6">
                  <c:v>Kyauk Ta Lone</c:v>
                </c:pt>
                <c:pt idx="7">
                  <c:v>Kyein Ni Pyin</c:v>
                </c:pt>
                <c:pt idx="8">
                  <c:v>Maw Ti Ngar</c:v>
                </c:pt>
                <c:pt idx="9">
                  <c:v>Nget Chaung 1</c:v>
                </c:pt>
                <c:pt idx="10">
                  <c:v>Nget Chaung 2</c:v>
                </c:pt>
                <c:pt idx="11">
                  <c:v>NiDin</c:v>
                </c:pt>
                <c:pt idx="12">
                  <c:v>Ohn Taw Chay</c:v>
                </c:pt>
                <c:pt idx="13">
                  <c:v>Ohn Taw Gyi (North)</c:v>
                </c:pt>
                <c:pt idx="14">
                  <c:v>Ohn Taw Gyi (South)</c:v>
                </c:pt>
                <c:pt idx="15">
                  <c:v>Say Tha Mar Gyi</c:v>
                </c:pt>
                <c:pt idx="16">
                  <c:v>Sin Tet Maw</c:v>
                </c:pt>
                <c:pt idx="17">
                  <c:v>Taung Paw</c:v>
                </c:pt>
                <c:pt idx="18">
                  <c:v>Thae Chaung</c:v>
                </c:pt>
                <c:pt idx="19">
                  <c:v>Thet Kae Pyin </c:v>
                </c:pt>
                <c:pt idx="20">
                  <c:v>Thet Kae Pyin Village (IDPs in host family)</c:v>
                </c:pt>
                <c:pt idx="21">
                  <c:v>Khaung Doke Khar 2 (Hmanzi)</c:v>
                </c:pt>
                <c:pt idx="22">
                  <c:v>Khaung Doke Khar 1</c:v>
                </c:pt>
                <c:pt idx="23">
                  <c:v>Phwe Yar Kone (Say Tha Mar Gyi)</c:v>
                </c:pt>
                <c:pt idx="24">
                  <c:v>Baw Du Pha Village (IDP in host families)</c:v>
                </c:pt>
              </c:strCache>
            </c:strRef>
          </c:cat>
          <c:val>
            <c:numRef>
              <c:f>'By Camps'!$B$34</c:f>
              <c:numCache>
                <c:formatCode>General</c:formatCode>
                <c:ptCount val="25"/>
                <c:pt idx="0">
                  <c:v>4836</c:v>
                </c:pt>
                <c:pt idx="1">
                  <c:v>2111</c:v>
                </c:pt>
                <c:pt idx="2">
                  <c:v>4892</c:v>
                </c:pt>
                <c:pt idx="3">
                  <c:v>6936</c:v>
                </c:pt>
                <c:pt idx="4">
                  <c:v>11625</c:v>
                </c:pt>
                <c:pt idx="5">
                  <c:v>3360</c:v>
                </c:pt>
                <c:pt idx="6">
                  <c:v>974</c:v>
                </c:pt>
                <c:pt idx="7">
                  <c:v>6037</c:v>
                </c:pt>
                <c:pt idx="8">
                  <c:v>3486</c:v>
                </c:pt>
                <c:pt idx="9">
                  <c:v>4671</c:v>
                </c:pt>
                <c:pt idx="10">
                  <c:v>4676</c:v>
                </c:pt>
                <c:pt idx="11">
                  <c:v>581</c:v>
                </c:pt>
                <c:pt idx="12">
                  <c:v>3095</c:v>
                </c:pt>
                <c:pt idx="13">
                  <c:v>13302</c:v>
                </c:pt>
                <c:pt idx="14">
                  <c:v>11396</c:v>
                </c:pt>
                <c:pt idx="15">
                  <c:v>11564</c:v>
                </c:pt>
                <c:pt idx="16">
                  <c:v>2805</c:v>
                </c:pt>
                <c:pt idx="17">
                  <c:v>2920</c:v>
                </c:pt>
                <c:pt idx="18">
                  <c:v>6016</c:v>
                </c:pt>
                <c:pt idx="19">
                  <c:v>5950</c:v>
                </c:pt>
                <c:pt idx="20">
                  <c:v>1670</c:v>
                </c:pt>
                <c:pt idx="21">
                  <c:v>2186</c:v>
                </c:pt>
                <c:pt idx="22">
                  <c:v>2248</c:v>
                </c:pt>
                <c:pt idx="23">
                  <c:v>2285</c:v>
                </c:pt>
                <c:pt idx="24">
                  <c:v>114</c:v>
                </c:pt>
              </c:numCache>
            </c:numRef>
          </c:val>
          <c:extLst>
            <c:ext xmlns:c16="http://schemas.microsoft.com/office/drawing/2014/chart" uri="{C3380CC4-5D6E-409C-BE32-E72D297353CC}">
              <c16:uniqueId val="{00000000-92B1-419D-9658-6A092474F164}"/>
            </c:ext>
          </c:extLst>
        </c:ser>
        <c:ser>
          <c:idx val="1"/>
          <c:order val="1"/>
          <c:tx>
            <c:strRef>
              <c:f>'By Camps'!$B$34</c:f>
              <c:strCache>
                <c:ptCount val="1"/>
                <c:pt idx="0">
                  <c:v># of People adopt basic personal and community hygiene practices</c:v>
                </c:pt>
              </c:strCache>
            </c:strRef>
          </c:tx>
          <c:spPr>
            <a:solidFill>
              <a:schemeClr val="accent6">
                <a:lumMod val="50000"/>
              </a:schemeClr>
            </a:solidFill>
            <a:ln>
              <a:noFill/>
            </a:ln>
            <a:effectLst/>
          </c:spPr>
          <c:invertIfNegative val="0"/>
          <c:cat>
            <c:strRef>
              <c:f>'By Camps'!$B$34</c:f>
              <c:strCache>
                <c:ptCount val="25"/>
                <c:pt idx="0">
                  <c:v>Ah Nauk Ywe</c:v>
                </c:pt>
                <c:pt idx="1">
                  <c:v>Basare</c:v>
                </c:pt>
                <c:pt idx="2">
                  <c:v>Baw Du Pha 1</c:v>
                </c:pt>
                <c:pt idx="3">
                  <c:v>Baw Du Pha 2</c:v>
                </c:pt>
                <c:pt idx="4">
                  <c:v>Dar Pai</c:v>
                </c:pt>
                <c:pt idx="5">
                  <c:v>Dar Pai (IDP in host families)</c:v>
                </c:pt>
                <c:pt idx="6">
                  <c:v>Kyauk Ta Lone</c:v>
                </c:pt>
                <c:pt idx="7">
                  <c:v>Kyein Ni Pyin</c:v>
                </c:pt>
                <c:pt idx="8">
                  <c:v>Maw Ti Ngar</c:v>
                </c:pt>
                <c:pt idx="9">
                  <c:v>Nget Chaung 1</c:v>
                </c:pt>
                <c:pt idx="10">
                  <c:v>Nget Chaung 2</c:v>
                </c:pt>
                <c:pt idx="11">
                  <c:v>NiDin</c:v>
                </c:pt>
                <c:pt idx="12">
                  <c:v>Ohn Taw Chay</c:v>
                </c:pt>
                <c:pt idx="13">
                  <c:v>Ohn Taw Gyi (North)</c:v>
                </c:pt>
                <c:pt idx="14">
                  <c:v>Ohn Taw Gyi (South)</c:v>
                </c:pt>
                <c:pt idx="15">
                  <c:v>Say Tha Mar Gyi</c:v>
                </c:pt>
                <c:pt idx="16">
                  <c:v>Sin Tet Maw</c:v>
                </c:pt>
                <c:pt idx="17">
                  <c:v>Taung Paw</c:v>
                </c:pt>
                <c:pt idx="18">
                  <c:v>Thae Chaung</c:v>
                </c:pt>
                <c:pt idx="19">
                  <c:v>Thet Kae Pyin </c:v>
                </c:pt>
                <c:pt idx="20">
                  <c:v>Thet Kae Pyin Village (IDPs in host family)</c:v>
                </c:pt>
                <c:pt idx="21">
                  <c:v>Khaung Doke Khar 2 (Hmanzi)</c:v>
                </c:pt>
                <c:pt idx="22">
                  <c:v>Khaung Doke Khar 1</c:v>
                </c:pt>
                <c:pt idx="23">
                  <c:v>Phwe Yar Kone (Say Tha Mar Gyi)</c:v>
                </c:pt>
                <c:pt idx="24">
                  <c:v>Baw Du Pha Village (IDP in host families)</c:v>
                </c:pt>
              </c:strCache>
            </c:strRef>
          </c:cat>
          <c:val>
            <c:numRef>
              <c:f>'By Camps'!$B$34</c:f>
              <c:numCache>
                <c:formatCode>General</c:formatCode>
                <c:ptCount val="25"/>
                <c:pt idx="0">
                  <c:v>4836</c:v>
                </c:pt>
                <c:pt idx="1">
                  <c:v>1910</c:v>
                </c:pt>
                <c:pt idx="2">
                  <c:v>4892</c:v>
                </c:pt>
                <c:pt idx="3">
                  <c:v>6615</c:v>
                </c:pt>
                <c:pt idx="4">
                  <c:v>9245</c:v>
                </c:pt>
                <c:pt idx="5">
                  <c:v>2990</c:v>
                </c:pt>
                <c:pt idx="6">
                  <c:v>974</c:v>
                </c:pt>
                <c:pt idx="7">
                  <c:v>6037</c:v>
                </c:pt>
                <c:pt idx="8">
                  <c:v>0</c:v>
                </c:pt>
                <c:pt idx="9">
                  <c:v>4671</c:v>
                </c:pt>
                <c:pt idx="10">
                  <c:v>4676</c:v>
                </c:pt>
                <c:pt idx="11">
                  <c:v>0</c:v>
                </c:pt>
                <c:pt idx="12">
                  <c:v>3095</c:v>
                </c:pt>
                <c:pt idx="13">
                  <c:v>13302</c:v>
                </c:pt>
                <c:pt idx="14">
                  <c:v>11396</c:v>
                </c:pt>
                <c:pt idx="15">
                  <c:v>11564</c:v>
                </c:pt>
                <c:pt idx="16">
                  <c:v>2805</c:v>
                </c:pt>
                <c:pt idx="17">
                  <c:v>2920</c:v>
                </c:pt>
                <c:pt idx="18">
                  <c:v>5580</c:v>
                </c:pt>
                <c:pt idx="19">
                  <c:v>5950</c:v>
                </c:pt>
                <c:pt idx="20">
                  <c:v>1670</c:v>
                </c:pt>
                <c:pt idx="21">
                  <c:v>2186</c:v>
                </c:pt>
                <c:pt idx="22">
                  <c:v>2248</c:v>
                </c:pt>
                <c:pt idx="23">
                  <c:v>2285</c:v>
                </c:pt>
                <c:pt idx="24">
                  <c:v>114</c:v>
                </c:pt>
              </c:numCache>
            </c:numRef>
          </c:val>
          <c:extLst>
            <c:ext xmlns:c16="http://schemas.microsoft.com/office/drawing/2014/chart" uri="{C3380CC4-5D6E-409C-BE32-E72D297353CC}">
              <c16:uniqueId val="{00000001-AA6C-47F1-9AB0-98C69D3B90AD}"/>
            </c:ext>
          </c:extLst>
        </c:ser>
        <c:ser>
          <c:idx val="2"/>
          <c:order val="2"/>
          <c:tx>
            <c:strRef>
              <c:f>'By Camps'!$B$34</c:f>
              <c:strCache>
                <c:ptCount val="1"/>
                <c:pt idx="0">
                  <c:v># of people access to functioning  sanitation facilities</c:v>
                </c:pt>
              </c:strCache>
            </c:strRef>
          </c:tx>
          <c:spPr>
            <a:solidFill>
              <a:schemeClr val="accent2">
                <a:lumMod val="75000"/>
              </a:schemeClr>
            </a:solidFill>
            <a:ln>
              <a:noFill/>
            </a:ln>
            <a:effectLst/>
          </c:spPr>
          <c:invertIfNegative val="0"/>
          <c:cat>
            <c:strRef>
              <c:f>'By Camps'!$B$34</c:f>
              <c:strCache>
                <c:ptCount val="25"/>
                <c:pt idx="0">
                  <c:v>Ah Nauk Ywe</c:v>
                </c:pt>
                <c:pt idx="1">
                  <c:v>Basare</c:v>
                </c:pt>
                <c:pt idx="2">
                  <c:v>Baw Du Pha 1</c:v>
                </c:pt>
                <c:pt idx="3">
                  <c:v>Baw Du Pha 2</c:v>
                </c:pt>
                <c:pt idx="4">
                  <c:v>Dar Pai</c:v>
                </c:pt>
                <c:pt idx="5">
                  <c:v>Dar Pai (IDP in host families)</c:v>
                </c:pt>
                <c:pt idx="6">
                  <c:v>Kyauk Ta Lone</c:v>
                </c:pt>
                <c:pt idx="7">
                  <c:v>Kyein Ni Pyin</c:v>
                </c:pt>
                <c:pt idx="8">
                  <c:v>Maw Ti Ngar</c:v>
                </c:pt>
                <c:pt idx="9">
                  <c:v>Nget Chaung 1</c:v>
                </c:pt>
                <c:pt idx="10">
                  <c:v>Nget Chaung 2</c:v>
                </c:pt>
                <c:pt idx="11">
                  <c:v>NiDin</c:v>
                </c:pt>
                <c:pt idx="12">
                  <c:v>Ohn Taw Chay</c:v>
                </c:pt>
                <c:pt idx="13">
                  <c:v>Ohn Taw Gyi (North)</c:v>
                </c:pt>
                <c:pt idx="14">
                  <c:v>Ohn Taw Gyi (South)</c:v>
                </c:pt>
                <c:pt idx="15">
                  <c:v>Say Tha Mar Gyi</c:v>
                </c:pt>
                <c:pt idx="16">
                  <c:v>Sin Tet Maw</c:v>
                </c:pt>
                <c:pt idx="17">
                  <c:v>Taung Paw</c:v>
                </c:pt>
                <c:pt idx="18">
                  <c:v>Thae Chaung</c:v>
                </c:pt>
                <c:pt idx="19">
                  <c:v>Thet Kae Pyin </c:v>
                </c:pt>
                <c:pt idx="20">
                  <c:v>Thet Kae Pyin Village (IDPs in host family)</c:v>
                </c:pt>
                <c:pt idx="21">
                  <c:v>Khaung Doke Khar 2 (Hmanzi)</c:v>
                </c:pt>
                <c:pt idx="22">
                  <c:v>Khaung Doke Khar 1</c:v>
                </c:pt>
                <c:pt idx="23">
                  <c:v>Phwe Yar Kone (Say Tha Mar Gyi)</c:v>
                </c:pt>
                <c:pt idx="24">
                  <c:v>Baw Du Pha Village (IDP in host families)</c:v>
                </c:pt>
              </c:strCache>
            </c:strRef>
          </c:cat>
          <c:val>
            <c:numRef>
              <c:f>'By Camps'!$B$34</c:f>
              <c:numCache>
                <c:formatCode>General</c:formatCode>
                <c:ptCount val="25"/>
                <c:pt idx="0">
                  <c:v>4629</c:v>
                </c:pt>
                <c:pt idx="1">
                  <c:v>2111</c:v>
                </c:pt>
                <c:pt idx="2">
                  <c:v>4892</c:v>
                </c:pt>
                <c:pt idx="3">
                  <c:v>5060</c:v>
                </c:pt>
                <c:pt idx="4">
                  <c:v>8770</c:v>
                </c:pt>
                <c:pt idx="5">
                  <c:v>500</c:v>
                </c:pt>
                <c:pt idx="6">
                  <c:v>974</c:v>
                </c:pt>
                <c:pt idx="7">
                  <c:v>3370</c:v>
                </c:pt>
                <c:pt idx="8">
                  <c:v>3486</c:v>
                </c:pt>
                <c:pt idx="9">
                  <c:v>3134</c:v>
                </c:pt>
                <c:pt idx="10">
                  <c:v>3483</c:v>
                </c:pt>
                <c:pt idx="11">
                  <c:v>581</c:v>
                </c:pt>
                <c:pt idx="12">
                  <c:v>3095</c:v>
                </c:pt>
                <c:pt idx="13">
                  <c:v>10090</c:v>
                </c:pt>
                <c:pt idx="14">
                  <c:v>11396</c:v>
                </c:pt>
                <c:pt idx="15">
                  <c:v>11564</c:v>
                </c:pt>
                <c:pt idx="16">
                  <c:v>2805</c:v>
                </c:pt>
                <c:pt idx="17">
                  <c:v>2920</c:v>
                </c:pt>
                <c:pt idx="18">
                  <c:v>3910</c:v>
                </c:pt>
                <c:pt idx="19">
                  <c:v>5210</c:v>
                </c:pt>
                <c:pt idx="20">
                  <c:v>0</c:v>
                </c:pt>
                <c:pt idx="21">
                  <c:v>2186</c:v>
                </c:pt>
                <c:pt idx="22">
                  <c:v>2130</c:v>
                </c:pt>
                <c:pt idx="23">
                  <c:v>2285</c:v>
                </c:pt>
                <c:pt idx="24">
                  <c:v>0</c:v>
                </c:pt>
              </c:numCache>
            </c:numRef>
          </c:val>
          <c:extLst>
            <c:ext xmlns:c16="http://schemas.microsoft.com/office/drawing/2014/chart" uri="{C3380CC4-5D6E-409C-BE32-E72D297353CC}">
              <c16:uniqueId val="{00000002-AA6C-47F1-9AB0-98C69D3B90AD}"/>
            </c:ext>
          </c:extLst>
        </c:ser>
        <c:ser>
          <c:idx val="3"/>
          <c:order val="3"/>
          <c:tx>
            <c:strRef>
              <c:f>'By Camps'!$B$34</c:f>
              <c:strCache>
                <c:ptCount val="1"/>
                <c:pt idx="0">
                  <c:v># of people Equitable and continuous access to sufficient quantity of domestic water</c:v>
                </c:pt>
              </c:strCache>
            </c:strRef>
          </c:tx>
          <c:spPr>
            <a:solidFill>
              <a:srgbClr val="0070C0"/>
            </a:solidFill>
            <a:ln>
              <a:noFill/>
            </a:ln>
            <a:effectLst/>
          </c:spPr>
          <c:invertIfNegative val="0"/>
          <c:cat>
            <c:strRef>
              <c:f>'By Camps'!$B$34</c:f>
              <c:strCache>
                <c:ptCount val="25"/>
                <c:pt idx="0">
                  <c:v>Ah Nauk Ywe</c:v>
                </c:pt>
                <c:pt idx="1">
                  <c:v>Basare</c:v>
                </c:pt>
                <c:pt idx="2">
                  <c:v>Baw Du Pha 1</c:v>
                </c:pt>
                <c:pt idx="3">
                  <c:v>Baw Du Pha 2</c:v>
                </c:pt>
                <c:pt idx="4">
                  <c:v>Dar Pai</c:v>
                </c:pt>
                <c:pt idx="5">
                  <c:v>Dar Pai (IDP in host families)</c:v>
                </c:pt>
                <c:pt idx="6">
                  <c:v>Kyauk Ta Lone</c:v>
                </c:pt>
                <c:pt idx="7">
                  <c:v>Kyein Ni Pyin</c:v>
                </c:pt>
                <c:pt idx="8">
                  <c:v>Maw Ti Ngar</c:v>
                </c:pt>
                <c:pt idx="9">
                  <c:v>Nget Chaung 1</c:v>
                </c:pt>
                <c:pt idx="10">
                  <c:v>Nget Chaung 2</c:v>
                </c:pt>
                <c:pt idx="11">
                  <c:v>NiDin</c:v>
                </c:pt>
                <c:pt idx="12">
                  <c:v>Ohn Taw Chay</c:v>
                </c:pt>
                <c:pt idx="13">
                  <c:v>Ohn Taw Gyi (North)</c:v>
                </c:pt>
                <c:pt idx="14">
                  <c:v>Ohn Taw Gyi (South)</c:v>
                </c:pt>
                <c:pt idx="15">
                  <c:v>Say Tha Mar Gyi</c:v>
                </c:pt>
                <c:pt idx="16">
                  <c:v>Sin Tet Maw</c:v>
                </c:pt>
                <c:pt idx="17">
                  <c:v>Taung Paw</c:v>
                </c:pt>
                <c:pt idx="18">
                  <c:v>Thae Chaung</c:v>
                </c:pt>
                <c:pt idx="19">
                  <c:v>Thet Kae Pyin </c:v>
                </c:pt>
                <c:pt idx="20">
                  <c:v>Thet Kae Pyin Village (IDPs in host family)</c:v>
                </c:pt>
                <c:pt idx="21">
                  <c:v>Khaung Doke Khar 2 (Hmanzi)</c:v>
                </c:pt>
                <c:pt idx="22">
                  <c:v>Khaung Doke Khar 1</c:v>
                </c:pt>
                <c:pt idx="23">
                  <c:v>Phwe Yar Kone (Say Tha Mar Gyi)</c:v>
                </c:pt>
                <c:pt idx="24">
                  <c:v>Baw Du Pha Village (IDP in host families)</c:v>
                </c:pt>
              </c:strCache>
            </c:strRef>
          </c:cat>
          <c:val>
            <c:numRef>
              <c:f>'By Camps'!$B$34</c:f>
              <c:numCache>
                <c:formatCode>General</c:formatCode>
                <c:ptCount val="25"/>
                <c:pt idx="0">
                  <c:v>4836</c:v>
                </c:pt>
                <c:pt idx="1">
                  <c:v>2111</c:v>
                </c:pt>
                <c:pt idx="2">
                  <c:v>4892</c:v>
                </c:pt>
                <c:pt idx="3">
                  <c:v>6936</c:v>
                </c:pt>
                <c:pt idx="4">
                  <c:v>11625</c:v>
                </c:pt>
                <c:pt idx="5">
                  <c:v>3360</c:v>
                </c:pt>
                <c:pt idx="6">
                  <c:v>974</c:v>
                </c:pt>
                <c:pt idx="7">
                  <c:v>6037</c:v>
                </c:pt>
                <c:pt idx="8">
                  <c:v>3486</c:v>
                </c:pt>
                <c:pt idx="9">
                  <c:v>4671</c:v>
                </c:pt>
                <c:pt idx="10">
                  <c:v>4676</c:v>
                </c:pt>
                <c:pt idx="11">
                  <c:v>0</c:v>
                </c:pt>
                <c:pt idx="12">
                  <c:v>3095</c:v>
                </c:pt>
                <c:pt idx="13">
                  <c:v>13302</c:v>
                </c:pt>
                <c:pt idx="14">
                  <c:v>11396</c:v>
                </c:pt>
                <c:pt idx="15">
                  <c:v>11564</c:v>
                </c:pt>
                <c:pt idx="16">
                  <c:v>2805</c:v>
                </c:pt>
                <c:pt idx="17">
                  <c:v>2920</c:v>
                </c:pt>
                <c:pt idx="18">
                  <c:v>6016</c:v>
                </c:pt>
                <c:pt idx="19">
                  <c:v>5950</c:v>
                </c:pt>
                <c:pt idx="20">
                  <c:v>1670</c:v>
                </c:pt>
                <c:pt idx="21">
                  <c:v>2186</c:v>
                </c:pt>
                <c:pt idx="22">
                  <c:v>2248</c:v>
                </c:pt>
                <c:pt idx="23">
                  <c:v>2285</c:v>
                </c:pt>
                <c:pt idx="24">
                  <c:v>0</c:v>
                </c:pt>
              </c:numCache>
            </c:numRef>
          </c:val>
          <c:extLst>
            <c:ext xmlns:c16="http://schemas.microsoft.com/office/drawing/2014/chart" uri="{C3380CC4-5D6E-409C-BE32-E72D297353CC}">
              <c16:uniqueId val="{00000003-AA6C-47F1-9AB0-98C69D3B90AD}"/>
            </c:ext>
          </c:extLst>
        </c:ser>
        <c:dLbls>
          <c:showLegendKey val="0"/>
          <c:showVal val="0"/>
          <c:showCatName val="0"/>
          <c:showSerName val="0"/>
          <c:showPercent val="0"/>
          <c:showBubbleSize val="0"/>
        </c:dLbls>
        <c:gapWidth val="100"/>
        <c:axId val="354334472"/>
        <c:axId val="354340352"/>
      </c:barChart>
      <c:catAx>
        <c:axId val="354334472"/>
        <c:scaling>
          <c:orientation val="minMax"/>
        </c:scaling>
        <c:delete val="0"/>
        <c:axPos val="l"/>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dk1"/>
                </a:solidFill>
                <a:latin typeface="+mn-lt"/>
                <a:ea typeface="+mn-ea"/>
                <a:cs typeface="+mn-cs"/>
              </a:defRPr>
            </a:pPr>
            <a:endParaRPr lang="en-US"/>
          </a:p>
        </c:txPr>
        <c:crossAx val="354340352"/>
        <c:crosses val="autoZero"/>
        <c:auto val="1"/>
        <c:lblAlgn val="ctr"/>
        <c:lblOffset val="100"/>
        <c:noMultiLvlLbl val="0"/>
      </c:catAx>
      <c:valAx>
        <c:axId val="354340352"/>
        <c:scaling>
          <c:orientation val="minMax"/>
        </c:scaling>
        <c:delete val="0"/>
        <c:axPos val="b"/>
        <c:majorGridlines>
          <c:spPr>
            <a:ln w="9525" cap="flat" cmpd="sng" algn="ctr">
              <a:solidFill>
                <a:schemeClr val="tx2">
                  <a:lumMod val="15000"/>
                  <a:lumOff val="85000"/>
                </a:schemeClr>
              </a:solidFill>
              <a:round/>
            </a:ln>
            <a:effectLst/>
          </c:spPr>
        </c:majorGridlines>
        <c:title>
          <c:tx>
            <c:rich>
              <a:bodyPr rot="0" spcFirstLastPara="1" vertOverflow="ellipsis" vert="horz" wrap="square" anchor="ctr" anchorCtr="1"/>
              <a:lstStyle/>
              <a:p>
                <a:pPr>
                  <a:defRPr sz="900" b="1" i="0" u="none" strike="noStrike" kern="1200" baseline="0">
                    <a:solidFill>
                      <a:schemeClr val="dk1"/>
                    </a:solidFill>
                    <a:latin typeface="+mn-lt"/>
                    <a:ea typeface="+mn-ea"/>
                    <a:cs typeface="+mn-cs"/>
                  </a:defRPr>
                </a:pPr>
                <a:r>
                  <a:rPr lang="en-US"/>
                  <a:t>Nb of People</a:t>
                </a:r>
              </a:p>
            </c:rich>
          </c:tx>
          <c:layout>
            <c:manualLayout>
              <c:xMode val="edge"/>
              <c:yMode val="edge"/>
              <c:x val="0.8665541111587558"/>
              <c:y val="0.95460711635451478"/>
            </c:manualLayout>
          </c:layout>
          <c:overlay val="0"/>
          <c:spPr>
            <a:noFill/>
            <a:ln>
              <a:noFill/>
            </a:ln>
            <a:effectLst/>
          </c:spPr>
          <c:txPr>
            <a:bodyPr rot="0" spcFirstLastPara="1" vertOverflow="ellipsis" vert="horz" wrap="square" anchor="ctr" anchorCtr="1"/>
            <a:lstStyle/>
            <a:p>
              <a:pPr>
                <a:defRPr sz="900" b="1" i="0" u="none" strike="noStrike" kern="1200" baseline="0">
                  <a:solidFill>
                    <a:schemeClr val="dk1"/>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dk1"/>
                </a:solidFill>
                <a:latin typeface="+mn-lt"/>
                <a:ea typeface="+mn-ea"/>
                <a:cs typeface="+mn-cs"/>
              </a:defRPr>
            </a:pPr>
            <a:endParaRPr lang="en-US"/>
          </a:p>
        </c:txPr>
        <c:crossAx val="354334472"/>
        <c:crosses val="autoZero"/>
        <c:crossBetween val="between"/>
      </c:valAx>
      <c:spPr>
        <a:noFill/>
        <a:ln>
          <a:noFill/>
        </a:ln>
        <a:effectLst/>
      </c:spPr>
    </c:plotArea>
    <c:legend>
      <c:legendPos val="r"/>
      <c:layout>
        <c:manualLayout>
          <c:xMode val="edge"/>
          <c:yMode val="edge"/>
          <c:x val="0.78029757406510003"/>
          <c:y val="0.22990727458670238"/>
          <c:w val="0.21970245695517007"/>
          <c:h val="0.27058617672790902"/>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dk1"/>
              </a:solidFill>
              <a:latin typeface="+mn-lt"/>
              <a:ea typeface="+mn-ea"/>
              <a:cs typeface="+mn-cs"/>
            </a:defRPr>
          </a:pPr>
          <a:endParaRPr lang="en-US"/>
        </a:p>
      </c:txPr>
    </c:legend>
    <c:plotVisOnly val="1"/>
    <c:dispBlanksAs val="gap"/>
    <c:showDLblsOverMax val="0"/>
  </c:chart>
  <c:spPr>
    <a:solidFill>
      <a:schemeClr val="lt1"/>
    </a:solidFill>
    <a:ln w="12700" cap="flat" cmpd="sng" algn="ctr">
      <a:solidFill>
        <a:schemeClr val="accent1"/>
      </a:solidFill>
      <a:prstDash val="solid"/>
      <a:miter lim="800000"/>
    </a:ln>
    <a:effectLst/>
  </c:spPr>
  <c:txPr>
    <a:bodyPr/>
    <a:lstStyle/>
    <a:p>
      <a:pPr>
        <a:defRPr>
          <a:solidFill>
            <a:schemeClr val="dk1"/>
          </a:solidFill>
          <a:latin typeface="+mn-lt"/>
          <a:ea typeface="+mn-ea"/>
          <a:cs typeface="+mn-cs"/>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[20200124_Myanmar_WASH_4W_2019_Q4_Rakhine_camp_Consolidate.xlsx]Tracking Dashboard!PivotTable1</c:name>
    <c:fmtId val="3"/>
  </c:pivotSource>
  <c:chart>
    <c:title>
      <c:tx>
        <c:rich>
          <a:bodyPr rot="0" spcFirstLastPara="1" vertOverflow="ellipsis" vert="horz" wrap="square" anchor="ctr" anchorCtr="1"/>
          <a:lstStyle/>
          <a:p>
            <a:pPr>
              <a:defRPr sz="1800" b="1" i="0" u="none" strike="noStrike" kern="1200" baseline="0">
                <a:solidFill>
                  <a:schemeClr val="tx2"/>
                </a:solidFill>
                <a:latin typeface="+mn-lt"/>
                <a:ea typeface="+mn-ea"/>
                <a:cs typeface="+mn-cs"/>
              </a:defRPr>
            </a:pPr>
            <a:r>
              <a:rPr lang="en-US" sz="1800"/>
              <a:t>Tracking Quarterly Achievement</a:t>
            </a:r>
          </a:p>
        </c:rich>
      </c:tx>
      <c:overlay val="0"/>
      <c:spPr>
        <a:noFill/>
        <a:ln>
          <a:noFill/>
        </a:ln>
        <a:effectLst/>
      </c:spPr>
      <c:txPr>
        <a:bodyPr rot="0" spcFirstLastPara="1" vertOverflow="ellipsis" vert="horz" wrap="square" anchor="ctr" anchorCtr="1"/>
        <a:lstStyle/>
        <a:p>
          <a:pPr>
            <a:defRPr sz="1800" b="1" i="0" u="none" strike="noStrike" kern="1200" baseline="0">
              <a:solidFill>
                <a:schemeClr val="tx2"/>
              </a:solidFill>
              <a:latin typeface="+mn-lt"/>
              <a:ea typeface="+mn-ea"/>
              <a:cs typeface="+mn-cs"/>
            </a:defRPr>
          </a:pPr>
          <a:endParaRPr lang="en-US"/>
        </a:p>
      </c:txPr>
    </c:title>
    <c:autoTitleDeleted val="0"/>
    <c:pivotFmts>
      <c:pivotFmt>
        <c:idx val="0"/>
      </c:pivotFmt>
      <c:pivotFmt>
        <c:idx val="1"/>
        <c:spPr>
          <a:solidFill>
            <a:srgbClr val="0070C0"/>
          </a:solidFill>
          <a:ln>
            <a:noFill/>
          </a:ln>
          <a:effectLst/>
        </c:spPr>
        <c:marker>
          <c:symbol val="none"/>
        </c:marker>
      </c:pivotFmt>
      <c:pivotFmt>
        <c:idx val="2"/>
        <c:spPr>
          <a:solidFill>
            <a:schemeClr val="accent2">
              <a:lumMod val="75000"/>
            </a:schemeClr>
          </a:solidFill>
          <a:ln>
            <a:noFill/>
          </a:ln>
          <a:effectLst/>
        </c:spPr>
        <c:marker>
          <c:symbol val="none"/>
        </c:marker>
      </c:pivotFmt>
      <c:pivotFmt>
        <c:idx val="3"/>
        <c:spPr>
          <a:solidFill>
            <a:schemeClr val="accent6">
              <a:lumMod val="75000"/>
            </a:schemeClr>
          </a:solidFill>
          <a:ln>
            <a:noFill/>
          </a:ln>
          <a:effectLst/>
        </c:spPr>
        <c:marker>
          <c:symbol val="none"/>
        </c:marker>
      </c:pivotFmt>
      <c:pivotFmt>
        <c:idx val="4"/>
      </c:pivotFmt>
      <c:pivotFmt>
        <c:idx val="5"/>
        <c:spPr>
          <a:solidFill>
            <a:schemeClr val="accent6">
              <a:lumMod val="75000"/>
            </a:schemeClr>
          </a:solidFill>
          <a:ln>
            <a:noFill/>
          </a:ln>
          <a:effectLst/>
        </c:spPr>
        <c:marker>
          <c:symbol val="none"/>
        </c:marker>
      </c:pivotFmt>
      <c:pivotFmt>
        <c:idx val="6"/>
        <c:spPr>
          <a:solidFill>
            <a:schemeClr val="accent2">
              <a:lumMod val="75000"/>
            </a:schemeClr>
          </a:solidFill>
          <a:ln>
            <a:noFill/>
          </a:ln>
          <a:effectLst/>
        </c:spPr>
        <c:marker>
          <c:symbol val="none"/>
        </c:marker>
      </c:pivotFmt>
      <c:pivotFmt>
        <c:idx val="7"/>
        <c:spPr>
          <a:solidFill>
            <a:srgbClr val="0070C0"/>
          </a:solidFill>
          <a:ln>
            <a:noFill/>
          </a:ln>
          <a:effectLst/>
        </c:spPr>
        <c:marker>
          <c:symbol val="none"/>
        </c:marker>
      </c:pivotFmt>
    </c:pivotFmts>
    <c:plotArea>
      <c:layout>
        <c:manualLayout>
          <c:layoutTarget val="inner"/>
          <c:xMode val="edge"/>
          <c:yMode val="edge"/>
          <c:x val="0.11813904458850057"/>
          <c:y val="6.1073498743170695E-2"/>
          <c:w val="0.62467518940594613"/>
          <c:h val="0.90227339407347507"/>
        </c:manualLayout>
      </c:layout>
      <c:barChart>
        <c:barDir val="bar"/>
        <c:grouping val="clustered"/>
        <c:varyColors val="0"/>
        <c:ser>
          <c:idx val="0"/>
          <c:order val="0"/>
          <c:tx>
            <c:strRef>
              <c:f>'Tracking Dashboard'!$N$4</c:f>
              <c:strCache>
                <c:ptCount val="1"/>
                <c:pt idx="0">
                  <c:v># of People adopt basic personal and community hygiene practices</c:v>
                </c:pt>
              </c:strCache>
            </c:strRef>
          </c:tx>
          <c:spPr>
            <a:solidFill>
              <a:schemeClr val="accent6">
                <a:lumMod val="75000"/>
              </a:schemeClr>
            </a:solidFill>
            <a:ln>
              <a:noFill/>
            </a:ln>
            <a:effectLst/>
          </c:spPr>
          <c:invertIfNegative val="0"/>
          <c:cat>
            <c:multiLvlStrRef>
              <c:f>'Tracking Dashboard'!$L$5:$M$105</c:f>
              <c:multiLvlStrCache>
                <c:ptCount val="75"/>
                <c:lvl>
                  <c:pt idx="0">
                    <c:v>2019_Q2</c:v>
                  </c:pt>
                  <c:pt idx="1">
                    <c:v>2019_Q4</c:v>
                  </c:pt>
                  <c:pt idx="2">
                    <c:v>2019_Q3</c:v>
                  </c:pt>
                  <c:pt idx="3">
                    <c:v>2019_Q2</c:v>
                  </c:pt>
                  <c:pt idx="4">
                    <c:v>2019_Q4</c:v>
                  </c:pt>
                  <c:pt idx="5">
                    <c:v>2019_Q3</c:v>
                  </c:pt>
                  <c:pt idx="6">
                    <c:v>2019_Q2</c:v>
                  </c:pt>
                  <c:pt idx="7">
                    <c:v>2019_Q4</c:v>
                  </c:pt>
                  <c:pt idx="8">
                    <c:v>2019_Q3</c:v>
                  </c:pt>
                  <c:pt idx="9">
                    <c:v>2019_Q2</c:v>
                  </c:pt>
                  <c:pt idx="10">
                    <c:v>2019_Q4</c:v>
                  </c:pt>
                  <c:pt idx="11">
                    <c:v>2019_Q3</c:v>
                  </c:pt>
                  <c:pt idx="12">
                    <c:v>2019_Q2</c:v>
                  </c:pt>
                  <c:pt idx="13">
                    <c:v>2019_Q4</c:v>
                  </c:pt>
                  <c:pt idx="14">
                    <c:v>2019_Q3</c:v>
                  </c:pt>
                  <c:pt idx="15">
                    <c:v>2019_Q2</c:v>
                  </c:pt>
                  <c:pt idx="16">
                    <c:v>2019_Q4</c:v>
                  </c:pt>
                  <c:pt idx="17">
                    <c:v>2019_Q3</c:v>
                  </c:pt>
                  <c:pt idx="18">
                    <c:v>2019_Q2</c:v>
                  </c:pt>
                  <c:pt idx="19">
                    <c:v>2019_Q4</c:v>
                  </c:pt>
                  <c:pt idx="20">
                    <c:v>2019_Q3</c:v>
                  </c:pt>
                  <c:pt idx="21">
                    <c:v>2019_Q2</c:v>
                  </c:pt>
                  <c:pt idx="22">
                    <c:v>2019_Q4</c:v>
                  </c:pt>
                  <c:pt idx="23">
                    <c:v>2019_Q3</c:v>
                  </c:pt>
                  <c:pt idx="24">
                    <c:v>2019_Q2</c:v>
                  </c:pt>
                  <c:pt idx="25">
                    <c:v>2019_Q4</c:v>
                  </c:pt>
                  <c:pt idx="26">
                    <c:v>2019_Q3</c:v>
                  </c:pt>
                  <c:pt idx="27">
                    <c:v>2019_Q2</c:v>
                  </c:pt>
                  <c:pt idx="28">
                    <c:v>2019_Q4</c:v>
                  </c:pt>
                  <c:pt idx="29">
                    <c:v>2019_Q3</c:v>
                  </c:pt>
                  <c:pt idx="30">
                    <c:v>2019_Q2</c:v>
                  </c:pt>
                  <c:pt idx="31">
                    <c:v>2019_Q4</c:v>
                  </c:pt>
                  <c:pt idx="32">
                    <c:v>2019_Q3</c:v>
                  </c:pt>
                  <c:pt idx="33">
                    <c:v>2019_Q2</c:v>
                  </c:pt>
                  <c:pt idx="34">
                    <c:v>2019_Q4</c:v>
                  </c:pt>
                  <c:pt idx="35">
                    <c:v>2019_Q3</c:v>
                  </c:pt>
                  <c:pt idx="36">
                    <c:v>2019_Q2</c:v>
                  </c:pt>
                  <c:pt idx="37">
                    <c:v>2019_Q4</c:v>
                  </c:pt>
                  <c:pt idx="38">
                    <c:v>2019_Q3</c:v>
                  </c:pt>
                  <c:pt idx="39">
                    <c:v>2019_Q2</c:v>
                  </c:pt>
                  <c:pt idx="40">
                    <c:v>2019_Q4</c:v>
                  </c:pt>
                  <c:pt idx="41">
                    <c:v>2019_Q3</c:v>
                  </c:pt>
                  <c:pt idx="42">
                    <c:v>2019_Q2</c:v>
                  </c:pt>
                  <c:pt idx="43">
                    <c:v>2019_Q4</c:v>
                  </c:pt>
                  <c:pt idx="44">
                    <c:v>2019_Q3</c:v>
                  </c:pt>
                  <c:pt idx="45">
                    <c:v>2019_Q2</c:v>
                  </c:pt>
                  <c:pt idx="46">
                    <c:v>2019_Q4</c:v>
                  </c:pt>
                  <c:pt idx="47">
                    <c:v>2019_Q3</c:v>
                  </c:pt>
                  <c:pt idx="48">
                    <c:v>2019_Q2</c:v>
                  </c:pt>
                  <c:pt idx="49">
                    <c:v>2019_Q4</c:v>
                  </c:pt>
                  <c:pt idx="50">
                    <c:v>2019_Q3</c:v>
                  </c:pt>
                  <c:pt idx="51">
                    <c:v>2019_Q2</c:v>
                  </c:pt>
                  <c:pt idx="52">
                    <c:v>2019_Q4</c:v>
                  </c:pt>
                  <c:pt idx="53">
                    <c:v>2019_Q3</c:v>
                  </c:pt>
                  <c:pt idx="54">
                    <c:v>2019_Q2</c:v>
                  </c:pt>
                  <c:pt idx="55">
                    <c:v>2019_Q4</c:v>
                  </c:pt>
                  <c:pt idx="56">
                    <c:v>2019_Q3</c:v>
                  </c:pt>
                  <c:pt idx="57">
                    <c:v>2019_Q2</c:v>
                  </c:pt>
                  <c:pt idx="58">
                    <c:v>2019_Q4</c:v>
                  </c:pt>
                  <c:pt idx="59">
                    <c:v>2019_Q3</c:v>
                  </c:pt>
                  <c:pt idx="60">
                    <c:v>2019_Q2</c:v>
                  </c:pt>
                  <c:pt idx="61">
                    <c:v>2019_Q4</c:v>
                  </c:pt>
                  <c:pt idx="62">
                    <c:v>2019_Q3</c:v>
                  </c:pt>
                  <c:pt idx="63">
                    <c:v>2019_Q2</c:v>
                  </c:pt>
                  <c:pt idx="64">
                    <c:v>2019_Q4</c:v>
                  </c:pt>
                  <c:pt idx="65">
                    <c:v>2019_Q3</c:v>
                  </c:pt>
                  <c:pt idx="66">
                    <c:v>2019_Q2</c:v>
                  </c:pt>
                  <c:pt idx="67">
                    <c:v>2019_Q4</c:v>
                  </c:pt>
                  <c:pt idx="68">
                    <c:v>2019_Q3</c:v>
                  </c:pt>
                  <c:pt idx="69">
                    <c:v>2019_Q2</c:v>
                  </c:pt>
                  <c:pt idx="70">
                    <c:v>2019_Q4</c:v>
                  </c:pt>
                  <c:pt idx="71">
                    <c:v>2019_Q3</c:v>
                  </c:pt>
                  <c:pt idx="72">
                    <c:v>2019_Q2</c:v>
                  </c:pt>
                  <c:pt idx="73">
                    <c:v>2019_Q4</c:v>
                  </c:pt>
                  <c:pt idx="74">
                    <c:v>2019_Q3</c:v>
                  </c:pt>
                </c:lvl>
                <c:lvl>
                  <c:pt idx="0">
                    <c:v>Ah Nauk Ywe</c:v>
                  </c:pt>
                  <c:pt idx="3">
                    <c:v>Basare</c:v>
                  </c:pt>
                  <c:pt idx="6">
                    <c:v>Baw Du Pha 1</c:v>
                  </c:pt>
                  <c:pt idx="9">
                    <c:v>Baw Du Pha 2</c:v>
                  </c:pt>
                  <c:pt idx="12">
                    <c:v>Dar Pai</c:v>
                  </c:pt>
                  <c:pt idx="15">
                    <c:v>Dar Pai (IDP in host families)</c:v>
                  </c:pt>
                  <c:pt idx="18">
                    <c:v>Kyauk Ta Lone</c:v>
                  </c:pt>
                  <c:pt idx="21">
                    <c:v>Kyein Ni Pyin</c:v>
                  </c:pt>
                  <c:pt idx="24">
                    <c:v>Maw Ti Ngar</c:v>
                  </c:pt>
                  <c:pt idx="27">
                    <c:v>Nget Chaung 1</c:v>
                  </c:pt>
                  <c:pt idx="30">
                    <c:v>Nget Chaung 2</c:v>
                  </c:pt>
                  <c:pt idx="33">
                    <c:v>NiDin</c:v>
                  </c:pt>
                  <c:pt idx="36">
                    <c:v>Ohn Taw Chay</c:v>
                  </c:pt>
                  <c:pt idx="39">
                    <c:v>Ohn Taw Gyi (North)</c:v>
                  </c:pt>
                  <c:pt idx="42">
                    <c:v>Ohn Taw Gyi (South)</c:v>
                  </c:pt>
                  <c:pt idx="45">
                    <c:v>Say Tha Mar Gyi</c:v>
                  </c:pt>
                  <c:pt idx="48">
                    <c:v>Sin Tet Maw</c:v>
                  </c:pt>
                  <c:pt idx="51">
                    <c:v>Taung Paw</c:v>
                  </c:pt>
                  <c:pt idx="54">
                    <c:v>Thae Chaung</c:v>
                  </c:pt>
                  <c:pt idx="57">
                    <c:v>Thet Kae Pyin </c:v>
                  </c:pt>
                  <c:pt idx="60">
                    <c:v>Thet Kae Pyin Village (IDPs in host family)</c:v>
                  </c:pt>
                  <c:pt idx="63">
                    <c:v>Khaung Doke Khar 2 (Hmanzi)</c:v>
                  </c:pt>
                  <c:pt idx="66">
                    <c:v>Khaung Doke Khar 1</c:v>
                  </c:pt>
                  <c:pt idx="69">
                    <c:v>Phwe Yar Kone (Say Tha Mar Gyi)</c:v>
                  </c:pt>
                  <c:pt idx="72">
                    <c:v>Baw Du Pha Village (IDP in host families)</c:v>
                  </c:pt>
                </c:lvl>
              </c:multiLvlStrCache>
            </c:multiLvlStrRef>
          </c:cat>
          <c:val>
            <c:numRef>
              <c:f>'Tracking Dashboard'!$N$5:$N$105</c:f>
              <c:numCache>
                <c:formatCode>General</c:formatCode>
                <c:ptCount val="75"/>
                <c:pt idx="0">
                  <c:v>4717</c:v>
                </c:pt>
                <c:pt idx="1">
                  <c:v>4836</c:v>
                </c:pt>
                <c:pt idx="2">
                  <c:v>4859</c:v>
                </c:pt>
                <c:pt idx="3">
                  <c:v>1895</c:v>
                </c:pt>
                <c:pt idx="4">
                  <c:v>1910</c:v>
                </c:pt>
                <c:pt idx="5">
                  <c:v>2111</c:v>
                </c:pt>
                <c:pt idx="6">
                  <c:v>4892</c:v>
                </c:pt>
                <c:pt idx="7">
                  <c:v>4892</c:v>
                </c:pt>
                <c:pt idx="8">
                  <c:v>4892</c:v>
                </c:pt>
                <c:pt idx="9">
                  <c:v>6936</c:v>
                </c:pt>
                <c:pt idx="10">
                  <c:v>6615</c:v>
                </c:pt>
                <c:pt idx="11">
                  <c:v>6936</c:v>
                </c:pt>
                <c:pt idx="12">
                  <c:v>11625</c:v>
                </c:pt>
                <c:pt idx="13">
                  <c:v>9245</c:v>
                </c:pt>
                <c:pt idx="14">
                  <c:v>11625</c:v>
                </c:pt>
                <c:pt idx="15">
                  <c:v>3360</c:v>
                </c:pt>
                <c:pt idx="16">
                  <c:v>2990</c:v>
                </c:pt>
                <c:pt idx="17">
                  <c:v>3360</c:v>
                </c:pt>
                <c:pt idx="18">
                  <c:v>979</c:v>
                </c:pt>
                <c:pt idx="19">
                  <c:v>974</c:v>
                </c:pt>
                <c:pt idx="20">
                  <c:v>971</c:v>
                </c:pt>
                <c:pt idx="21">
                  <c:v>6042</c:v>
                </c:pt>
                <c:pt idx="22">
                  <c:v>6037</c:v>
                </c:pt>
                <c:pt idx="23">
                  <c:v>6042</c:v>
                </c:pt>
                <c:pt idx="24">
                  <c:v>3486</c:v>
                </c:pt>
                <c:pt idx="25">
                  <c:v>0</c:v>
                </c:pt>
                <c:pt idx="26">
                  <c:v>3486</c:v>
                </c:pt>
                <c:pt idx="27">
                  <c:v>4645</c:v>
                </c:pt>
                <c:pt idx="28">
                  <c:v>4671</c:v>
                </c:pt>
                <c:pt idx="29">
                  <c:v>4671</c:v>
                </c:pt>
                <c:pt idx="30">
                  <c:v>4104</c:v>
                </c:pt>
                <c:pt idx="31">
                  <c:v>4676</c:v>
                </c:pt>
                <c:pt idx="32">
                  <c:v>4676</c:v>
                </c:pt>
                <c:pt idx="33">
                  <c:v>0</c:v>
                </c:pt>
                <c:pt idx="34">
                  <c:v>0</c:v>
                </c:pt>
                <c:pt idx="35">
                  <c:v>0</c:v>
                </c:pt>
                <c:pt idx="36">
                  <c:v>3095</c:v>
                </c:pt>
                <c:pt idx="37">
                  <c:v>3095</c:v>
                </c:pt>
                <c:pt idx="38">
                  <c:v>3095</c:v>
                </c:pt>
                <c:pt idx="39">
                  <c:v>13302</c:v>
                </c:pt>
                <c:pt idx="40">
                  <c:v>13302</c:v>
                </c:pt>
                <c:pt idx="41">
                  <c:v>13302</c:v>
                </c:pt>
                <c:pt idx="42">
                  <c:v>11487</c:v>
                </c:pt>
                <c:pt idx="43">
                  <c:v>11396</c:v>
                </c:pt>
                <c:pt idx="44">
                  <c:v>11487</c:v>
                </c:pt>
                <c:pt idx="45">
                  <c:v>11564</c:v>
                </c:pt>
                <c:pt idx="46">
                  <c:v>11564</c:v>
                </c:pt>
                <c:pt idx="47">
                  <c:v>11564</c:v>
                </c:pt>
                <c:pt idx="48">
                  <c:v>2805</c:v>
                </c:pt>
                <c:pt idx="49">
                  <c:v>2805</c:v>
                </c:pt>
                <c:pt idx="50">
                  <c:v>0</c:v>
                </c:pt>
                <c:pt idx="51">
                  <c:v>2920</c:v>
                </c:pt>
                <c:pt idx="52">
                  <c:v>2920</c:v>
                </c:pt>
                <c:pt idx="53">
                  <c:v>2920</c:v>
                </c:pt>
                <c:pt idx="54">
                  <c:v>6016</c:v>
                </c:pt>
                <c:pt idx="55">
                  <c:v>5580</c:v>
                </c:pt>
                <c:pt idx="56">
                  <c:v>6016</c:v>
                </c:pt>
                <c:pt idx="57">
                  <c:v>5950</c:v>
                </c:pt>
                <c:pt idx="58">
                  <c:v>5950</c:v>
                </c:pt>
                <c:pt idx="59">
                  <c:v>5950</c:v>
                </c:pt>
                <c:pt idx="60">
                  <c:v>1670</c:v>
                </c:pt>
                <c:pt idx="61">
                  <c:v>1670</c:v>
                </c:pt>
                <c:pt idx="62">
                  <c:v>1670</c:v>
                </c:pt>
                <c:pt idx="63">
                  <c:v>2186</c:v>
                </c:pt>
                <c:pt idx="64">
                  <c:v>2186</c:v>
                </c:pt>
                <c:pt idx="65">
                  <c:v>2186</c:v>
                </c:pt>
                <c:pt idx="66">
                  <c:v>2248</c:v>
                </c:pt>
                <c:pt idx="67">
                  <c:v>2248</c:v>
                </c:pt>
                <c:pt idx="68">
                  <c:v>2248</c:v>
                </c:pt>
                <c:pt idx="69">
                  <c:v>2285</c:v>
                </c:pt>
                <c:pt idx="70">
                  <c:v>2285</c:v>
                </c:pt>
                <c:pt idx="71">
                  <c:v>2285</c:v>
                </c:pt>
                <c:pt idx="72">
                  <c:v>114</c:v>
                </c:pt>
                <c:pt idx="73">
                  <c:v>114</c:v>
                </c:pt>
                <c:pt idx="74">
                  <c:v>114</c:v>
                </c:pt>
              </c:numCache>
            </c:numRef>
          </c:val>
          <c:extLst>
            <c:ext xmlns:c16="http://schemas.microsoft.com/office/drawing/2014/chart" uri="{C3380CC4-5D6E-409C-BE32-E72D297353CC}">
              <c16:uniqueId val="{00000000-FFE7-4630-AA87-8BB156FFBC38}"/>
            </c:ext>
          </c:extLst>
        </c:ser>
        <c:ser>
          <c:idx val="1"/>
          <c:order val="1"/>
          <c:tx>
            <c:strRef>
              <c:f>'Tracking Dashboard'!$O$4</c:f>
              <c:strCache>
                <c:ptCount val="1"/>
                <c:pt idx="0">
                  <c:v># of people access to functioning  sanitation facilities</c:v>
                </c:pt>
              </c:strCache>
            </c:strRef>
          </c:tx>
          <c:spPr>
            <a:solidFill>
              <a:schemeClr val="accent2">
                <a:lumMod val="75000"/>
              </a:schemeClr>
            </a:solidFill>
            <a:ln>
              <a:noFill/>
            </a:ln>
            <a:effectLst/>
          </c:spPr>
          <c:invertIfNegative val="0"/>
          <c:cat>
            <c:multiLvlStrRef>
              <c:f>'Tracking Dashboard'!$L$5:$M$105</c:f>
              <c:multiLvlStrCache>
                <c:ptCount val="75"/>
                <c:lvl>
                  <c:pt idx="0">
                    <c:v>2019_Q2</c:v>
                  </c:pt>
                  <c:pt idx="1">
                    <c:v>2019_Q4</c:v>
                  </c:pt>
                  <c:pt idx="2">
                    <c:v>2019_Q3</c:v>
                  </c:pt>
                  <c:pt idx="3">
                    <c:v>2019_Q2</c:v>
                  </c:pt>
                  <c:pt idx="4">
                    <c:v>2019_Q4</c:v>
                  </c:pt>
                  <c:pt idx="5">
                    <c:v>2019_Q3</c:v>
                  </c:pt>
                  <c:pt idx="6">
                    <c:v>2019_Q2</c:v>
                  </c:pt>
                  <c:pt idx="7">
                    <c:v>2019_Q4</c:v>
                  </c:pt>
                  <c:pt idx="8">
                    <c:v>2019_Q3</c:v>
                  </c:pt>
                  <c:pt idx="9">
                    <c:v>2019_Q2</c:v>
                  </c:pt>
                  <c:pt idx="10">
                    <c:v>2019_Q4</c:v>
                  </c:pt>
                  <c:pt idx="11">
                    <c:v>2019_Q3</c:v>
                  </c:pt>
                  <c:pt idx="12">
                    <c:v>2019_Q2</c:v>
                  </c:pt>
                  <c:pt idx="13">
                    <c:v>2019_Q4</c:v>
                  </c:pt>
                  <c:pt idx="14">
                    <c:v>2019_Q3</c:v>
                  </c:pt>
                  <c:pt idx="15">
                    <c:v>2019_Q2</c:v>
                  </c:pt>
                  <c:pt idx="16">
                    <c:v>2019_Q4</c:v>
                  </c:pt>
                  <c:pt idx="17">
                    <c:v>2019_Q3</c:v>
                  </c:pt>
                  <c:pt idx="18">
                    <c:v>2019_Q2</c:v>
                  </c:pt>
                  <c:pt idx="19">
                    <c:v>2019_Q4</c:v>
                  </c:pt>
                  <c:pt idx="20">
                    <c:v>2019_Q3</c:v>
                  </c:pt>
                  <c:pt idx="21">
                    <c:v>2019_Q2</c:v>
                  </c:pt>
                  <c:pt idx="22">
                    <c:v>2019_Q4</c:v>
                  </c:pt>
                  <c:pt idx="23">
                    <c:v>2019_Q3</c:v>
                  </c:pt>
                  <c:pt idx="24">
                    <c:v>2019_Q2</c:v>
                  </c:pt>
                  <c:pt idx="25">
                    <c:v>2019_Q4</c:v>
                  </c:pt>
                  <c:pt idx="26">
                    <c:v>2019_Q3</c:v>
                  </c:pt>
                  <c:pt idx="27">
                    <c:v>2019_Q2</c:v>
                  </c:pt>
                  <c:pt idx="28">
                    <c:v>2019_Q4</c:v>
                  </c:pt>
                  <c:pt idx="29">
                    <c:v>2019_Q3</c:v>
                  </c:pt>
                  <c:pt idx="30">
                    <c:v>2019_Q2</c:v>
                  </c:pt>
                  <c:pt idx="31">
                    <c:v>2019_Q4</c:v>
                  </c:pt>
                  <c:pt idx="32">
                    <c:v>2019_Q3</c:v>
                  </c:pt>
                  <c:pt idx="33">
                    <c:v>2019_Q2</c:v>
                  </c:pt>
                  <c:pt idx="34">
                    <c:v>2019_Q4</c:v>
                  </c:pt>
                  <c:pt idx="35">
                    <c:v>2019_Q3</c:v>
                  </c:pt>
                  <c:pt idx="36">
                    <c:v>2019_Q2</c:v>
                  </c:pt>
                  <c:pt idx="37">
                    <c:v>2019_Q4</c:v>
                  </c:pt>
                  <c:pt idx="38">
                    <c:v>2019_Q3</c:v>
                  </c:pt>
                  <c:pt idx="39">
                    <c:v>2019_Q2</c:v>
                  </c:pt>
                  <c:pt idx="40">
                    <c:v>2019_Q4</c:v>
                  </c:pt>
                  <c:pt idx="41">
                    <c:v>2019_Q3</c:v>
                  </c:pt>
                  <c:pt idx="42">
                    <c:v>2019_Q2</c:v>
                  </c:pt>
                  <c:pt idx="43">
                    <c:v>2019_Q4</c:v>
                  </c:pt>
                  <c:pt idx="44">
                    <c:v>2019_Q3</c:v>
                  </c:pt>
                  <c:pt idx="45">
                    <c:v>2019_Q2</c:v>
                  </c:pt>
                  <c:pt idx="46">
                    <c:v>2019_Q4</c:v>
                  </c:pt>
                  <c:pt idx="47">
                    <c:v>2019_Q3</c:v>
                  </c:pt>
                  <c:pt idx="48">
                    <c:v>2019_Q2</c:v>
                  </c:pt>
                  <c:pt idx="49">
                    <c:v>2019_Q4</c:v>
                  </c:pt>
                  <c:pt idx="50">
                    <c:v>2019_Q3</c:v>
                  </c:pt>
                  <c:pt idx="51">
                    <c:v>2019_Q2</c:v>
                  </c:pt>
                  <c:pt idx="52">
                    <c:v>2019_Q4</c:v>
                  </c:pt>
                  <c:pt idx="53">
                    <c:v>2019_Q3</c:v>
                  </c:pt>
                  <c:pt idx="54">
                    <c:v>2019_Q2</c:v>
                  </c:pt>
                  <c:pt idx="55">
                    <c:v>2019_Q4</c:v>
                  </c:pt>
                  <c:pt idx="56">
                    <c:v>2019_Q3</c:v>
                  </c:pt>
                  <c:pt idx="57">
                    <c:v>2019_Q2</c:v>
                  </c:pt>
                  <c:pt idx="58">
                    <c:v>2019_Q4</c:v>
                  </c:pt>
                  <c:pt idx="59">
                    <c:v>2019_Q3</c:v>
                  </c:pt>
                  <c:pt idx="60">
                    <c:v>2019_Q2</c:v>
                  </c:pt>
                  <c:pt idx="61">
                    <c:v>2019_Q4</c:v>
                  </c:pt>
                  <c:pt idx="62">
                    <c:v>2019_Q3</c:v>
                  </c:pt>
                  <c:pt idx="63">
                    <c:v>2019_Q2</c:v>
                  </c:pt>
                  <c:pt idx="64">
                    <c:v>2019_Q4</c:v>
                  </c:pt>
                  <c:pt idx="65">
                    <c:v>2019_Q3</c:v>
                  </c:pt>
                  <c:pt idx="66">
                    <c:v>2019_Q2</c:v>
                  </c:pt>
                  <c:pt idx="67">
                    <c:v>2019_Q4</c:v>
                  </c:pt>
                  <c:pt idx="68">
                    <c:v>2019_Q3</c:v>
                  </c:pt>
                  <c:pt idx="69">
                    <c:v>2019_Q2</c:v>
                  </c:pt>
                  <c:pt idx="70">
                    <c:v>2019_Q4</c:v>
                  </c:pt>
                  <c:pt idx="71">
                    <c:v>2019_Q3</c:v>
                  </c:pt>
                  <c:pt idx="72">
                    <c:v>2019_Q2</c:v>
                  </c:pt>
                  <c:pt idx="73">
                    <c:v>2019_Q4</c:v>
                  </c:pt>
                  <c:pt idx="74">
                    <c:v>2019_Q3</c:v>
                  </c:pt>
                </c:lvl>
                <c:lvl>
                  <c:pt idx="0">
                    <c:v>Ah Nauk Ywe</c:v>
                  </c:pt>
                  <c:pt idx="3">
                    <c:v>Basare</c:v>
                  </c:pt>
                  <c:pt idx="6">
                    <c:v>Baw Du Pha 1</c:v>
                  </c:pt>
                  <c:pt idx="9">
                    <c:v>Baw Du Pha 2</c:v>
                  </c:pt>
                  <c:pt idx="12">
                    <c:v>Dar Pai</c:v>
                  </c:pt>
                  <c:pt idx="15">
                    <c:v>Dar Pai (IDP in host families)</c:v>
                  </c:pt>
                  <c:pt idx="18">
                    <c:v>Kyauk Ta Lone</c:v>
                  </c:pt>
                  <c:pt idx="21">
                    <c:v>Kyein Ni Pyin</c:v>
                  </c:pt>
                  <c:pt idx="24">
                    <c:v>Maw Ti Ngar</c:v>
                  </c:pt>
                  <c:pt idx="27">
                    <c:v>Nget Chaung 1</c:v>
                  </c:pt>
                  <c:pt idx="30">
                    <c:v>Nget Chaung 2</c:v>
                  </c:pt>
                  <c:pt idx="33">
                    <c:v>NiDin</c:v>
                  </c:pt>
                  <c:pt idx="36">
                    <c:v>Ohn Taw Chay</c:v>
                  </c:pt>
                  <c:pt idx="39">
                    <c:v>Ohn Taw Gyi (North)</c:v>
                  </c:pt>
                  <c:pt idx="42">
                    <c:v>Ohn Taw Gyi (South)</c:v>
                  </c:pt>
                  <c:pt idx="45">
                    <c:v>Say Tha Mar Gyi</c:v>
                  </c:pt>
                  <c:pt idx="48">
                    <c:v>Sin Tet Maw</c:v>
                  </c:pt>
                  <c:pt idx="51">
                    <c:v>Taung Paw</c:v>
                  </c:pt>
                  <c:pt idx="54">
                    <c:v>Thae Chaung</c:v>
                  </c:pt>
                  <c:pt idx="57">
                    <c:v>Thet Kae Pyin </c:v>
                  </c:pt>
                  <c:pt idx="60">
                    <c:v>Thet Kae Pyin Village (IDPs in host family)</c:v>
                  </c:pt>
                  <c:pt idx="63">
                    <c:v>Khaung Doke Khar 2 (Hmanzi)</c:v>
                  </c:pt>
                  <c:pt idx="66">
                    <c:v>Khaung Doke Khar 1</c:v>
                  </c:pt>
                  <c:pt idx="69">
                    <c:v>Phwe Yar Kone (Say Tha Mar Gyi)</c:v>
                  </c:pt>
                  <c:pt idx="72">
                    <c:v>Baw Du Pha Village (IDP in host families)</c:v>
                  </c:pt>
                </c:lvl>
              </c:multiLvlStrCache>
            </c:multiLvlStrRef>
          </c:cat>
          <c:val>
            <c:numRef>
              <c:f>'Tracking Dashboard'!$O$5:$O$105</c:f>
              <c:numCache>
                <c:formatCode>General</c:formatCode>
                <c:ptCount val="75"/>
                <c:pt idx="0">
                  <c:v>4129</c:v>
                </c:pt>
                <c:pt idx="1">
                  <c:v>4629</c:v>
                </c:pt>
                <c:pt idx="2">
                  <c:v>4859</c:v>
                </c:pt>
                <c:pt idx="3">
                  <c:v>2111</c:v>
                </c:pt>
                <c:pt idx="4">
                  <c:v>2111</c:v>
                </c:pt>
                <c:pt idx="5">
                  <c:v>2111</c:v>
                </c:pt>
                <c:pt idx="6">
                  <c:v>4130</c:v>
                </c:pt>
                <c:pt idx="7">
                  <c:v>4892</c:v>
                </c:pt>
                <c:pt idx="8">
                  <c:v>4892</c:v>
                </c:pt>
                <c:pt idx="9">
                  <c:v>5830</c:v>
                </c:pt>
                <c:pt idx="10">
                  <c:v>5060</c:v>
                </c:pt>
                <c:pt idx="11">
                  <c:v>4760</c:v>
                </c:pt>
                <c:pt idx="12">
                  <c:v>8160</c:v>
                </c:pt>
                <c:pt idx="13">
                  <c:v>8770</c:v>
                </c:pt>
                <c:pt idx="14">
                  <c:v>7910</c:v>
                </c:pt>
                <c:pt idx="15">
                  <c:v>0</c:v>
                </c:pt>
                <c:pt idx="16">
                  <c:v>500</c:v>
                </c:pt>
                <c:pt idx="17">
                  <c:v>500</c:v>
                </c:pt>
                <c:pt idx="18">
                  <c:v>979</c:v>
                </c:pt>
                <c:pt idx="19">
                  <c:v>974</c:v>
                </c:pt>
                <c:pt idx="20">
                  <c:v>971</c:v>
                </c:pt>
                <c:pt idx="21">
                  <c:v>3930</c:v>
                </c:pt>
                <c:pt idx="22">
                  <c:v>3370</c:v>
                </c:pt>
                <c:pt idx="23">
                  <c:v>3930</c:v>
                </c:pt>
                <c:pt idx="24">
                  <c:v>3486</c:v>
                </c:pt>
                <c:pt idx="25">
                  <c:v>3486</c:v>
                </c:pt>
                <c:pt idx="26">
                  <c:v>3486</c:v>
                </c:pt>
                <c:pt idx="27">
                  <c:v>2074</c:v>
                </c:pt>
                <c:pt idx="28">
                  <c:v>3134</c:v>
                </c:pt>
                <c:pt idx="29">
                  <c:v>3114</c:v>
                </c:pt>
                <c:pt idx="30">
                  <c:v>3023</c:v>
                </c:pt>
                <c:pt idx="31">
                  <c:v>3483</c:v>
                </c:pt>
                <c:pt idx="32">
                  <c:v>3823</c:v>
                </c:pt>
                <c:pt idx="33">
                  <c:v>581</c:v>
                </c:pt>
                <c:pt idx="34">
                  <c:v>581</c:v>
                </c:pt>
                <c:pt idx="35">
                  <c:v>581</c:v>
                </c:pt>
                <c:pt idx="36">
                  <c:v>3095</c:v>
                </c:pt>
                <c:pt idx="37">
                  <c:v>3095</c:v>
                </c:pt>
                <c:pt idx="38">
                  <c:v>3095</c:v>
                </c:pt>
                <c:pt idx="39">
                  <c:v>8870</c:v>
                </c:pt>
                <c:pt idx="40">
                  <c:v>10090</c:v>
                </c:pt>
                <c:pt idx="41">
                  <c:v>10530</c:v>
                </c:pt>
                <c:pt idx="42">
                  <c:v>6816</c:v>
                </c:pt>
                <c:pt idx="43">
                  <c:v>11396</c:v>
                </c:pt>
                <c:pt idx="44">
                  <c:v>8531</c:v>
                </c:pt>
                <c:pt idx="45">
                  <c:v>11564</c:v>
                </c:pt>
                <c:pt idx="46">
                  <c:v>11564</c:v>
                </c:pt>
                <c:pt idx="47">
                  <c:v>11564</c:v>
                </c:pt>
                <c:pt idx="48">
                  <c:v>2805</c:v>
                </c:pt>
                <c:pt idx="49">
                  <c:v>2805</c:v>
                </c:pt>
                <c:pt idx="50">
                  <c:v>2805</c:v>
                </c:pt>
                <c:pt idx="51">
                  <c:v>2920</c:v>
                </c:pt>
                <c:pt idx="52">
                  <c:v>2920</c:v>
                </c:pt>
                <c:pt idx="53">
                  <c:v>2920</c:v>
                </c:pt>
                <c:pt idx="54">
                  <c:v>4020</c:v>
                </c:pt>
                <c:pt idx="55">
                  <c:v>3910</c:v>
                </c:pt>
                <c:pt idx="56">
                  <c:v>3770</c:v>
                </c:pt>
                <c:pt idx="57">
                  <c:v>5030</c:v>
                </c:pt>
                <c:pt idx="58">
                  <c:v>5210</c:v>
                </c:pt>
                <c:pt idx="59">
                  <c:v>5890</c:v>
                </c:pt>
                <c:pt idx="60">
                  <c:v>800</c:v>
                </c:pt>
                <c:pt idx="61">
                  <c:v>0</c:v>
                </c:pt>
                <c:pt idx="62">
                  <c:v>0</c:v>
                </c:pt>
                <c:pt idx="63">
                  <c:v>1710</c:v>
                </c:pt>
                <c:pt idx="64">
                  <c:v>2186</c:v>
                </c:pt>
                <c:pt idx="65">
                  <c:v>2186</c:v>
                </c:pt>
                <c:pt idx="66">
                  <c:v>2200</c:v>
                </c:pt>
                <c:pt idx="67">
                  <c:v>2130</c:v>
                </c:pt>
                <c:pt idx="68">
                  <c:v>2248</c:v>
                </c:pt>
                <c:pt idx="69">
                  <c:v>2285</c:v>
                </c:pt>
                <c:pt idx="70">
                  <c:v>2285</c:v>
                </c:pt>
                <c:pt idx="71">
                  <c:v>2285</c:v>
                </c:pt>
                <c:pt idx="72">
                  <c:v>100</c:v>
                </c:pt>
                <c:pt idx="73">
                  <c:v>0</c:v>
                </c:pt>
                <c:pt idx="74">
                  <c:v>0</c:v>
                </c:pt>
              </c:numCache>
            </c:numRef>
          </c:val>
          <c:extLst>
            <c:ext xmlns:c16="http://schemas.microsoft.com/office/drawing/2014/chart" uri="{C3380CC4-5D6E-409C-BE32-E72D297353CC}">
              <c16:uniqueId val="{00000001-FFE7-4630-AA87-8BB156FFBC38}"/>
            </c:ext>
          </c:extLst>
        </c:ser>
        <c:ser>
          <c:idx val="2"/>
          <c:order val="2"/>
          <c:tx>
            <c:strRef>
              <c:f>'Tracking Dashboard'!$P$4</c:f>
              <c:strCache>
                <c:ptCount val="1"/>
                <c:pt idx="0">
                  <c:v># of people Equitable and continuous access to sufficient quantity of domestic water</c:v>
                </c:pt>
              </c:strCache>
            </c:strRef>
          </c:tx>
          <c:spPr>
            <a:solidFill>
              <a:srgbClr val="0070C0"/>
            </a:solidFill>
            <a:ln>
              <a:noFill/>
            </a:ln>
            <a:effectLst/>
          </c:spPr>
          <c:invertIfNegative val="0"/>
          <c:cat>
            <c:multiLvlStrRef>
              <c:f>'Tracking Dashboard'!$L$5:$M$105</c:f>
              <c:multiLvlStrCache>
                <c:ptCount val="75"/>
                <c:lvl>
                  <c:pt idx="0">
                    <c:v>2019_Q2</c:v>
                  </c:pt>
                  <c:pt idx="1">
                    <c:v>2019_Q4</c:v>
                  </c:pt>
                  <c:pt idx="2">
                    <c:v>2019_Q3</c:v>
                  </c:pt>
                  <c:pt idx="3">
                    <c:v>2019_Q2</c:v>
                  </c:pt>
                  <c:pt idx="4">
                    <c:v>2019_Q4</c:v>
                  </c:pt>
                  <c:pt idx="5">
                    <c:v>2019_Q3</c:v>
                  </c:pt>
                  <c:pt idx="6">
                    <c:v>2019_Q2</c:v>
                  </c:pt>
                  <c:pt idx="7">
                    <c:v>2019_Q4</c:v>
                  </c:pt>
                  <c:pt idx="8">
                    <c:v>2019_Q3</c:v>
                  </c:pt>
                  <c:pt idx="9">
                    <c:v>2019_Q2</c:v>
                  </c:pt>
                  <c:pt idx="10">
                    <c:v>2019_Q4</c:v>
                  </c:pt>
                  <c:pt idx="11">
                    <c:v>2019_Q3</c:v>
                  </c:pt>
                  <c:pt idx="12">
                    <c:v>2019_Q2</c:v>
                  </c:pt>
                  <c:pt idx="13">
                    <c:v>2019_Q4</c:v>
                  </c:pt>
                  <c:pt idx="14">
                    <c:v>2019_Q3</c:v>
                  </c:pt>
                  <c:pt idx="15">
                    <c:v>2019_Q2</c:v>
                  </c:pt>
                  <c:pt idx="16">
                    <c:v>2019_Q4</c:v>
                  </c:pt>
                  <c:pt idx="17">
                    <c:v>2019_Q3</c:v>
                  </c:pt>
                  <c:pt idx="18">
                    <c:v>2019_Q2</c:v>
                  </c:pt>
                  <c:pt idx="19">
                    <c:v>2019_Q4</c:v>
                  </c:pt>
                  <c:pt idx="20">
                    <c:v>2019_Q3</c:v>
                  </c:pt>
                  <c:pt idx="21">
                    <c:v>2019_Q2</c:v>
                  </c:pt>
                  <c:pt idx="22">
                    <c:v>2019_Q4</c:v>
                  </c:pt>
                  <c:pt idx="23">
                    <c:v>2019_Q3</c:v>
                  </c:pt>
                  <c:pt idx="24">
                    <c:v>2019_Q2</c:v>
                  </c:pt>
                  <c:pt idx="25">
                    <c:v>2019_Q4</c:v>
                  </c:pt>
                  <c:pt idx="26">
                    <c:v>2019_Q3</c:v>
                  </c:pt>
                  <c:pt idx="27">
                    <c:v>2019_Q2</c:v>
                  </c:pt>
                  <c:pt idx="28">
                    <c:v>2019_Q4</c:v>
                  </c:pt>
                  <c:pt idx="29">
                    <c:v>2019_Q3</c:v>
                  </c:pt>
                  <c:pt idx="30">
                    <c:v>2019_Q2</c:v>
                  </c:pt>
                  <c:pt idx="31">
                    <c:v>2019_Q4</c:v>
                  </c:pt>
                  <c:pt idx="32">
                    <c:v>2019_Q3</c:v>
                  </c:pt>
                  <c:pt idx="33">
                    <c:v>2019_Q2</c:v>
                  </c:pt>
                  <c:pt idx="34">
                    <c:v>2019_Q4</c:v>
                  </c:pt>
                  <c:pt idx="35">
                    <c:v>2019_Q3</c:v>
                  </c:pt>
                  <c:pt idx="36">
                    <c:v>2019_Q2</c:v>
                  </c:pt>
                  <c:pt idx="37">
                    <c:v>2019_Q4</c:v>
                  </c:pt>
                  <c:pt idx="38">
                    <c:v>2019_Q3</c:v>
                  </c:pt>
                  <c:pt idx="39">
                    <c:v>2019_Q2</c:v>
                  </c:pt>
                  <c:pt idx="40">
                    <c:v>2019_Q4</c:v>
                  </c:pt>
                  <c:pt idx="41">
                    <c:v>2019_Q3</c:v>
                  </c:pt>
                  <c:pt idx="42">
                    <c:v>2019_Q2</c:v>
                  </c:pt>
                  <c:pt idx="43">
                    <c:v>2019_Q4</c:v>
                  </c:pt>
                  <c:pt idx="44">
                    <c:v>2019_Q3</c:v>
                  </c:pt>
                  <c:pt idx="45">
                    <c:v>2019_Q2</c:v>
                  </c:pt>
                  <c:pt idx="46">
                    <c:v>2019_Q4</c:v>
                  </c:pt>
                  <c:pt idx="47">
                    <c:v>2019_Q3</c:v>
                  </c:pt>
                  <c:pt idx="48">
                    <c:v>2019_Q2</c:v>
                  </c:pt>
                  <c:pt idx="49">
                    <c:v>2019_Q4</c:v>
                  </c:pt>
                  <c:pt idx="50">
                    <c:v>2019_Q3</c:v>
                  </c:pt>
                  <c:pt idx="51">
                    <c:v>2019_Q2</c:v>
                  </c:pt>
                  <c:pt idx="52">
                    <c:v>2019_Q4</c:v>
                  </c:pt>
                  <c:pt idx="53">
                    <c:v>2019_Q3</c:v>
                  </c:pt>
                  <c:pt idx="54">
                    <c:v>2019_Q2</c:v>
                  </c:pt>
                  <c:pt idx="55">
                    <c:v>2019_Q4</c:v>
                  </c:pt>
                  <c:pt idx="56">
                    <c:v>2019_Q3</c:v>
                  </c:pt>
                  <c:pt idx="57">
                    <c:v>2019_Q2</c:v>
                  </c:pt>
                  <c:pt idx="58">
                    <c:v>2019_Q4</c:v>
                  </c:pt>
                  <c:pt idx="59">
                    <c:v>2019_Q3</c:v>
                  </c:pt>
                  <c:pt idx="60">
                    <c:v>2019_Q2</c:v>
                  </c:pt>
                  <c:pt idx="61">
                    <c:v>2019_Q4</c:v>
                  </c:pt>
                  <c:pt idx="62">
                    <c:v>2019_Q3</c:v>
                  </c:pt>
                  <c:pt idx="63">
                    <c:v>2019_Q2</c:v>
                  </c:pt>
                  <c:pt idx="64">
                    <c:v>2019_Q4</c:v>
                  </c:pt>
                  <c:pt idx="65">
                    <c:v>2019_Q3</c:v>
                  </c:pt>
                  <c:pt idx="66">
                    <c:v>2019_Q2</c:v>
                  </c:pt>
                  <c:pt idx="67">
                    <c:v>2019_Q4</c:v>
                  </c:pt>
                  <c:pt idx="68">
                    <c:v>2019_Q3</c:v>
                  </c:pt>
                  <c:pt idx="69">
                    <c:v>2019_Q2</c:v>
                  </c:pt>
                  <c:pt idx="70">
                    <c:v>2019_Q4</c:v>
                  </c:pt>
                  <c:pt idx="71">
                    <c:v>2019_Q3</c:v>
                  </c:pt>
                  <c:pt idx="72">
                    <c:v>2019_Q2</c:v>
                  </c:pt>
                  <c:pt idx="73">
                    <c:v>2019_Q4</c:v>
                  </c:pt>
                  <c:pt idx="74">
                    <c:v>2019_Q3</c:v>
                  </c:pt>
                </c:lvl>
                <c:lvl>
                  <c:pt idx="0">
                    <c:v>Ah Nauk Ywe</c:v>
                  </c:pt>
                  <c:pt idx="3">
                    <c:v>Basare</c:v>
                  </c:pt>
                  <c:pt idx="6">
                    <c:v>Baw Du Pha 1</c:v>
                  </c:pt>
                  <c:pt idx="9">
                    <c:v>Baw Du Pha 2</c:v>
                  </c:pt>
                  <c:pt idx="12">
                    <c:v>Dar Pai</c:v>
                  </c:pt>
                  <c:pt idx="15">
                    <c:v>Dar Pai (IDP in host families)</c:v>
                  </c:pt>
                  <c:pt idx="18">
                    <c:v>Kyauk Ta Lone</c:v>
                  </c:pt>
                  <c:pt idx="21">
                    <c:v>Kyein Ni Pyin</c:v>
                  </c:pt>
                  <c:pt idx="24">
                    <c:v>Maw Ti Ngar</c:v>
                  </c:pt>
                  <c:pt idx="27">
                    <c:v>Nget Chaung 1</c:v>
                  </c:pt>
                  <c:pt idx="30">
                    <c:v>Nget Chaung 2</c:v>
                  </c:pt>
                  <c:pt idx="33">
                    <c:v>NiDin</c:v>
                  </c:pt>
                  <c:pt idx="36">
                    <c:v>Ohn Taw Chay</c:v>
                  </c:pt>
                  <c:pt idx="39">
                    <c:v>Ohn Taw Gyi (North)</c:v>
                  </c:pt>
                  <c:pt idx="42">
                    <c:v>Ohn Taw Gyi (South)</c:v>
                  </c:pt>
                  <c:pt idx="45">
                    <c:v>Say Tha Mar Gyi</c:v>
                  </c:pt>
                  <c:pt idx="48">
                    <c:v>Sin Tet Maw</c:v>
                  </c:pt>
                  <c:pt idx="51">
                    <c:v>Taung Paw</c:v>
                  </c:pt>
                  <c:pt idx="54">
                    <c:v>Thae Chaung</c:v>
                  </c:pt>
                  <c:pt idx="57">
                    <c:v>Thet Kae Pyin </c:v>
                  </c:pt>
                  <c:pt idx="60">
                    <c:v>Thet Kae Pyin Village (IDPs in host family)</c:v>
                  </c:pt>
                  <c:pt idx="63">
                    <c:v>Khaung Doke Khar 2 (Hmanzi)</c:v>
                  </c:pt>
                  <c:pt idx="66">
                    <c:v>Khaung Doke Khar 1</c:v>
                  </c:pt>
                  <c:pt idx="69">
                    <c:v>Phwe Yar Kone (Say Tha Mar Gyi)</c:v>
                  </c:pt>
                  <c:pt idx="72">
                    <c:v>Baw Du Pha Village (IDP in host families)</c:v>
                  </c:pt>
                </c:lvl>
              </c:multiLvlStrCache>
            </c:multiLvlStrRef>
          </c:cat>
          <c:val>
            <c:numRef>
              <c:f>'Tracking Dashboard'!$P$5:$P$105</c:f>
              <c:numCache>
                <c:formatCode>General</c:formatCode>
                <c:ptCount val="75"/>
                <c:pt idx="0">
                  <c:v>1284.8370370370371</c:v>
                </c:pt>
                <c:pt idx="1">
                  <c:v>4836</c:v>
                </c:pt>
                <c:pt idx="2">
                  <c:v>4859</c:v>
                </c:pt>
                <c:pt idx="3">
                  <c:v>2111</c:v>
                </c:pt>
                <c:pt idx="4">
                  <c:v>2111</c:v>
                </c:pt>
                <c:pt idx="5">
                  <c:v>2111</c:v>
                </c:pt>
                <c:pt idx="6">
                  <c:v>4892</c:v>
                </c:pt>
                <c:pt idx="7">
                  <c:v>4892</c:v>
                </c:pt>
                <c:pt idx="8">
                  <c:v>4892</c:v>
                </c:pt>
                <c:pt idx="9">
                  <c:v>6936</c:v>
                </c:pt>
                <c:pt idx="10">
                  <c:v>6936</c:v>
                </c:pt>
                <c:pt idx="11">
                  <c:v>6936</c:v>
                </c:pt>
                <c:pt idx="12">
                  <c:v>11625</c:v>
                </c:pt>
                <c:pt idx="13">
                  <c:v>11625</c:v>
                </c:pt>
                <c:pt idx="14">
                  <c:v>11625</c:v>
                </c:pt>
                <c:pt idx="15">
                  <c:v>3360</c:v>
                </c:pt>
                <c:pt idx="16">
                  <c:v>3360</c:v>
                </c:pt>
                <c:pt idx="17">
                  <c:v>3360</c:v>
                </c:pt>
                <c:pt idx="18">
                  <c:v>979</c:v>
                </c:pt>
                <c:pt idx="19">
                  <c:v>974</c:v>
                </c:pt>
                <c:pt idx="20">
                  <c:v>971</c:v>
                </c:pt>
                <c:pt idx="21">
                  <c:v>6042</c:v>
                </c:pt>
                <c:pt idx="22">
                  <c:v>6037</c:v>
                </c:pt>
                <c:pt idx="23">
                  <c:v>6042</c:v>
                </c:pt>
                <c:pt idx="24">
                  <c:v>3486</c:v>
                </c:pt>
                <c:pt idx="25">
                  <c:v>3486</c:v>
                </c:pt>
                <c:pt idx="26">
                  <c:v>3486</c:v>
                </c:pt>
                <c:pt idx="27">
                  <c:v>4645</c:v>
                </c:pt>
                <c:pt idx="28">
                  <c:v>4671</c:v>
                </c:pt>
                <c:pt idx="29">
                  <c:v>4671</c:v>
                </c:pt>
                <c:pt idx="30">
                  <c:v>2717.6562962962967</c:v>
                </c:pt>
                <c:pt idx="31">
                  <c:v>4676</c:v>
                </c:pt>
                <c:pt idx="32">
                  <c:v>4676</c:v>
                </c:pt>
                <c:pt idx="33">
                  <c:v>581</c:v>
                </c:pt>
                <c:pt idx="34">
                  <c:v>0</c:v>
                </c:pt>
                <c:pt idx="35">
                  <c:v>0</c:v>
                </c:pt>
                <c:pt idx="36">
                  <c:v>3095</c:v>
                </c:pt>
                <c:pt idx="37">
                  <c:v>3095</c:v>
                </c:pt>
                <c:pt idx="38">
                  <c:v>3095</c:v>
                </c:pt>
                <c:pt idx="39">
                  <c:v>13302</c:v>
                </c:pt>
                <c:pt idx="40">
                  <c:v>13302</c:v>
                </c:pt>
                <c:pt idx="41">
                  <c:v>13302</c:v>
                </c:pt>
                <c:pt idx="42">
                  <c:v>11487</c:v>
                </c:pt>
                <c:pt idx="43">
                  <c:v>11396</c:v>
                </c:pt>
                <c:pt idx="44">
                  <c:v>11487</c:v>
                </c:pt>
                <c:pt idx="45">
                  <c:v>11564</c:v>
                </c:pt>
                <c:pt idx="46">
                  <c:v>11564</c:v>
                </c:pt>
                <c:pt idx="47">
                  <c:v>11564</c:v>
                </c:pt>
                <c:pt idx="48">
                  <c:v>2805</c:v>
                </c:pt>
                <c:pt idx="49">
                  <c:v>2805</c:v>
                </c:pt>
                <c:pt idx="50">
                  <c:v>2805</c:v>
                </c:pt>
                <c:pt idx="51">
                  <c:v>2920</c:v>
                </c:pt>
                <c:pt idx="52">
                  <c:v>2920</c:v>
                </c:pt>
                <c:pt idx="53">
                  <c:v>2920</c:v>
                </c:pt>
                <c:pt idx="54">
                  <c:v>6016</c:v>
                </c:pt>
                <c:pt idx="55">
                  <c:v>6016</c:v>
                </c:pt>
                <c:pt idx="56">
                  <c:v>6016</c:v>
                </c:pt>
                <c:pt idx="57">
                  <c:v>5950</c:v>
                </c:pt>
                <c:pt idx="58">
                  <c:v>5950</c:v>
                </c:pt>
                <c:pt idx="59">
                  <c:v>5950</c:v>
                </c:pt>
                <c:pt idx="60">
                  <c:v>1670</c:v>
                </c:pt>
                <c:pt idx="61">
                  <c:v>1670</c:v>
                </c:pt>
                <c:pt idx="62">
                  <c:v>1670</c:v>
                </c:pt>
                <c:pt idx="63">
                  <c:v>2186</c:v>
                </c:pt>
                <c:pt idx="64">
                  <c:v>2186</c:v>
                </c:pt>
                <c:pt idx="65">
                  <c:v>2186</c:v>
                </c:pt>
                <c:pt idx="66">
                  <c:v>2248</c:v>
                </c:pt>
                <c:pt idx="67">
                  <c:v>2248</c:v>
                </c:pt>
                <c:pt idx="68">
                  <c:v>2248</c:v>
                </c:pt>
                <c:pt idx="69">
                  <c:v>2285</c:v>
                </c:pt>
                <c:pt idx="70">
                  <c:v>2285</c:v>
                </c:pt>
                <c:pt idx="71">
                  <c:v>2285</c:v>
                </c:pt>
                <c:pt idx="72">
                  <c:v>114</c:v>
                </c:pt>
                <c:pt idx="73">
                  <c:v>0</c:v>
                </c:pt>
                <c:pt idx="74">
                  <c:v>0</c:v>
                </c:pt>
              </c:numCache>
            </c:numRef>
          </c:val>
          <c:extLst>
            <c:ext xmlns:c16="http://schemas.microsoft.com/office/drawing/2014/chart" uri="{C3380CC4-5D6E-409C-BE32-E72D297353CC}">
              <c16:uniqueId val="{00000002-FFE7-4630-AA87-8BB156FFBC38}"/>
            </c:ext>
          </c:extLst>
        </c:ser>
        <c:dLbls>
          <c:showLegendKey val="0"/>
          <c:showVal val="0"/>
          <c:showCatName val="0"/>
          <c:showSerName val="0"/>
          <c:showPercent val="0"/>
          <c:showBubbleSize val="0"/>
        </c:dLbls>
        <c:gapWidth val="100"/>
        <c:axId val="354336040"/>
        <c:axId val="354339176"/>
      </c:barChart>
      <c:catAx>
        <c:axId val="354336040"/>
        <c:scaling>
          <c:orientation val="minMax"/>
        </c:scaling>
        <c:delete val="0"/>
        <c:axPos val="l"/>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n-US"/>
          </a:p>
        </c:txPr>
        <c:crossAx val="354339176"/>
        <c:crosses val="autoZero"/>
        <c:auto val="1"/>
        <c:lblAlgn val="ctr"/>
        <c:lblOffset val="100"/>
        <c:noMultiLvlLbl val="0"/>
      </c:catAx>
      <c:valAx>
        <c:axId val="354339176"/>
        <c:scaling>
          <c:orientation val="minMax"/>
        </c:scaling>
        <c:delete val="0"/>
        <c:axPos val="b"/>
        <c:majorGridlines>
          <c:spPr>
            <a:ln w="9525" cap="flat" cmpd="sng" algn="ctr">
              <a:solidFill>
                <a:schemeClr val="tx2">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n-US"/>
          </a:p>
        </c:txPr>
        <c:crossAx val="354336040"/>
        <c:crosses val="autoZero"/>
        <c:crossBetween val="between"/>
      </c:valAx>
      <c:spPr>
        <a:noFill/>
        <a:ln>
          <a:noFill/>
        </a:ln>
        <a:effectLst/>
      </c:spPr>
    </c:plotArea>
    <c:legend>
      <c:legendPos val="r"/>
      <c:layout>
        <c:manualLayout>
          <c:xMode val="edge"/>
          <c:yMode val="edge"/>
          <c:x val="0.7116369818760272"/>
          <c:y val="0.33456621547684184"/>
          <c:w val="0.28836305215211328"/>
          <c:h val="0.16767514332611747"/>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1" i="0" u="none" strike="noStrike" kern="1200" baseline="0">
                <a:solidFill>
                  <a:srgbClr val="44546A"/>
                </a:solidFill>
                <a:latin typeface="+mn-lt"/>
                <a:ea typeface="+mn-ea"/>
                <a:cs typeface="+mn-cs"/>
              </a:defRPr>
            </a:pPr>
            <a:r>
              <a:rPr lang="en-US" sz="1400" b="1" i="0" baseline="0">
                <a:effectLst/>
              </a:rPr>
              <a:t>Latrine Functionality</a:t>
            </a:r>
            <a:endParaRPr lang="en-US" sz="1400">
              <a:effectLst/>
            </a:endParaRP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1" i="0" u="none" strike="noStrike" kern="1200" baseline="0">
              <a:solidFill>
                <a:srgbClr val="44546A"/>
              </a:solidFill>
              <a:latin typeface="+mn-lt"/>
              <a:ea typeface="+mn-ea"/>
              <a:cs typeface="+mn-cs"/>
            </a:defRPr>
          </a:pPr>
          <a:endParaRPr lang="en-US"/>
        </a:p>
      </c:txPr>
    </c:title>
    <c:autoTitleDeleted val="0"/>
    <c:plotArea>
      <c:layout/>
      <c:pieChart>
        <c:varyColors val="1"/>
        <c:ser>
          <c:idx val="0"/>
          <c:order val="0"/>
          <c:dPt>
            <c:idx val="0"/>
            <c:bubble3D val="0"/>
            <c:spPr>
              <a:solidFill>
                <a:schemeClr val="accent2">
                  <a:lumMod val="75000"/>
                </a:schemeClr>
              </a:solidFill>
              <a:ln>
                <a:noFill/>
              </a:ln>
              <a:effectLst/>
            </c:spPr>
            <c:extLst>
              <c:ext xmlns:c16="http://schemas.microsoft.com/office/drawing/2014/chart" uri="{C3380CC4-5D6E-409C-BE32-E72D297353CC}">
                <c16:uniqueId val="{00000001-012E-4C70-8DE8-442D9164B4FD}"/>
              </c:ext>
            </c:extLst>
          </c:dPt>
          <c:dPt>
            <c:idx val="1"/>
            <c:bubble3D val="0"/>
            <c:spPr>
              <a:solidFill>
                <a:schemeClr val="accent2">
                  <a:lumMod val="40000"/>
                  <a:lumOff val="60000"/>
                </a:schemeClr>
              </a:solidFill>
              <a:ln>
                <a:noFill/>
              </a:ln>
              <a:effectLst/>
            </c:spPr>
            <c:extLst>
              <c:ext xmlns:c16="http://schemas.microsoft.com/office/drawing/2014/chart" uri="{C3380CC4-5D6E-409C-BE32-E72D297353CC}">
                <c16:uniqueId val="{00000003-012E-4C70-8DE8-442D9164B4FD}"/>
              </c:ext>
            </c:extLst>
          </c:dPt>
          <c:dLbls>
            <c:dLbl>
              <c:idx val="0"/>
              <c:layout>
                <c:manualLayout>
                  <c:x val="-5.4314489121275629E-2"/>
                  <c:y val="-0.19645368857872042"/>
                </c:manualLayout>
              </c:layout>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bg1"/>
                      </a:solidFill>
                      <a:latin typeface="+mn-lt"/>
                      <a:ea typeface="+mn-ea"/>
                      <a:cs typeface="+mn-cs"/>
                    </a:defRPr>
                  </a:pPr>
                  <a:endParaRPr lang="en-US"/>
                </a:p>
              </c:txPr>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012E-4C70-8DE8-442D9164B4FD}"/>
                </c:ext>
              </c:extLst>
            </c:dLbl>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2"/>
                    </a:solidFill>
                    <a:latin typeface="+mn-lt"/>
                    <a:ea typeface="+mn-ea"/>
                    <a:cs typeface="+mn-cs"/>
                  </a:defRPr>
                </a:pPr>
                <a:endParaRPr lang="en-US"/>
              </a:p>
            </c:txPr>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Analysis!$I$94:$I$95</c:f>
              <c:strCache>
                <c:ptCount val="2"/>
                <c:pt idx="0">
                  <c:v>Functioning</c:v>
                </c:pt>
                <c:pt idx="1">
                  <c:v>Not_Functioning</c:v>
                </c:pt>
              </c:strCache>
            </c:strRef>
          </c:cat>
          <c:val>
            <c:numRef>
              <c:f>Analysis!$J$94:$J$95</c:f>
              <c:numCache>
                <c:formatCode>_(* #,##0_);_(* \(#,##0\);_(* "-"??_);_(@_)</c:formatCode>
                <c:ptCount val="2"/>
                <c:pt idx="0">
                  <c:v>5256</c:v>
                </c:pt>
                <c:pt idx="1">
                  <c:v>656</c:v>
                </c:pt>
              </c:numCache>
            </c:numRef>
          </c:val>
          <c:extLst>
            <c:ext xmlns:c16="http://schemas.microsoft.com/office/drawing/2014/chart" uri="{C3380CC4-5D6E-409C-BE32-E72D297353CC}">
              <c16:uniqueId val="{00000006-012E-4C70-8DE8-442D9164B4FD}"/>
            </c:ext>
          </c:extLst>
        </c:ser>
        <c:dLbls>
          <c:showLegendKey val="0"/>
          <c:showVal val="0"/>
          <c:showCatName val="0"/>
          <c:showSerName val="0"/>
          <c:showPercent val="0"/>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1200" b="0" i="0" u="none" strike="noStrike" kern="1200" baseline="0">
              <a:solidFill>
                <a:schemeClr val="tx2"/>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[20200124_Myanmar_WASH_4W_2019_Q4_Rakhine_camp_Consolidate.xlsx]Analysis!PivotTable14</c:name>
    <c:fmtId val="8"/>
  </c:pivotSource>
  <c:chart>
    <c:title>
      <c:tx>
        <c:rich>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r>
              <a:rPr lang="en-US" sz="1200" b="0" i="0" baseline="0">
                <a:effectLst/>
              </a:rPr>
              <a:t>WASH in Temporary Learning Spaces Rakhine</a:t>
            </a:r>
            <a:endParaRPr lang="en-US" sz="1200" b="0">
              <a:effectLst/>
            </a:endParaRPr>
          </a:p>
        </c:rich>
      </c:tx>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title>
    <c:autoTitleDeleted val="0"/>
    <c:pivotFmts>
      <c:pivotFmt>
        <c:idx val="0"/>
        <c:spPr>
          <a:solidFill>
            <a:srgbClr val="0070C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2">
              <a:lumMod val="75000"/>
            </a:schemeClr>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Analysis!$D$312</c:f>
              <c:strCache>
                <c:ptCount val="1"/>
                <c:pt idx="0">
                  <c:v># of latrines in TLS/CFS</c:v>
                </c:pt>
              </c:strCache>
            </c:strRef>
          </c:tx>
          <c:spPr>
            <a:solidFill>
              <a:schemeClr val="accent2">
                <a:lumMod val="75000"/>
              </a:schemeClr>
            </a:soli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Analysis!$C$313</c:f>
              <c:strCache>
                <c:ptCount val="1"/>
                <c:pt idx="0">
                  <c:v>Central Rakhine</c:v>
                </c:pt>
              </c:strCache>
            </c:strRef>
          </c:cat>
          <c:val>
            <c:numRef>
              <c:f>Analysis!$D$313</c:f>
              <c:numCache>
                <c:formatCode>_(* #,##0_);_(* \(#,##0\);_(* "-"??_);_(@_)</c:formatCode>
                <c:ptCount val="1"/>
                <c:pt idx="0">
                  <c:v>229</c:v>
                </c:pt>
              </c:numCache>
            </c:numRef>
          </c:val>
          <c:extLst>
            <c:ext xmlns:c16="http://schemas.microsoft.com/office/drawing/2014/chart" uri="{C3380CC4-5D6E-409C-BE32-E72D297353CC}">
              <c16:uniqueId val="{00000008-5B45-4B22-8259-D695C202ABB7}"/>
            </c:ext>
          </c:extLst>
        </c:ser>
        <c:ser>
          <c:idx val="1"/>
          <c:order val="1"/>
          <c:tx>
            <c:strRef>
              <c:f>Analysis!$E$312</c:f>
              <c:strCache>
                <c:ptCount val="1"/>
                <c:pt idx="0">
                  <c:v> # Functional water points in TLS/CFS</c:v>
                </c:pt>
              </c:strCache>
            </c:strRef>
          </c:tx>
          <c:spPr>
            <a:solidFill>
              <a:srgbClr val="0070C0"/>
            </a:soli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Analysis!$C$313</c:f>
              <c:strCache>
                <c:ptCount val="1"/>
                <c:pt idx="0">
                  <c:v>Central Rakhine</c:v>
                </c:pt>
              </c:strCache>
            </c:strRef>
          </c:cat>
          <c:val>
            <c:numRef>
              <c:f>Analysis!$E$313</c:f>
              <c:numCache>
                <c:formatCode>_(* #,##0_);_(* \(#,##0\);_(* "-"??_);_(@_)</c:formatCode>
                <c:ptCount val="1"/>
                <c:pt idx="0">
                  <c:v>103</c:v>
                </c:pt>
              </c:numCache>
            </c:numRef>
          </c:val>
          <c:extLst>
            <c:ext xmlns:c16="http://schemas.microsoft.com/office/drawing/2014/chart" uri="{C3380CC4-5D6E-409C-BE32-E72D297353CC}">
              <c16:uniqueId val="{00000009-5B45-4B22-8259-D695C202ABB7}"/>
            </c:ext>
          </c:extLst>
        </c:ser>
        <c:dLbls>
          <c:dLblPos val="outEnd"/>
          <c:showLegendKey val="0"/>
          <c:showVal val="1"/>
          <c:showCatName val="0"/>
          <c:showSerName val="0"/>
          <c:showPercent val="0"/>
          <c:showBubbleSize val="0"/>
        </c:dLbls>
        <c:gapWidth val="115"/>
        <c:overlap val="-20"/>
        <c:axId val="395514816"/>
        <c:axId val="395517952"/>
      </c:barChart>
      <c:catAx>
        <c:axId val="395514816"/>
        <c:scaling>
          <c:orientation val="minMax"/>
        </c:scaling>
        <c:delete val="1"/>
        <c:axPos val="l"/>
        <c:numFmt formatCode="General" sourceLinked="1"/>
        <c:majorTickMark val="none"/>
        <c:minorTickMark val="none"/>
        <c:tickLblPos val="nextTo"/>
        <c:crossAx val="395517952"/>
        <c:crosses val="autoZero"/>
        <c:auto val="1"/>
        <c:lblAlgn val="ctr"/>
        <c:lblOffset val="100"/>
        <c:noMultiLvlLbl val="0"/>
      </c:catAx>
      <c:valAx>
        <c:axId val="395517952"/>
        <c:scaling>
          <c:orientation val="minMax"/>
        </c:scaling>
        <c:delete val="0"/>
        <c:axPos val="b"/>
        <c:majorGridlines>
          <c:spPr>
            <a:ln w="9525" cap="flat" cmpd="sng" algn="ctr">
              <a:solidFill>
                <a:schemeClr val="tx1">
                  <a:lumMod val="15000"/>
                  <a:lumOff val="85000"/>
                </a:schemeClr>
              </a:solidFill>
              <a:round/>
            </a:ln>
            <a:effectLst/>
          </c:spPr>
        </c:majorGridlines>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551481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[20200124_Myanmar_WASH_4W_2019_Q4_Rakhine_camp_Consolidate.xlsx]Analysis!R_Geo</c:name>
    <c:fmtId val="9"/>
  </c:pivotSource>
  <c:chart>
    <c:title>
      <c:tx>
        <c:rich>
          <a:bodyPr rot="0" spcFirstLastPara="1" vertOverflow="ellipsis" vert="horz" wrap="square" anchor="ctr" anchorCtr="1"/>
          <a:lstStyle/>
          <a:p>
            <a:pPr>
              <a:defRPr sz="1400" b="1" i="0" u="none" strike="noStrike" kern="1200" baseline="0">
                <a:solidFill>
                  <a:schemeClr val="tx2"/>
                </a:solidFill>
                <a:latin typeface="+mn-lt"/>
                <a:ea typeface="+mn-ea"/>
                <a:cs typeface="+mn-cs"/>
              </a:defRPr>
            </a:pPr>
            <a:r>
              <a:rPr lang="en-US" sz="1400" b="1" i="0" baseline="0">
                <a:effectLst/>
              </a:rPr>
              <a:t>Rakhine - Number of Sites - Coverage/Gaps </a:t>
            </a:r>
          </a:p>
        </c:rich>
      </c:tx>
      <c:layout>
        <c:manualLayout>
          <c:xMode val="edge"/>
          <c:yMode val="edge"/>
          <c:x val="0.37496606587236875"/>
          <c:y val="3.1160771860866059E-2"/>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2"/>
              </a:solidFill>
              <a:latin typeface="+mn-lt"/>
              <a:ea typeface="+mn-ea"/>
              <a:cs typeface="+mn-cs"/>
            </a:defRPr>
          </a:pPr>
          <a:endParaRPr lang="en-US"/>
        </a:p>
      </c:txPr>
    </c:title>
    <c:autoTitleDeleted val="0"/>
    <c:pivotFmts>
      <c:pivotFmt>
        <c:idx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marker>
          <c:symbol val="circle"/>
          <c:size val="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w="12700">
              <a:solidFill>
                <a:schemeClr val="lt2"/>
              </a:solidFill>
              <a:round/>
            </a:ln>
            <a:effectLst/>
          </c:spPr>
        </c:marker>
      </c:pivotFmt>
      <c:pivotFmt>
        <c:idx val="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marker>
          <c:symbol val="circle"/>
          <c:size val="6"/>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w="12700">
              <a:solidFill>
                <a:schemeClr val="lt2"/>
              </a:solidFill>
              <a:round/>
            </a:ln>
            <a:effectLst/>
          </c:spPr>
        </c:marker>
      </c:pivotFmt>
      <c:pivotFmt>
        <c:idx val="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marker>
          <c:symbol val="none"/>
        </c:marker>
      </c:pivotFmt>
      <c:pivotFmt>
        <c:idx val="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marker>
          <c:symbol val="none"/>
        </c:marker>
      </c:pivotFmt>
      <c:pivotFmt>
        <c:idx val="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2"/>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2"/>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2"/>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2"/>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2"/>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2"/>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2"/>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19457810678834817"/>
          <c:y val="0.18660326982618372"/>
          <c:w val="0.7162328642427549"/>
          <c:h val="0.59374132694776072"/>
        </c:manualLayout>
      </c:layout>
      <c:barChart>
        <c:barDir val="bar"/>
        <c:grouping val="clustered"/>
        <c:varyColors val="0"/>
        <c:ser>
          <c:idx val="0"/>
          <c:order val="0"/>
          <c:tx>
            <c:strRef>
              <c:f>Analysis!$I$249:$I$250</c:f>
              <c:strCache>
                <c:ptCount val="1"/>
                <c:pt idx="0">
                  <c:v>Covered</c:v>
                </c:pt>
              </c:strCache>
            </c:strRef>
          </c:tx>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2"/>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Analysis!$H$251</c:f>
              <c:strCache>
                <c:ptCount val="1"/>
                <c:pt idx="0">
                  <c:v>Camp</c:v>
                </c:pt>
              </c:strCache>
            </c:strRef>
          </c:cat>
          <c:val>
            <c:numRef>
              <c:f>Analysis!$I$251</c:f>
              <c:numCache>
                <c:formatCode>General</c:formatCode>
                <c:ptCount val="1"/>
                <c:pt idx="0">
                  <c:v>24</c:v>
                </c:pt>
              </c:numCache>
            </c:numRef>
          </c:val>
          <c:extLst>
            <c:ext xmlns:c16="http://schemas.microsoft.com/office/drawing/2014/chart" uri="{C3380CC4-5D6E-409C-BE32-E72D297353CC}">
              <c16:uniqueId val="{00000000-DE4B-42CE-85B3-AC16FC5401A6}"/>
            </c:ext>
          </c:extLst>
        </c:ser>
        <c:ser>
          <c:idx val="1"/>
          <c:order val="1"/>
          <c:tx>
            <c:strRef>
              <c:f>Analysis!$J$249:$J$250</c:f>
              <c:strCache>
                <c:ptCount val="1"/>
                <c:pt idx="0">
                  <c:v>Gap</c:v>
                </c:pt>
              </c:strCache>
            </c:strRef>
          </c:tx>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2"/>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Analysis!$H$251</c:f>
              <c:strCache>
                <c:ptCount val="1"/>
                <c:pt idx="0">
                  <c:v>Camp</c:v>
                </c:pt>
              </c:strCache>
            </c:strRef>
          </c:cat>
          <c:val>
            <c:numRef>
              <c:f>Analysis!$J$251</c:f>
              <c:numCache>
                <c:formatCode>General</c:formatCode>
                <c:ptCount val="1"/>
                <c:pt idx="0">
                  <c:v>1</c:v>
                </c:pt>
              </c:numCache>
            </c:numRef>
          </c:val>
          <c:extLst>
            <c:ext xmlns:c16="http://schemas.microsoft.com/office/drawing/2014/chart" uri="{C3380CC4-5D6E-409C-BE32-E72D297353CC}">
              <c16:uniqueId val="{00000000-D843-43CB-A03B-D1DC0151697A}"/>
            </c:ext>
          </c:extLst>
        </c:ser>
        <c:dLbls>
          <c:showLegendKey val="0"/>
          <c:showVal val="0"/>
          <c:showCatName val="0"/>
          <c:showSerName val="0"/>
          <c:showPercent val="0"/>
          <c:showBubbleSize val="0"/>
        </c:dLbls>
        <c:gapWidth val="100"/>
        <c:axId val="395622536"/>
        <c:axId val="395628024"/>
      </c:barChart>
      <c:catAx>
        <c:axId val="395622536"/>
        <c:scaling>
          <c:orientation val="minMax"/>
        </c:scaling>
        <c:delete val="0"/>
        <c:axPos val="l"/>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2"/>
                </a:solidFill>
                <a:latin typeface="+mn-lt"/>
                <a:ea typeface="+mn-ea"/>
                <a:cs typeface="+mn-cs"/>
              </a:defRPr>
            </a:pPr>
            <a:endParaRPr lang="en-US"/>
          </a:p>
        </c:txPr>
        <c:crossAx val="395628024"/>
        <c:crosses val="autoZero"/>
        <c:auto val="1"/>
        <c:lblAlgn val="ctr"/>
        <c:lblOffset val="100"/>
        <c:noMultiLvlLbl val="0"/>
      </c:catAx>
      <c:valAx>
        <c:axId val="395628024"/>
        <c:scaling>
          <c:orientation val="minMax"/>
        </c:scaling>
        <c:delete val="0"/>
        <c:axPos val="b"/>
        <c:majorGridlines>
          <c:spPr>
            <a:ln w="9525" cap="flat" cmpd="sng" algn="ctr">
              <a:solidFill>
                <a:schemeClr val="tx2">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2"/>
                </a:solidFill>
                <a:latin typeface="+mn-lt"/>
                <a:ea typeface="+mn-ea"/>
                <a:cs typeface="+mn-cs"/>
              </a:defRPr>
            </a:pPr>
            <a:endParaRPr lang="en-US"/>
          </a:p>
        </c:txPr>
        <c:crossAx val="395622536"/>
        <c:crosses val="autoZero"/>
        <c:crossBetween val="between"/>
      </c:valAx>
      <c:spPr>
        <a:noFill/>
        <a:ln>
          <a:noFill/>
        </a:ln>
        <a:effectLst/>
      </c:spPr>
    </c:plotArea>
    <c:legend>
      <c:legendPos val="r"/>
      <c:layout>
        <c:manualLayout>
          <c:xMode val="edge"/>
          <c:yMode val="edge"/>
          <c:x val="0.855541762360014"/>
          <c:y val="0.32719656311617756"/>
          <c:w val="0.10345922271286632"/>
          <c:h val="0.15033632914819903"/>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2"/>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[20200124_Myanmar_WASH_4W_2019_Q4_Rakhine_camp_Consolidate.xlsx]Analysis!W_R_C_G_C</c:name>
    <c:fmtId val="33"/>
  </c:pivotSource>
  <c:chart>
    <c:title>
      <c:tx>
        <c:rich>
          <a:bodyPr rot="0" spcFirstLastPara="1" vertOverflow="ellipsis" vert="horz" wrap="square" anchor="ctr" anchorCtr="1"/>
          <a:lstStyle/>
          <a:p>
            <a:pPr>
              <a:defRPr sz="1200" b="1" i="0" u="none" strike="noStrike" kern="1200" baseline="0">
                <a:solidFill>
                  <a:schemeClr val="tx2"/>
                </a:solidFill>
                <a:latin typeface="+mn-lt"/>
                <a:ea typeface="+mn-ea"/>
                <a:cs typeface="+mn-cs"/>
              </a:defRPr>
            </a:pPr>
            <a:r>
              <a:rPr lang="en-US" sz="1200" b="1" i="0" baseline="0">
                <a:effectLst/>
              </a:rPr>
              <a:t>WATER Coverage VS GAP in Active camps</a:t>
            </a:r>
            <a:endParaRPr lang="en-US" sz="1200">
              <a:effectLst/>
            </a:endParaRPr>
          </a:p>
          <a:p>
            <a:pPr>
              <a:defRPr sz="1200"/>
            </a:pPr>
            <a:r>
              <a:rPr lang="en-US" sz="1200" b="1" i="0" baseline="0">
                <a:effectLst/>
              </a:rPr>
              <a:t>in Rakhine</a:t>
            </a:r>
            <a:endParaRPr lang="en-US" sz="1200">
              <a:effectLst/>
            </a:endParaRPr>
          </a:p>
        </c:rich>
      </c:tx>
      <c:overlay val="0"/>
      <c:spPr>
        <a:noFill/>
        <a:ln>
          <a:noFill/>
        </a:ln>
        <a:effectLst/>
      </c:spPr>
      <c:txPr>
        <a:bodyPr rot="0" spcFirstLastPara="1" vertOverflow="ellipsis" vert="horz" wrap="square" anchor="ctr" anchorCtr="1"/>
        <a:lstStyle/>
        <a:p>
          <a:pPr>
            <a:defRPr sz="1200" b="1" i="0" u="none" strike="noStrike" kern="1200" baseline="0">
              <a:solidFill>
                <a:schemeClr val="tx2"/>
              </a:solidFill>
              <a:latin typeface="+mn-lt"/>
              <a:ea typeface="+mn-ea"/>
              <a:cs typeface="+mn-cs"/>
            </a:defRPr>
          </a:pPr>
          <a:endParaRPr lang="en-US"/>
        </a:p>
      </c:txPr>
    </c:title>
    <c:autoTitleDeleted val="0"/>
    <c:pivotFmts>
      <c:pivotFmt>
        <c:idx val="0"/>
        <c:spPr>
          <a:solidFill>
            <a:srgbClr val="0070C0"/>
          </a:solidFill>
          <a:ln>
            <a:noFill/>
          </a:ln>
          <a:effectLst/>
        </c:spPr>
        <c:marker>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w="12700">
              <a:solidFill>
                <a:schemeClr val="lt2"/>
              </a:solidFill>
              <a:round/>
            </a:ln>
            <a:effectLst/>
          </c:spPr>
        </c:marker>
      </c:pivotFmt>
      <c:pivotFmt>
        <c:idx val="1"/>
        <c:spPr>
          <a:solidFill>
            <a:schemeClr val="accent1">
              <a:lumMod val="40000"/>
              <a:lumOff val="6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
        <c:spPr>
          <a:solidFill>
            <a:srgbClr val="0070C0"/>
          </a:solidFill>
          <a:ln>
            <a:noFill/>
          </a:ln>
          <a:effectLst/>
        </c:spPr>
        <c:marker>
          <c:symbol val="none"/>
        </c:marker>
        <c:dLbl>
          <c:idx val="0"/>
          <c:spPr>
            <a:noFill/>
            <a:ln>
              <a:noFill/>
            </a:ln>
            <a:effectLst/>
          </c:spPr>
          <c:txPr>
            <a:bodyPr rot="-5400000" spcFirstLastPara="1" vertOverflow="ellipsis"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
        <c:spPr>
          <a:solidFill>
            <a:srgbClr val="0070C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4"/>
        <c:spPr>
          <a:solidFill>
            <a:srgbClr val="0070C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5"/>
        <c:spPr>
          <a:solidFill>
            <a:schemeClr val="accent1">
              <a:lumMod val="40000"/>
              <a:lumOff val="6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2"/>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percentStacked"/>
        <c:varyColors val="0"/>
        <c:ser>
          <c:idx val="0"/>
          <c:order val="0"/>
          <c:tx>
            <c:strRef>
              <c:f>Analysis!$C$78</c:f>
              <c:strCache>
                <c:ptCount val="1"/>
                <c:pt idx="0">
                  <c:v> % Water Coverage</c:v>
                </c:pt>
              </c:strCache>
            </c:strRef>
          </c:tx>
          <c:spPr>
            <a:solidFill>
              <a:srgbClr val="0070C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Analysis!$B$79:$B$82</c:f>
              <c:strCache>
                <c:ptCount val="4"/>
                <c:pt idx="0">
                  <c:v>Kyaukpyu</c:v>
                </c:pt>
                <c:pt idx="1">
                  <c:v>Myebon</c:v>
                </c:pt>
                <c:pt idx="2">
                  <c:v>Pauktaw</c:v>
                </c:pt>
                <c:pt idx="3">
                  <c:v>Sittwe</c:v>
                </c:pt>
              </c:strCache>
            </c:strRef>
          </c:cat>
          <c:val>
            <c:numRef>
              <c:f>Analysis!$C$79:$C$82</c:f>
              <c:numCache>
                <c:formatCode>0%</c:formatCode>
                <c:ptCount val="4"/>
                <c:pt idx="0">
                  <c:v>1</c:v>
                </c:pt>
                <c:pt idx="1">
                  <c:v>1</c:v>
                </c:pt>
                <c:pt idx="2">
                  <c:v>1</c:v>
                </c:pt>
                <c:pt idx="3">
                  <c:v>0.99876404007112185</c:v>
                </c:pt>
              </c:numCache>
            </c:numRef>
          </c:val>
          <c:extLst>
            <c:ext xmlns:c16="http://schemas.microsoft.com/office/drawing/2014/chart" uri="{C3380CC4-5D6E-409C-BE32-E72D297353CC}">
              <c16:uniqueId val="{00000000-F589-46E0-ADBB-024CFB5B8F62}"/>
            </c:ext>
          </c:extLst>
        </c:ser>
        <c:ser>
          <c:idx val="1"/>
          <c:order val="1"/>
          <c:tx>
            <c:strRef>
              <c:f>Analysis!$D$78</c:f>
              <c:strCache>
                <c:ptCount val="1"/>
                <c:pt idx="0">
                  <c:v> % Water GAP</c:v>
                </c:pt>
              </c:strCache>
            </c:strRef>
          </c:tx>
          <c:spPr>
            <a:solidFill>
              <a:schemeClr val="accent1">
                <a:lumMod val="40000"/>
                <a:lumOff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2"/>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Analysis!$B$79:$B$82</c:f>
              <c:strCache>
                <c:ptCount val="4"/>
                <c:pt idx="0">
                  <c:v>Kyaukpyu</c:v>
                </c:pt>
                <c:pt idx="1">
                  <c:v>Myebon</c:v>
                </c:pt>
                <c:pt idx="2">
                  <c:v>Pauktaw</c:v>
                </c:pt>
                <c:pt idx="3">
                  <c:v>Sittwe</c:v>
                </c:pt>
              </c:strCache>
            </c:strRef>
          </c:cat>
          <c:val>
            <c:numRef>
              <c:f>Analysis!$D$79:$D$82</c:f>
              <c:numCache>
                <c:formatCode>0%</c:formatCode>
                <c:ptCount val="4"/>
                <c:pt idx="0">
                  <c:v>0</c:v>
                </c:pt>
                <c:pt idx="1">
                  <c:v>0</c:v>
                </c:pt>
                <c:pt idx="2">
                  <c:v>0</c:v>
                </c:pt>
                <c:pt idx="3">
                  <c:v>1.2359599288781498E-3</c:v>
                </c:pt>
              </c:numCache>
            </c:numRef>
          </c:val>
          <c:extLst>
            <c:ext xmlns:c16="http://schemas.microsoft.com/office/drawing/2014/chart" uri="{C3380CC4-5D6E-409C-BE32-E72D297353CC}">
              <c16:uniqueId val="{00000001-F589-46E0-ADBB-024CFB5B8F62}"/>
            </c:ext>
          </c:extLst>
        </c:ser>
        <c:dLbls>
          <c:showLegendKey val="0"/>
          <c:showVal val="0"/>
          <c:showCatName val="0"/>
          <c:showSerName val="0"/>
          <c:showPercent val="0"/>
          <c:showBubbleSize val="0"/>
        </c:dLbls>
        <c:gapWidth val="150"/>
        <c:overlap val="100"/>
        <c:axId val="395620968"/>
        <c:axId val="395626064"/>
      </c:barChart>
      <c:catAx>
        <c:axId val="395620968"/>
        <c:scaling>
          <c:orientation val="minMax"/>
        </c:scaling>
        <c:delete val="0"/>
        <c:axPos val="b"/>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n-US"/>
          </a:p>
        </c:txPr>
        <c:crossAx val="395626064"/>
        <c:crosses val="autoZero"/>
        <c:auto val="1"/>
        <c:lblAlgn val="ctr"/>
        <c:lblOffset val="100"/>
        <c:noMultiLvlLbl val="0"/>
      </c:catAx>
      <c:valAx>
        <c:axId val="395626064"/>
        <c:scaling>
          <c:orientation val="minMax"/>
        </c:scaling>
        <c:delete val="0"/>
        <c:axPos val="l"/>
        <c:majorGridlines>
          <c:spPr>
            <a:ln w="9525" cap="flat" cmpd="sng" algn="ctr">
              <a:solidFill>
                <a:schemeClr val="tx2">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n-US"/>
          </a:p>
        </c:txPr>
        <c:crossAx val="39562096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2"/>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olors1.xml><?xml version="1.0" encoding="utf-8"?>
<cs:colorStyle xmlns:cs="http://schemas.microsoft.com/office/drawing/2012/chartStyle" xmlns:a="http://schemas.openxmlformats.org/drawingml/2006/main" meth="withinLinear" id="19">
  <a:schemeClr val="accent6"/>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withinLinear" id="15">
  <a:schemeClr val="accent2"/>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withinLinear" id="14">
  <a:schemeClr val="accent1"/>
</cs:colorStyle>
</file>

<file path=xl/charts/colors25.xml><?xml version="1.0" encoding="utf-8"?>
<cs:colorStyle xmlns:cs="http://schemas.microsoft.com/office/drawing/2012/chartStyle" xmlns:a="http://schemas.openxmlformats.org/drawingml/2006/main" meth="withinLinear" id="15">
  <a:schemeClr val="accent2"/>
</cs:colorStyle>
</file>

<file path=xl/charts/colors26.xml><?xml version="1.0" encoding="utf-8"?>
<cs:colorStyle xmlns:cs="http://schemas.microsoft.com/office/drawing/2012/chartStyle" xmlns:a="http://schemas.openxmlformats.org/drawingml/2006/main" meth="withinLinear" id="19">
  <a:schemeClr val="accent6"/>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withinLinear" id="14">
  <a:schemeClr val="accent1"/>
</cs:colorStyle>
</file>

<file path=xl/charts/colors3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3.xml><?xml version="1.0" encoding="utf-8"?>
<cs:colorStyle xmlns:cs="http://schemas.microsoft.com/office/drawing/2012/chartStyle" xmlns:a="http://schemas.openxmlformats.org/drawingml/2006/main" meth="withinLinear" id="14">
  <a:schemeClr val="accent1"/>
</cs:colorStyle>
</file>

<file path=xl/charts/colors3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2.xml><?xml version="1.0" encoding="utf-8"?>
<cs:colorStyle xmlns:cs="http://schemas.microsoft.com/office/drawing/2012/chartStyle" xmlns:a="http://schemas.openxmlformats.org/drawingml/2006/main" meth="withinLinear" id="19">
  <a:schemeClr val="accent6"/>
</cs:colorStyle>
</file>

<file path=xl/charts/colors4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6.xml><?xml version="1.0" encoding="utf-8"?>
<cs:colorStyle xmlns:cs="http://schemas.microsoft.com/office/drawing/2012/chartStyle" xmlns:a="http://schemas.openxmlformats.org/drawingml/2006/main" meth="withinLinear" id="15">
  <a:schemeClr val="accent2"/>
</cs:colorStyle>
</file>

<file path=xl/charts/colors47.xml><?xml version="1.0" encoding="utf-8"?>
<cs:colorStyle xmlns:cs="http://schemas.microsoft.com/office/drawing/2012/chartStyle" xmlns:a="http://schemas.openxmlformats.org/drawingml/2006/main" meth="withinLinear" id="15">
  <a:schemeClr val="accent2"/>
</cs:colorStyle>
</file>

<file path=xl/charts/colors4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withinLinear" id="15">
  <a:schemeClr val="accent2"/>
</cs:colorStyle>
</file>

<file path=xl/charts/colors5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1.xml><?xml version="1.0" encoding="utf-8"?>
<cs:colorStyle xmlns:cs="http://schemas.microsoft.com/office/drawing/2012/chartStyle" xmlns:a="http://schemas.openxmlformats.org/drawingml/2006/main" meth="withinLinear" id="14">
  <a:schemeClr val="accent1"/>
</cs:colorStyle>
</file>

<file path=xl/charts/colors5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02">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10.xml><?xml version="1.0" encoding="utf-8"?>
<cs:chartStyle xmlns:cs="http://schemas.microsoft.com/office/drawing/2012/chartStyle" xmlns:a="http://schemas.openxmlformats.org/drawingml/2006/main" id="302">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11.xml><?xml version="1.0" encoding="utf-8"?>
<cs:chartStyle xmlns:cs="http://schemas.microsoft.com/office/drawing/2012/chartStyle" xmlns:a="http://schemas.openxmlformats.org/drawingml/2006/main" id="302">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12.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13.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14.xml><?xml version="1.0" encoding="utf-8"?>
<cs:chartStyle xmlns:cs="http://schemas.microsoft.com/office/drawing/2012/chartStyle" xmlns:a="http://schemas.openxmlformats.org/drawingml/2006/main" id="302">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15.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16.xml><?xml version="1.0" encoding="utf-8"?>
<cs:chartStyle xmlns:cs="http://schemas.microsoft.com/office/drawing/2012/chartStyle" xmlns:a="http://schemas.openxmlformats.org/drawingml/2006/main" id="302">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17.xml><?xml version="1.0" encoding="utf-8"?>
<cs:chartStyle xmlns:cs="http://schemas.microsoft.com/office/drawing/2012/chartStyle" xmlns:a="http://schemas.openxmlformats.org/drawingml/2006/main" id="302">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18.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19.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2.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20.xml><?xml version="1.0" encoding="utf-8"?>
<cs:chartStyle xmlns:cs="http://schemas.microsoft.com/office/drawing/2012/chartStyle" xmlns:a="http://schemas.openxmlformats.org/drawingml/2006/main" id="302">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21.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22.xml><?xml version="1.0" encoding="utf-8"?>
<cs:chartStyle xmlns:cs="http://schemas.microsoft.com/office/drawing/2012/chartStyle" xmlns:a="http://schemas.openxmlformats.org/drawingml/2006/main" id="302">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23.xml><?xml version="1.0" encoding="utf-8"?>
<cs:chartStyle xmlns:cs="http://schemas.microsoft.com/office/drawing/2012/chartStyle" xmlns:a="http://schemas.openxmlformats.org/drawingml/2006/main" id="336">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24.xml><?xml version="1.0" encoding="utf-8"?>
<cs:chartStyle xmlns:cs="http://schemas.microsoft.com/office/drawing/2012/chartStyle" xmlns:a="http://schemas.openxmlformats.org/drawingml/2006/main" id="302">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25.xml><?xml version="1.0" encoding="utf-8"?>
<cs:chartStyle xmlns:cs="http://schemas.microsoft.com/office/drawing/2012/chartStyle" xmlns:a="http://schemas.openxmlformats.org/drawingml/2006/main" id="302">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26.xml><?xml version="1.0" encoding="utf-8"?>
<cs:chartStyle xmlns:cs="http://schemas.microsoft.com/office/drawing/2012/chartStyle" xmlns:a="http://schemas.openxmlformats.org/drawingml/2006/main" id="302">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27.xml><?xml version="1.0" encoding="utf-8"?>
<cs:chartStyle xmlns:cs="http://schemas.microsoft.com/office/drawing/2012/chartStyle" xmlns:a="http://schemas.openxmlformats.org/drawingml/2006/main" id="302">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28.xml><?xml version="1.0" encoding="utf-8"?>
<cs:chartStyle xmlns:cs="http://schemas.microsoft.com/office/drawing/2012/chartStyle" xmlns:a="http://schemas.openxmlformats.org/drawingml/2006/main" id="302">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29.xml><?xml version="1.0" encoding="utf-8"?>
<cs:chartStyle xmlns:cs="http://schemas.microsoft.com/office/drawing/2012/chartStyle" xmlns:a="http://schemas.openxmlformats.org/drawingml/2006/main" id="220">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3.xml><?xml version="1.0" encoding="utf-8"?>
<cs:chartStyle xmlns:cs="http://schemas.microsoft.com/office/drawing/2012/chartStyle" xmlns:a="http://schemas.openxmlformats.org/drawingml/2006/main" id="302">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30.xml><?xml version="1.0" encoding="utf-8"?>
<cs:chartStyle xmlns:cs="http://schemas.microsoft.com/office/drawing/2012/chartStyle" xmlns:a="http://schemas.openxmlformats.org/drawingml/2006/main" id="220">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31.xml><?xml version="1.0" encoding="utf-8"?>
<cs:chartStyle xmlns:cs="http://schemas.microsoft.com/office/drawing/2012/chartStyle" xmlns:a="http://schemas.openxmlformats.org/drawingml/2006/main" id="302">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32.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33.xml><?xml version="1.0" encoding="utf-8"?>
<cs:chartStyle xmlns:cs="http://schemas.microsoft.com/office/drawing/2012/chartStyle" xmlns:a="http://schemas.openxmlformats.org/drawingml/2006/main" id="302">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34.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35.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36.xml><?xml version="1.0" encoding="utf-8"?>
<cs:chartStyle xmlns:cs="http://schemas.microsoft.com/office/drawing/2012/chartStyle" xmlns:a="http://schemas.openxmlformats.org/drawingml/2006/main" id="302">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37.xml><?xml version="1.0" encoding="utf-8"?>
<cs:chartStyle xmlns:cs="http://schemas.microsoft.com/office/drawing/2012/chartStyle" xmlns:a="http://schemas.openxmlformats.org/drawingml/2006/main" id="302">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38.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39.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4.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40.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41.xml><?xml version="1.0" encoding="utf-8"?>
<cs:chartStyle xmlns:cs="http://schemas.microsoft.com/office/drawing/2012/chartStyle" xmlns:a="http://schemas.openxmlformats.org/drawingml/2006/main" id="302">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42.xml><?xml version="1.0" encoding="utf-8"?>
<cs:chartStyle xmlns:cs="http://schemas.microsoft.com/office/drawing/2012/chartStyle" xmlns:a="http://schemas.openxmlformats.org/drawingml/2006/main" id="302">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43.xml><?xml version="1.0" encoding="utf-8"?>
<cs:chartStyle xmlns:cs="http://schemas.microsoft.com/office/drawing/2012/chartStyle" xmlns:a="http://schemas.openxmlformats.org/drawingml/2006/main" id="302">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44.xml><?xml version="1.0" encoding="utf-8"?>
<cs:chartStyle xmlns:cs="http://schemas.microsoft.com/office/drawing/2012/chartStyle" xmlns:a="http://schemas.openxmlformats.org/drawingml/2006/main" id="336">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45.xml><?xml version="1.0" encoding="utf-8"?>
<cs:chartStyle xmlns:cs="http://schemas.microsoft.com/office/drawing/2012/chartStyle" xmlns:a="http://schemas.openxmlformats.org/drawingml/2006/main" id="302">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46.xml><?xml version="1.0" encoding="utf-8"?>
<cs:chartStyle xmlns:cs="http://schemas.microsoft.com/office/drawing/2012/chartStyle" xmlns:a="http://schemas.openxmlformats.org/drawingml/2006/main" id="302">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47.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48.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49.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5.xml><?xml version="1.0" encoding="utf-8"?>
<cs:chartStyle xmlns:cs="http://schemas.microsoft.com/office/drawing/2012/chartStyle" xmlns:a="http://schemas.openxmlformats.org/drawingml/2006/main" id="302">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50.xml><?xml version="1.0" encoding="utf-8"?>
<cs:chartStyle xmlns:cs="http://schemas.microsoft.com/office/drawing/2012/chartStyle" xmlns:a="http://schemas.openxmlformats.org/drawingml/2006/main" id="302">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51.xml><?xml version="1.0" encoding="utf-8"?>
<cs:chartStyle xmlns:cs="http://schemas.microsoft.com/office/drawing/2012/chartStyle" xmlns:a="http://schemas.openxmlformats.org/drawingml/2006/main" id="302">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52.xml><?xml version="1.0" encoding="utf-8"?>
<cs:chartStyle xmlns:cs="http://schemas.microsoft.com/office/drawing/2012/chartStyle" xmlns:a="http://schemas.openxmlformats.org/drawingml/2006/main" id="220">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53.xml><?xml version="1.0" encoding="utf-8"?>
<cs:chartStyle xmlns:cs="http://schemas.microsoft.com/office/drawing/2012/chartStyle" xmlns:a="http://schemas.openxmlformats.org/drawingml/2006/main" id="220">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6.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7.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8.xml><?xml version="1.0" encoding="utf-8"?>
<cs:chartStyle xmlns:cs="http://schemas.microsoft.com/office/drawing/2012/chartStyle" xmlns:a="http://schemas.openxmlformats.org/drawingml/2006/main" id="220">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9.xml><?xml version="1.0" encoding="utf-8"?>
<cs:chartStyle xmlns:cs="http://schemas.microsoft.com/office/drawing/2012/chartStyle" xmlns:a="http://schemas.openxmlformats.org/drawingml/2006/main" id="302">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10.xml.rels><?xml version="1.0" encoding="UTF-8" standalone="yes"?>
<Relationships xmlns="http://schemas.openxmlformats.org/package/2006/relationships"><Relationship Id="rId1" Type="http://schemas.openxmlformats.org/officeDocument/2006/relationships/chart" Target="../charts/chart52.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10" Type="http://schemas.openxmlformats.org/officeDocument/2006/relationships/chart" Target="../charts/chart10.xml"/><Relationship Id="rId19" Type="http://schemas.openxmlformats.org/officeDocument/2006/relationships/chart" Target="../charts/chart19.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s>
</file>

<file path=xl/drawings/_rels/drawing4.xml.rels><?xml version="1.0" encoding="UTF-8" standalone="yes"?>
<Relationships xmlns="http://schemas.openxmlformats.org/package/2006/relationships"><Relationship Id="rId3" Type="http://schemas.openxmlformats.org/officeDocument/2006/relationships/chart" Target="../charts/chart26.xml"/><Relationship Id="rId2" Type="http://schemas.openxmlformats.org/officeDocument/2006/relationships/chart" Target="../charts/chart25.xml"/><Relationship Id="rId1" Type="http://schemas.openxmlformats.org/officeDocument/2006/relationships/chart" Target="../charts/chart24.xml"/><Relationship Id="rId5" Type="http://schemas.openxmlformats.org/officeDocument/2006/relationships/chart" Target="../charts/chart28.xml"/><Relationship Id="rId4" Type="http://schemas.openxmlformats.org/officeDocument/2006/relationships/chart" Target="../charts/chart27.xml"/></Relationships>
</file>

<file path=xl/drawings/_rels/drawing6.xml.rels><?xml version="1.0" encoding="UTF-8" standalone="yes"?>
<Relationships xmlns="http://schemas.openxmlformats.org/package/2006/relationships"><Relationship Id="rId1" Type="http://schemas.openxmlformats.org/officeDocument/2006/relationships/chart" Target="../charts/chart29.xml"/></Relationships>
</file>

<file path=xl/drawings/_rels/drawing8.xml.rels><?xml version="1.0" encoding="UTF-8" standalone="yes"?>
<Relationships xmlns="http://schemas.openxmlformats.org/package/2006/relationships"><Relationship Id="rId8" Type="http://schemas.openxmlformats.org/officeDocument/2006/relationships/chart" Target="../charts/chart35.xml"/><Relationship Id="rId13" Type="http://schemas.openxmlformats.org/officeDocument/2006/relationships/chart" Target="../charts/chart40.xml"/><Relationship Id="rId18" Type="http://schemas.openxmlformats.org/officeDocument/2006/relationships/chart" Target="../charts/chart44.xml"/><Relationship Id="rId3" Type="http://schemas.openxmlformats.org/officeDocument/2006/relationships/hyperlink" Target="#Analysis!A267"/><Relationship Id="rId21" Type="http://schemas.openxmlformats.org/officeDocument/2006/relationships/chart" Target="../charts/chart47.xml"/><Relationship Id="rId7" Type="http://schemas.openxmlformats.org/officeDocument/2006/relationships/chart" Target="../charts/chart34.xml"/><Relationship Id="rId12" Type="http://schemas.openxmlformats.org/officeDocument/2006/relationships/chart" Target="../charts/chart39.xml"/><Relationship Id="rId17" Type="http://schemas.openxmlformats.org/officeDocument/2006/relationships/chart" Target="../charts/chart43.xml"/><Relationship Id="rId25" Type="http://schemas.openxmlformats.org/officeDocument/2006/relationships/chart" Target="../charts/chart51.xml"/><Relationship Id="rId2" Type="http://schemas.openxmlformats.org/officeDocument/2006/relationships/chart" Target="../charts/chart30.xml"/><Relationship Id="rId16" Type="http://schemas.openxmlformats.org/officeDocument/2006/relationships/chart" Target="../charts/chart42.xml"/><Relationship Id="rId20" Type="http://schemas.openxmlformats.org/officeDocument/2006/relationships/chart" Target="../charts/chart46.xml"/><Relationship Id="rId1" Type="http://schemas.openxmlformats.org/officeDocument/2006/relationships/image" Target="../media/image2.png"/><Relationship Id="rId6" Type="http://schemas.openxmlformats.org/officeDocument/2006/relationships/chart" Target="../charts/chart33.xml"/><Relationship Id="rId11" Type="http://schemas.openxmlformats.org/officeDocument/2006/relationships/chart" Target="../charts/chart38.xml"/><Relationship Id="rId24" Type="http://schemas.openxmlformats.org/officeDocument/2006/relationships/chart" Target="../charts/chart50.xml"/><Relationship Id="rId5" Type="http://schemas.openxmlformats.org/officeDocument/2006/relationships/chart" Target="../charts/chart32.xml"/><Relationship Id="rId15" Type="http://schemas.openxmlformats.org/officeDocument/2006/relationships/hyperlink" Target="#'AAP-community Feedback'!A2"/><Relationship Id="rId23" Type="http://schemas.openxmlformats.org/officeDocument/2006/relationships/chart" Target="../charts/chart49.xml"/><Relationship Id="rId10" Type="http://schemas.openxmlformats.org/officeDocument/2006/relationships/chart" Target="../charts/chart37.xml"/><Relationship Id="rId19" Type="http://schemas.openxmlformats.org/officeDocument/2006/relationships/chart" Target="../charts/chart45.xml"/><Relationship Id="rId4" Type="http://schemas.openxmlformats.org/officeDocument/2006/relationships/chart" Target="../charts/chart31.xml"/><Relationship Id="rId9" Type="http://schemas.openxmlformats.org/officeDocument/2006/relationships/chart" Target="../charts/chart36.xml"/><Relationship Id="rId14" Type="http://schemas.openxmlformats.org/officeDocument/2006/relationships/chart" Target="../charts/chart41.xml"/><Relationship Id="rId22" Type="http://schemas.openxmlformats.org/officeDocument/2006/relationships/chart" Target="../charts/chart48.xml"/></Relationships>
</file>

<file path=xl/drawings/drawing1.xml><?xml version="1.0" encoding="utf-8"?>
<xdr:wsDr xmlns:xdr="http://schemas.openxmlformats.org/drawingml/2006/spreadsheetDrawing" xmlns:a="http://schemas.openxmlformats.org/drawingml/2006/main">
  <xdr:oneCellAnchor>
    <xdr:from>
      <xdr:col>0</xdr:col>
      <xdr:colOff>561975</xdr:colOff>
      <xdr:row>68</xdr:row>
      <xdr:rowOff>561975</xdr:rowOff>
    </xdr:from>
    <xdr:ext cx="7246792" cy="2009775"/>
    <xdr:pic>
      <xdr:nvPicPr>
        <xdr:cNvPr id="2" name="Picture 1">
          <a:extLst>
            <a:ext uri="{FF2B5EF4-FFF2-40B4-BE49-F238E27FC236}">
              <a16:creationId xmlns:a16="http://schemas.microsoft.com/office/drawing/2014/main" id="{00000000-0008-0000-0400-000002000000}"/>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7141" t="75523" r="23568" b="3741"/>
        <a:stretch/>
      </xdr:blipFill>
      <xdr:spPr bwMode="auto">
        <a:xfrm>
          <a:off x="561975" y="44538900"/>
          <a:ext cx="7246792" cy="2009775"/>
        </a:xfrm>
        <a:prstGeom prst="rect">
          <a:avLst/>
        </a:prstGeom>
        <a:noFill/>
        <a:ln>
          <a:noFill/>
        </a:ln>
        <a:extLst>
          <a:ext uri="{53640926-AAD7-44D8-BBD7-CCE9431645EC}">
            <a14:shadowObscured xmlns:a14="http://schemas.microsoft.com/office/drawing/2010/main"/>
          </a:ext>
        </a:extLst>
      </xdr:spPr>
    </xdr:pic>
    <xdr:clientData/>
  </xdr:oneCellAnchor>
</xdr:wsDr>
</file>

<file path=xl/drawings/drawing10.xml><?xml version="1.0" encoding="utf-8"?>
<xdr:wsDr xmlns:xdr="http://schemas.openxmlformats.org/drawingml/2006/spreadsheetDrawing" xmlns:a="http://schemas.openxmlformats.org/drawingml/2006/main">
  <xdr:twoCellAnchor>
    <xdr:from>
      <xdr:col>9</xdr:col>
      <xdr:colOff>53907</xdr:colOff>
      <xdr:row>1</xdr:row>
      <xdr:rowOff>53382</xdr:rowOff>
    </xdr:from>
    <xdr:to>
      <xdr:col>18</xdr:col>
      <xdr:colOff>51184</xdr:colOff>
      <xdr:row>34</xdr:row>
      <xdr:rowOff>62802</xdr:rowOff>
    </xdr:to>
    <xdr:graphicFrame macro="">
      <xdr:nvGraphicFramePr>
        <xdr:cNvPr id="2" name="Chart 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6</xdr:col>
      <xdr:colOff>476251</xdr:colOff>
      <xdr:row>11</xdr:row>
      <xdr:rowOff>41274</xdr:rowOff>
    </xdr:from>
    <xdr:to>
      <xdr:col>7</xdr:col>
      <xdr:colOff>725472</xdr:colOff>
      <xdr:row>28</xdr:row>
      <xdr:rowOff>7407</xdr:rowOff>
    </xdr:to>
    <mc:AlternateContent xmlns:mc="http://schemas.openxmlformats.org/markup-compatibility/2006" xmlns:a14="http://schemas.microsoft.com/office/drawing/2010/main">
      <mc:Choice Requires="a14">
        <xdr:graphicFrame macro="">
          <xdr:nvGraphicFramePr>
            <xdr:cNvPr id="5" name="Township 1">
              <a:extLst>
                <a:ext uri="{FF2B5EF4-FFF2-40B4-BE49-F238E27FC236}">
                  <a16:creationId xmlns:a16="http://schemas.microsoft.com/office/drawing/2014/main" id="{00000000-0008-0000-0D00-000005000000}"/>
                </a:ext>
              </a:extLst>
            </xdr:cNvPr>
            <xdr:cNvGraphicFramePr/>
          </xdr:nvGraphicFramePr>
          <xdr:xfrm>
            <a:off x="0" y="0"/>
            <a:ext cx="0" cy="0"/>
          </xdr:xfrm>
          <a:graphic>
            <a:graphicData uri="http://schemas.microsoft.com/office/drawing/2010/slicer">
              <sle:slicer xmlns:sle="http://schemas.microsoft.com/office/drawing/2010/slicer" name="Township 1"/>
            </a:graphicData>
          </a:graphic>
        </xdr:graphicFrame>
      </mc:Choice>
      <mc:Fallback xmlns="">
        <xdr:sp macro="" textlink="">
          <xdr:nvSpPr>
            <xdr:cNvPr id="0" name=""/>
            <xdr:cNvSpPr>
              <a:spLocks noTextEdit="1"/>
            </xdr:cNvSpPr>
          </xdr:nvSpPr>
          <xdr:spPr>
            <a:xfrm>
              <a:off x="476251" y="2390774"/>
              <a:ext cx="1822451" cy="33877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6</xdr:col>
      <xdr:colOff>507999</xdr:colOff>
      <xdr:row>2</xdr:row>
      <xdr:rowOff>179918</xdr:rowOff>
    </xdr:from>
    <xdr:to>
      <xdr:col>8</xdr:col>
      <xdr:colOff>1054881</xdr:colOff>
      <xdr:row>10</xdr:row>
      <xdr:rowOff>123825</xdr:rowOff>
    </xdr:to>
    <mc:AlternateContent xmlns:mc="http://schemas.openxmlformats.org/markup-compatibility/2006" xmlns:a14="http://schemas.microsoft.com/office/drawing/2010/main">
      <mc:Choice Requires="a14">
        <xdr:graphicFrame macro="">
          <xdr:nvGraphicFramePr>
            <xdr:cNvPr id="3" name="WASH implementing agency 1">
              <a:extLst>
                <a:ext uri="{FF2B5EF4-FFF2-40B4-BE49-F238E27FC236}">
                  <a16:creationId xmlns:a16="http://schemas.microsoft.com/office/drawing/2014/main" id="{0EE4C039-1958-4372-8494-54DA83926F1C}"/>
                </a:ext>
              </a:extLst>
            </xdr:cNvPr>
            <xdr:cNvGraphicFramePr/>
          </xdr:nvGraphicFramePr>
          <xdr:xfrm>
            <a:off x="0" y="0"/>
            <a:ext cx="0" cy="0"/>
          </xdr:xfrm>
          <a:graphic>
            <a:graphicData uri="http://schemas.microsoft.com/office/drawing/2010/slicer">
              <sle:slicer xmlns:sle="http://schemas.microsoft.com/office/drawing/2010/slicer" name="WASH implementing agency 1"/>
            </a:graphicData>
          </a:graphic>
        </xdr:graphicFrame>
      </mc:Choice>
      <mc:Fallback xmlns="">
        <xdr:sp macro="" textlink="">
          <xdr:nvSpPr>
            <xdr:cNvPr id="0" name=""/>
            <xdr:cNvSpPr>
              <a:spLocks noTextEdit="1"/>
            </xdr:cNvSpPr>
          </xdr:nvSpPr>
          <xdr:spPr>
            <a:xfrm>
              <a:off x="507999" y="719668"/>
              <a:ext cx="3686526" cy="155574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xdr:colOff>
      <xdr:row>0</xdr:row>
      <xdr:rowOff>190501</xdr:rowOff>
    </xdr:from>
    <xdr:to>
      <xdr:col>7</xdr:col>
      <xdr:colOff>1028701</xdr:colOff>
      <xdr:row>32</xdr:row>
      <xdr:rowOff>95251</xdr:rowOff>
    </xdr:to>
    <xdr:graphicFrame macro="">
      <xdr:nvGraphicFramePr>
        <xdr:cNvPr id="2" name="Chart 1">
          <a:extLst>
            <a:ext uri="{FF2B5EF4-FFF2-40B4-BE49-F238E27FC236}">
              <a16:creationId xmlns:a16="http://schemas.microsoft.com/office/drawing/2014/main" id="{00000000-0008-0000-0E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10</xdr:col>
      <xdr:colOff>238125</xdr:colOff>
      <xdr:row>0</xdr:row>
      <xdr:rowOff>200024</xdr:rowOff>
    </xdr:from>
    <xdr:to>
      <xdr:col>10</xdr:col>
      <xdr:colOff>2063750</xdr:colOff>
      <xdr:row>26</xdr:row>
      <xdr:rowOff>38099</xdr:rowOff>
    </xdr:to>
    <mc:AlternateContent xmlns:mc="http://schemas.openxmlformats.org/markup-compatibility/2006" xmlns:a14="http://schemas.microsoft.com/office/drawing/2010/main">
      <mc:Choice Requires="a14">
        <xdr:graphicFrame macro="">
          <xdr:nvGraphicFramePr>
            <xdr:cNvPr id="5" name="Township 2">
              <a:extLst>
                <a:ext uri="{FF2B5EF4-FFF2-40B4-BE49-F238E27FC236}">
                  <a16:creationId xmlns:a16="http://schemas.microsoft.com/office/drawing/2014/main" id="{00000000-0008-0000-0E00-000005000000}"/>
                </a:ext>
              </a:extLst>
            </xdr:cNvPr>
            <xdr:cNvGraphicFramePr/>
          </xdr:nvGraphicFramePr>
          <xdr:xfrm>
            <a:off x="0" y="0"/>
            <a:ext cx="0" cy="0"/>
          </xdr:xfrm>
          <a:graphic>
            <a:graphicData uri="http://schemas.microsoft.com/office/drawing/2010/slicer">
              <sle:slicer xmlns:sle="http://schemas.microsoft.com/office/drawing/2010/slicer" name="Township 2"/>
            </a:graphicData>
          </a:graphic>
        </xdr:graphicFrame>
      </mc:Choice>
      <mc:Fallback xmlns="">
        <xdr:sp macro="" textlink="">
          <xdr:nvSpPr>
            <xdr:cNvPr id="0" name=""/>
            <xdr:cNvSpPr>
              <a:spLocks noTextEdit="1"/>
            </xdr:cNvSpPr>
          </xdr:nvSpPr>
          <xdr:spPr>
            <a:xfrm>
              <a:off x="12382500" y="200024"/>
              <a:ext cx="1828800" cy="50387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8</xdr:col>
      <xdr:colOff>114300</xdr:colOff>
      <xdr:row>1</xdr:row>
      <xdr:rowOff>19051</xdr:rowOff>
    </xdr:from>
    <xdr:to>
      <xdr:col>10</xdr:col>
      <xdr:colOff>254000</xdr:colOff>
      <xdr:row>15</xdr:row>
      <xdr:rowOff>95250</xdr:rowOff>
    </xdr:to>
    <mc:AlternateContent xmlns:mc="http://schemas.openxmlformats.org/markup-compatibility/2006" xmlns:a14="http://schemas.microsoft.com/office/drawing/2010/main">
      <mc:Choice Requires="a14">
        <xdr:graphicFrame macro="">
          <xdr:nvGraphicFramePr>
            <xdr:cNvPr id="6" name="WASH implementing agency">
              <a:extLst>
                <a:ext uri="{FF2B5EF4-FFF2-40B4-BE49-F238E27FC236}">
                  <a16:creationId xmlns:a16="http://schemas.microsoft.com/office/drawing/2014/main" id="{7B7A573B-D2BE-4B3B-9E6B-BF31653DDBA1}"/>
                </a:ext>
              </a:extLst>
            </xdr:cNvPr>
            <xdr:cNvGraphicFramePr/>
          </xdr:nvGraphicFramePr>
          <xdr:xfrm>
            <a:off x="0" y="0"/>
            <a:ext cx="0" cy="0"/>
          </xdr:xfrm>
          <a:graphic>
            <a:graphicData uri="http://schemas.microsoft.com/office/drawing/2010/slicer">
              <sle:slicer xmlns:sle="http://schemas.microsoft.com/office/drawing/2010/slicer" name="WASH implementing agency"/>
            </a:graphicData>
          </a:graphic>
        </xdr:graphicFrame>
      </mc:Choice>
      <mc:Fallback xmlns="">
        <xdr:sp macro="" textlink="">
          <xdr:nvSpPr>
            <xdr:cNvPr id="0" name=""/>
            <xdr:cNvSpPr>
              <a:spLocks noTextEdit="1"/>
            </xdr:cNvSpPr>
          </xdr:nvSpPr>
          <xdr:spPr>
            <a:xfrm>
              <a:off x="8648700" y="219076"/>
              <a:ext cx="3752850" cy="287654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12.xml><?xml version="1.0" encoding="utf-8"?>
<xdr:wsDr xmlns:xdr="http://schemas.openxmlformats.org/drawingml/2006/spreadsheetDrawing" xmlns:a="http://schemas.openxmlformats.org/drawingml/2006/main">
  <xdr:twoCellAnchor>
    <xdr:from>
      <xdr:col>26</xdr:col>
      <xdr:colOff>666750</xdr:colOff>
      <xdr:row>2</xdr:row>
      <xdr:rowOff>95250</xdr:rowOff>
    </xdr:from>
    <xdr:to>
      <xdr:col>29</xdr:col>
      <xdr:colOff>9525</xdr:colOff>
      <xdr:row>2</xdr:row>
      <xdr:rowOff>866775</xdr:rowOff>
    </xdr:to>
    <xdr:sp macro="" textlink="">
      <xdr:nvSpPr>
        <xdr:cNvPr id="2" name="TextBox 1">
          <a:extLst>
            <a:ext uri="{FF2B5EF4-FFF2-40B4-BE49-F238E27FC236}">
              <a16:creationId xmlns:a16="http://schemas.microsoft.com/office/drawing/2014/main" id="{00000000-0008-0000-0F00-000002000000}"/>
            </a:ext>
          </a:extLst>
        </xdr:cNvPr>
        <xdr:cNvSpPr txBox="1"/>
      </xdr:nvSpPr>
      <xdr:spPr>
        <a:xfrm>
          <a:off x="19545300" y="447675"/>
          <a:ext cx="2295525" cy="7715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=OFFSET(Statestart_1,MATCH(</a:t>
          </a:r>
          <a:r>
            <a:rPr lang="en-US" sz="1100">
              <a:solidFill>
                <a:srgbClr val="FF0000"/>
              </a:solidFill>
            </a:rPr>
            <a:t>C5</a:t>
          </a:r>
          <a:r>
            <a:rPr lang="en-US" sz="1100"/>
            <a:t>, State_list, 0), 1,COUNTIF(State_list,</a:t>
          </a:r>
          <a:r>
            <a:rPr lang="en-US" sz="1100">
              <a:solidFill>
                <a:srgbClr val="FF0000"/>
              </a:solidFill>
            </a:rPr>
            <a:t>C5</a:t>
          </a:r>
          <a:r>
            <a:rPr lang="en-US" sz="1100"/>
            <a:t>),1)</a:t>
          </a: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1</xdr:col>
      <xdr:colOff>3463</xdr:colOff>
      <xdr:row>73</xdr:row>
      <xdr:rowOff>562841</xdr:rowOff>
    </xdr:from>
    <xdr:ext cx="7246792" cy="2009775"/>
    <xdr:pic>
      <xdr:nvPicPr>
        <xdr:cNvPr id="2" name="Picture 1">
          <a:extLst>
            <a:ext uri="{FF2B5EF4-FFF2-40B4-BE49-F238E27FC236}">
              <a16:creationId xmlns:a16="http://schemas.microsoft.com/office/drawing/2014/main" id="{00000000-0008-0000-0500-000002000000}"/>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7141" t="75523" r="23568" b="3741"/>
        <a:stretch/>
      </xdr:blipFill>
      <xdr:spPr bwMode="auto">
        <a:xfrm>
          <a:off x="470188" y="47321066"/>
          <a:ext cx="7246792" cy="2009775"/>
        </a:xfrm>
        <a:prstGeom prst="rect">
          <a:avLst/>
        </a:prstGeom>
        <a:noFill/>
        <a:ln>
          <a:noFill/>
        </a:ln>
        <a:extLst>
          <a:ext uri="{53640926-AAD7-44D8-BBD7-CCE9431645EC}">
            <a14:shadowObscured xmlns:a14="http://schemas.microsoft.com/office/drawing/2010/main"/>
          </a:ext>
        </a:extLst>
      </xdr:spPr>
    </xdr:pic>
    <xdr:clientData/>
  </xdr:oneCellAnchor>
</xdr:wsDr>
</file>

<file path=xl/drawings/drawing3.xml><?xml version="1.0" encoding="utf-8"?>
<xdr:wsDr xmlns:xdr="http://schemas.openxmlformats.org/drawingml/2006/spreadsheetDrawing" xmlns:a="http://schemas.openxmlformats.org/drawingml/2006/main">
  <xdr:twoCellAnchor>
    <xdr:from>
      <xdr:col>6</xdr:col>
      <xdr:colOff>789657</xdr:colOff>
      <xdr:row>181</xdr:row>
      <xdr:rowOff>187104</xdr:rowOff>
    </xdr:from>
    <xdr:to>
      <xdr:col>11</xdr:col>
      <xdr:colOff>578746</xdr:colOff>
      <xdr:row>195</xdr:row>
      <xdr:rowOff>149004</xdr:rowOff>
    </xdr:to>
    <xdr:graphicFrame macro="">
      <xdr:nvGraphicFramePr>
        <xdr:cNvPr id="10" name="Chart 9">
          <a:extLst>
            <a:ext uri="{FF2B5EF4-FFF2-40B4-BE49-F238E27FC236}">
              <a16:creationId xmlns:a16="http://schemas.microsoft.com/office/drawing/2014/main" id="{00000000-0008-0000-0800-00000A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315687</xdr:colOff>
      <xdr:row>137</xdr:row>
      <xdr:rowOff>55205</xdr:rowOff>
    </xdr:from>
    <xdr:to>
      <xdr:col>9</xdr:col>
      <xdr:colOff>266117</xdr:colOff>
      <xdr:row>149</xdr:row>
      <xdr:rowOff>83781</xdr:rowOff>
    </xdr:to>
    <xdr:graphicFrame macro="">
      <xdr:nvGraphicFramePr>
        <xdr:cNvPr id="35" name="Chart 34">
          <a:extLst>
            <a:ext uri="{FF2B5EF4-FFF2-40B4-BE49-F238E27FC236}">
              <a16:creationId xmlns:a16="http://schemas.microsoft.com/office/drawing/2014/main" id="{00000000-0008-0000-0800-00002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338137</xdr:colOff>
      <xdr:row>22</xdr:row>
      <xdr:rowOff>38100</xdr:rowOff>
    </xdr:from>
    <xdr:to>
      <xdr:col>6</xdr:col>
      <xdr:colOff>947737</xdr:colOff>
      <xdr:row>35</xdr:row>
      <xdr:rowOff>28575</xdr:rowOff>
    </xdr:to>
    <xdr:graphicFrame macro="">
      <xdr:nvGraphicFramePr>
        <xdr:cNvPr id="34" name="Chart 33">
          <a:extLst>
            <a:ext uri="{FF2B5EF4-FFF2-40B4-BE49-F238E27FC236}">
              <a16:creationId xmlns:a16="http://schemas.microsoft.com/office/drawing/2014/main" id="{00000000-0008-0000-0800-00002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194733</xdr:colOff>
      <xdr:row>51</xdr:row>
      <xdr:rowOff>112182</xdr:rowOff>
    </xdr:from>
    <xdr:to>
      <xdr:col>7</xdr:col>
      <xdr:colOff>826558</xdr:colOff>
      <xdr:row>63</xdr:row>
      <xdr:rowOff>178857</xdr:rowOff>
    </xdr:to>
    <xdr:graphicFrame macro="">
      <xdr:nvGraphicFramePr>
        <xdr:cNvPr id="42" name="Chart 41">
          <a:extLst>
            <a:ext uri="{FF2B5EF4-FFF2-40B4-BE49-F238E27FC236}">
              <a16:creationId xmlns:a16="http://schemas.microsoft.com/office/drawing/2014/main" id="{00000000-0008-0000-0800-00002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10</xdr:col>
      <xdr:colOff>280313</xdr:colOff>
      <xdr:row>91</xdr:row>
      <xdr:rowOff>81293</xdr:rowOff>
    </xdr:from>
    <xdr:to>
      <xdr:col>17</xdr:col>
      <xdr:colOff>556538</xdr:colOff>
      <xdr:row>100</xdr:row>
      <xdr:rowOff>141065</xdr:rowOff>
    </xdr:to>
    <xdr:grpSp>
      <xdr:nvGrpSpPr>
        <xdr:cNvPr id="2" name="Group 1">
          <a:extLst>
            <a:ext uri="{FF2B5EF4-FFF2-40B4-BE49-F238E27FC236}">
              <a16:creationId xmlns:a16="http://schemas.microsoft.com/office/drawing/2014/main" id="{00000000-0008-0000-0800-000002000000}"/>
            </a:ext>
          </a:extLst>
        </xdr:cNvPr>
        <xdr:cNvGrpSpPr/>
      </xdr:nvGrpSpPr>
      <xdr:grpSpPr>
        <a:xfrm>
          <a:off x="12526742" y="18693921"/>
          <a:ext cx="7429694" cy="2052246"/>
          <a:chOff x="6724651" y="15440025"/>
          <a:chExt cx="5878827" cy="2295520"/>
        </a:xfrm>
      </xdr:grpSpPr>
      <xdr:graphicFrame macro="">
        <xdr:nvGraphicFramePr>
          <xdr:cNvPr id="8" name="Chart 7">
            <a:extLst>
              <a:ext uri="{FF2B5EF4-FFF2-40B4-BE49-F238E27FC236}">
                <a16:creationId xmlns:a16="http://schemas.microsoft.com/office/drawing/2014/main" id="{00000000-0008-0000-0800-000008000000}"/>
              </a:ext>
            </a:extLst>
          </xdr:cNvPr>
          <xdr:cNvGraphicFramePr/>
        </xdr:nvGraphicFramePr>
        <xdr:xfrm>
          <a:off x="9677398" y="15449545"/>
          <a:ext cx="2926080" cy="2286000"/>
        </xdr:xfrm>
        <a:graphic>
          <a:graphicData uri="http://schemas.openxmlformats.org/drawingml/2006/chart">
            <c:chart xmlns:c="http://schemas.openxmlformats.org/drawingml/2006/chart" xmlns:r="http://schemas.openxmlformats.org/officeDocument/2006/relationships" r:id="rId5"/>
          </a:graphicData>
        </a:graphic>
      </xdr:graphicFrame>
      <xdr:graphicFrame macro="">
        <xdr:nvGraphicFramePr>
          <xdr:cNvPr id="16" name="Chart 15">
            <a:extLst>
              <a:ext uri="{FF2B5EF4-FFF2-40B4-BE49-F238E27FC236}">
                <a16:creationId xmlns:a16="http://schemas.microsoft.com/office/drawing/2014/main" id="{00000000-0008-0000-0800-000010000000}"/>
              </a:ext>
            </a:extLst>
          </xdr:cNvPr>
          <xdr:cNvGraphicFramePr/>
        </xdr:nvGraphicFramePr>
        <xdr:xfrm>
          <a:off x="6724651" y="15440025"/>
          <a:ext cx="2926080" cy="2286000"/>
        </xdr:xfrm>
        <a:graphic>
          <a:graphicData uri="http://schemas.openxmlformats.org/drawingml/2006/chart">
            <c:chart xmlns:c="http://schemas.openxmlformats.org/drawingml/2006/chart" xmlns:r="http://schemas.openxmlformats.org/officeDocument/2006/relationships" r:id="rId6"/>
          </a:graphicData>
        </a:graphic>
      </xdr:graphicFrame>
    </xdr:grpSp>
    <xdr:clientData/>
  </xdr:twoCellAnchor>
  <xdr:twoCellAnchor>
    <xdr:from>
      <xdr:col>5</xdr:col>
      <xdr:colOff>561975</xdr:colOff>
      <xdr:row>307</xdr:row>
      <xdr:rowOff>95250</xdr:rowOff>
    </xdr:from>
    <xdr:to>
      <xdr:col>11</xdr:col>
      <xdr:colOff>1181100</xdr:colOff>
      <xdr:row>318</xdr:row>
      <xdr:rowOff>38100</xdr:rowOff>
    </xdr:to>
    <xdr:graphicFrame macro="">
      <xdr:nvGraphicFramePr>
        <xdr:cNvPr id="50" name="Chart 49">
          <a:extLst>
            <a:ext uri="{FF2B5EF4-FFF2-40B4-BE49-F238E27FC236}">
              <a16:creationId xmlns:a16="http://schemas.microsoft.com/office/drawing/2014/main" id="{00000000-0008-0000-0800-00003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726621</xdr:colOff>
      <xdr:row>244</xdr:row>
      <xdr:rowOff>150667</xdr:rowOff>
    </xdr:from>
    <xdr:to>
      <xdr:col>6</xdr:col>
      <xdr:colOff>336096</xdr:colOff>
      <xdr:row>262</xdr:row>
      <xdr:rowOff>38099</xdr:rowOff>
    </xdr:to>
    <xdr:graphicFrame macro="">
      <xdr:nvGraphicFramePr>
        <xdr:cNvPr id="55" name="Chart 54">
          <a:extLst>
            <a:ext uri="{FF2B5EF4-FFF2-40B4-BE49-F238E27FC236}">
              <a16:creationId xmlns:a16="http://schemas.microsoft.com/office/drawing/2014/main" id="{00000000-0008-0000-0800-00003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464567</xdr:colOff>
      <xdr:row>71</xdr:row>
      <xdr:rowOff>64016</xdr:rowOff>
    </xdr:from>
    <xdr:to>
      <xdr:col>9</xdr:col>
      <xdr:colOff>344702</xdr:colOff>
      <xdr:row>85</xdr:row>
      <xdr:rowOff>142357</xdr:rowOff>
    </xdr:to>
    <xdr:graphicFrame macro="">
      <xdr:nvGraphicFramePr>
        <xdr:cNvPr id="20" name="Chart 19">
          <a:extLst>
            <a:ext uri="{FF2B5EF4-FFF2-40B4-BE49-F238E27FC236}">
              <a16:creationId xmlns:a16="http://schemas.microsoft.com/office/drawing/2014/main" id="{00000000-0008-0000-0800-00001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688582</xdr:colOff>
      <xdr:row>151</xdr:row>
      <xdr:rowOff>151223</xdr:rowOff>
    </xdr:from>
    <xdr:to>
      <xdr:col>8</xdr:col>
      <xdr:colOff>1191802</xdr:colOff>
      <xdr:row>165</xdr:row>
      <xdr:rowOff>165350</xdr:rowOff>
    </xdr:to>
    <xdr:graphicFrame macro="">
      <xdr:nvGraphicFramePr>
        <xdr:cNvPr id="30" name="Chart 29">
          <a:extLst>
            <a:ext uri="{FF2B5EF4-FFF2-40B4-BE49-F238E27FC236}">
              <a16:creationId xmlns:a16="http://schemas.microsoft.com/office/drawing/2014/main" id="{00000000-0008-0000-0800-00001E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644365</xdr:colOff>
      <xdr:row>196</xdr:row>
      <xdr:rowOff>31204</xdr:rowOff>
    </xdr:from>
    <xdr:to>
      <xdr:col>10</xdr:col>
      <xdr:colOff>72771</xdr:colOff>
      <xdr:row>210</xdr:row>
      <xdr:rowOff>87085</xdr:rowOff>
    </xdr:to>
    <xdr:graphicFrame macro="">
      <xdr:nvGraphicFramePr>
        <xdr:cNvPr id="56" name="Chart 55">
          <a:extLst>
            <a:ext uri="{FF2B5EF4-FFF2-40B4-BE49-F238E27FC236}">
              <a16:creationId xmlns:a16="http://schemas.microsoft.com/office/drawing/2014/main" id="{00000000-0008-0000-0800-00003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editAs="oneCell">
    <xdr:from>
      <xdr:col>12</xdr:col>
      <xdr:colOff>855302</xdr:colOff>
      <xdr:row>276</xdr:row>
      <xdr:rowOff>160627</xdr:rowOff>
    </xdr:from>
    <xdr:to>
      <xdr:col>14</xdr:col>
      <xdr:colOff>849095</xdr:colOff>
      <xdr:row>285</xdr:row>
      <xdr:rowOff>158750</xdr:rowOff>
    </xdr:to>
    <mc:AlternateContent xmlns:mc="http://schemas.openxmlformats.org/markup-compatibility/2006" xmlns:a14="http://schemas.microsoft.com/office/drawing/2010/main">
      <mc:Choice Requires="a14">
        <xdr:graphicFrame macro="">
          <xdr:nvGraphicFramePr>
            <xdr:cNvPr id="21" name="Type of accommodation">
              <a:extLst>
                <a:ext uri="{FF2B5EF4-FFF2-40B4-BE49-F238E27FC236}">
                  <a16:creationId xmlns:a16="http://schemas.microsoft.com/office/drawing/2014/main" id="{00000000-0008-0000-0800-000015000000}"/>
                </a:ext>
              </a:extLst>
            </xdr:cNvPr>
            <xdr:cNvGraphicFramePr/>
          </xdr:nvGraphicFramePr>
          <xdr:xfrm>
            <a:off x="0" y="0"/>
            <a:ext cx="0" cy="0"/>
          </xdr:xfrm>
          <a:graphic>
            <a:graphicData uri="http://schemas.microsoft.com/office/drawing/2010/slicer">
              <sle:slicer xmlns:sle="http://schemas.microsoft.com/office/drawing/2010/slicer" name="Type of accommodation"/>
            </a:graphicData>
          </a:graphic>
        </xdr:graphicFrame>
      </mc:Choice>
      <mc:Fallback xmlns="">
        <xdr:sp macro="" textlink="">
          <xdr:nvSpPr>
            <xdr:cNvPr id="0" name=""/>
            <xdr:cNvSpPr>
              <a:spLocks noTextEdit="1"/>
            </xdr:cNvSpPr>
          </xdr:nvSpPr>
          <xdr:spPr>
            <a:xfrm>
              <a:off x="15952427" y="57529702"/>
              <a:ext cx="1825768" cy="1715798"/>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5</xdr:col>
      <xdr:colOff>371475</xdr:colOff>
      <xdr:row>322</xdr:row>
      <xdr:rowOff>95250</xdr:rowOff>
    </xdr:from>
    <xdr:to>
      <xdr:col>9</xdr:col>
      <xdr:colOff>471488</xdr:colOff>
      <xdr:row>336</xdr:row>
      <xdr:rowOff>47625</xdr:rowOff>
    </xdr:to>
    <xdr:graphicFrame macro="">
      <xdr:nvGraphicFramePr>
        <xdr:cNvPr id="65" name="Chart 64">
          <a:extLst>
            <a:ext uri="{FF2B5EF4-FFF2-40B4-BE49-F238E27FC236}">
              <a16:creationId xmlns:a16="http://schemas.microsoft.com/office/drawing/2014/main" id="{A65B861A-2F65-49FE-BCC4-94FD95CC227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6</xdr:col>
      <xdr:colOff>781051</xdr:colOff>
      <xdr:row>38</xdr:row>
      <xdr:rowOff>133350</xdr:rowOff>
    </xdr:from>
    <xdr:to>
      <xdr:col>10</xdr:col>
      <xdr:colOff>238125</xdr:colOff>
      <xdr:row>50</xdr:row>
      <xdr:rowOff>66675</xdr:rowOff>
    </xdr:to>
    <xdr:graphicFrame macro="">
      <xdr:nvGraphicFramePr>
        <xdr:cNvPr id="68" name="Chart 67">
          <a:extLst>
            <a:ext uri="{FF2B5EF4-FFF2-40B4-BE49-F238E27FC236}">
              <a16:creationId xmlns:a16="http://schemas.microsoft.com/office/drawing/2014/main" id="{CCC49B9A-D9A1-4E7C-9DC3-A6DF179375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10</xdr:col>
      <xdr:colOff>323850</xdr:colOff>
      <xdr:row>38</xdr:row>
      <xdr:rowOff>152400</xdr:rowOff>
    </xdr:from>
    <xdr:to>
      <xdr:col>14</xdr:col>
      <xdr:colOff>871537</xdr:colOff>
      <xdr:row>51</xdr:row>
      <xdr:rowOff>0</xdr:rowOff>
    </xdr:to>
    <xdr:graphicFrame macro="">
      <xdr:nvGraphicFramePr>
        <xdr:cNvPr id="70" name="Chart 69">
          <a:extLst>
            <a:ext uri="{FF2B5EF4-FFF2-40B4-BE49-F238E27FC236}">
              <a16:creationId xmlns:a16="http://schemas.microsoft.com/office/drawing/2014/main" id="{ADF21E24-8F0C-4353-A049-5033D07F8E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14</xdr:col>
      <xdr:colOff>990600</xdr:colOff>
      <xdr:row>38</xdr:row>
      <xdr:rowOff>85725</xdr:rowOff>
    </xdr:from>
    <xdr:to>
      <xdr:col>19</xdr:col>
      <xdr:colOff>657225</xdr:colOff>
      <xdr:row>50</xdr:row>
      <xdr:rowOff>104775</xdr:rowOff>
    </xdr:to>
    <xdr:graphicFrame macro="">
      <xdr:nvGraphicFramePr>
        <xdr:cNvPr id="73" name="Chart 72">
          <a:extLst>
            <a:ext uri="{FF2B5EF4-FFF2-40B4-BE49-F238E27FC236}">
              <a16:creationId xmlns:a16="http://schemas.microsoft.com/office/drawing/2014/main" id="{A9413C04-5881-4BCB-A6BC-5D235F4C6D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20</xdr:col>
      <xdr:colOff>42862</xdr:colOff>
      <xdr:row>38</xdr:row>
      <xdr:rowOff>76200</xdr:rowOff>
    </xdr:from>
    <xdr:to>
      <xdr:col>24</xdr:col>
      <xdr:colOff>604837</xdr:colOff>
      <xdr:row>50</xdr:row>
      <xdr:rowOff>95250</xdr:rowOff>
    </xdr:to>
    <xdr:graphicFrame macro="">
      <xdr:nvGraphicFramePr>
        <xdr:cNvPr id="75" name="Chart 74">
          <a:extLst>
            <a:ext uri="{FF2B5EF4-FFF2-40B4-BE49-F238E27FC236}">
              <a16:creationId xmlns:a16="http://schemas.microsoft.com/office/drawing/2014/main" id="{2F00D466-C0FC-4748-BC56-3269E46D54A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4</xdr:col>
      <xdr:colOff>1071561</xdr:colOff>
      <xdr:row>105</xdr:row>
      <xdr:rowOff>0</xdr:rowOff>
    </xdr:from>
    <xdr:to>
      <xdr:col>9</xdr:col>
      <xdr:colOff>1057274</xdr:colOff>
      <xdr:row>119</xdr:row>
      <xdr:rowOff>123825</xdr:rowOff>
    </xdr:to>
    <xdr:graphicFrame macro="">
      <xdr:nvGraphicFramePr>
        <xdr:cNvPr id="9" name="Chart 8">
          <a:extLst>
            <a:ext uri="{FF2B5EF4-FFF2-40B4-BE49-F238E27FC236}">
              <a16:creationId xmlns:a16="http://schemas.microsoft.com/office/drawing/2014/main" id="{DB700D4B-99F9-4F8B-B7D2-6AD32DE8C42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5</xdr:col>
      <xdr:colOff>280987</xdr:colOff>
      <xdr:row>121</xdr:row>
      <xdr:rowOff>19050</xdr:rowOff>
    </xdr:from>
    <xdr:to>
      <xdr:col>9</xdr:col>
      <xdr:colOff>166687</xdr:colOff>
      <xdr:row>135</xdr:row>
      <xdr:rowOff>28575</xdr:rowOff>
    </xdr:to>
    <xdr:graphicFrame macro="">
      <xdr:nvGraphicFramePr>
        <xdr:cNvPr id="11" name="Chart 10">
          <a:extLst>
            <a:ext uri="{FF2B5EF4-FFF2-40B4-BE49-F238E27FC236}">
              <a16:creationId xmlns:a16="http://schemas.microsoft.com/office/drawing/2014/main" id="{06A2807C-92C2-4A0F-82F5-99DF0FF1B9D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10</xdr:col>
      <xdr:colOff>52387</xdr:colOff>
      <xdr:row>131</xdr:row>
      <xdr:rowOff>161925</xdr:rowOff>
    </xdr:from>
    <xdr:to>
      <xdr:col>13</xdr:col>
      <xdr:colOff>804862</xdr:colOff>
      <xdr:row>145</xdr:row>
      <xdr:rowOff>171450</xdr:rowOff>
    </xdr:to>
    <xdr:graphicFrame macro="">
      <xdr:nvGraphicFramePr>
        <xdr:cNvPr id="14" name="Chart 13">
          <a:extLst>
            <a:ext uri="{FF2B5EF4-FFF2-40B4-BE49-F238E27FC236}">
              <a16:creationId xmlns:a16="http://schemas.microsoft.com/office/drawing/2014/main" id="{BE2E92AB-88C5-4893-B110-4AFB0D7A3F0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300037</xdr:colOff>
      <xdr:row>211</xdr:row>
      <xdr:rowOff>114300</xdr:rowOff>
    </xdr:from>
    <xdr:to>
      <xdr:col>9</xdr:col>
      <xdr:colOff>962025</xdr:colOff>
      <xdr:row>225</xdr:row>
      <xdr:rowOff>19050</xdr:rowOff>
    </xdr:to>
    <xdr:graphicFrame macro="">
      <xdr:nvGraphicFramePr>
        <xdr:cNvPr id="4" name="Chart 3">
          <a:extLst>
            <a:ext uri="{FF2B5EF4-FFF2-40B4-BE49-F238E27FC236}">
              <a16:creationId xmlns:a16="http://schemas.microsoft.com/office/drawing/2014/main" id="{1525DDB0-ACF7-48B4-9C75-FB38D3CFEB7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editAs="oneCell">
    <xdr:from>
      <xdr:col>12</xdr:col>
      <xdr:colOff>828675</xdr:colOff>
      <xdr:row>271</xdr:row>
      <xdr:rowOff>38100</xdr:rowOff>
    </xdr:from>
    <xdr:to>
      <xdr:col>14</xdr:col>
      <xdr:colOff>819150</xdr:colOff>
      <xdr:row>276</xdr:row>
      <xdr:rowOff>104776</xdr:rowOff>
    </xdr:to>
    <mc:AlternateContent xmlns:mc="http://schemas.openxmlformats.org/markup-compatibility/2006" xmlns:a14="http://schemas.microsoft.com/office/drawing/2010/main">
      <mc:Choice Requires="a14">
        <xdr:graphicFrame macro="">
          <xdr:nvGraphicFramePr>
            <xdr:cNvPr id="5" name="Covered">
              <a:extLst>
                <a:ext uri="{FF2B5EF4-FFF2-40B4-BE49-F238E27FC236}">
                  <a16:creationId xmlns:a16="http://schemas.microsoft.com/office/drawing/2014/main" id="{BFF4B95C-DDD4-48EF-9EB0-EA30CF223E54}"/>
                </a:ext>
              </a:extLst>
            </xdr:cNvPr>
            <xdr:cNvGraphicFramePr/>
          </xdr:nvGraphicFramePr>
          <xdr:xfrm>
            <a:off x="0" y="0"/>
            <a:ext cx="0" cy="0"/>
          </xdr:xfrm>
          <a:graphic>
            <a:graphicData uri="http://schemas.microsoft.com/office/drawing/2010/slicer">
              <sle:slicer xmlns:sle="http://schemas.microsoft.com/office/drawing/2010/slicer" name="Covered"/>
            </a:graphicData>
          </a:graphic>
        </xdr:graphicFrame>
      </mc:Choice>
      <mc:Fallback xmlns="">
        <xdr:sp macro="" textlink="">
          <xdr:nvSpPr>
            <xdr:cNvPr id="0" name=""/>
            <xdr:cNvSpPr>
              <a:spLocks noTextEdit="1"/>
            </xdr:cNvSpPr>
          </xdr:nvSpPr>
          <xdr:spPr>
            <a:xfrm>
              <a:off x="15925800" y="56540401"/>
              <a:ext cx="1828800" cy="9334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14</xdr:col>
      <xdr:colOff>942975</xdr:colOff>
      <xdr:row>271</xdr:row>
      <xdr:rowOff>133351</xdr:rowOff>
    </xdr:from>
    <xdr:to>
      <xdr:col>17</xdr:col>
      <xdr:colOff>285750</xdr:colOff>
      <xdr:row>285</xdr:row>
      <xdr:rowOff>158750</xdr:rowOff>
    </xdr:to>
    <mc:AlternateContent xmlns:mc="http://schemas.openxmlformats.org/markup-compatibility/2006" xmlns:a14="http://schemas.microsoft.com/office/drawing/2010/main">
      <mc:Choice Requires="a14">
        <xdr:graphicFrame macro="">
          <xdr:nvGraphicFramePr>
            <xdr:cNvPr id="7" name="Township 3">
              <a:extLst>
                <a:ext uri="{FF2B5EF4-FFF2-40B4-BE49-F238E27FC236}">
                  <a16:creationId xmlns:a16="http://schemas.microsoft.com/office/drawing/2014/main" id="{41AC674F-2B8B-439B-92D1-9FC3F71A1164}"/>
                </a:ext>
              </a:extLst>
            </xdr:cNvPr>
            <xdr:cNvGraphicFramePr/>
          </xdr:nvGraphicFramePr>
          <xdr:xfrm>
            <a:off x="0" y="0"/>
            <a:ext cx="0" cy="0"/>
          </xdr:xfrm>
          <a:graphic>
            <a:graphicData uri="http://schemas.microsoft.com/office/drawing/2010/slicer">
              <sle:slicer xmlns:sle="http://schemas.microsoft.com/office/drawing/2010/slicer" name="Township 3"/>
            </a:graphicData>
          </a:graphic>
        </xdr:graphicFrame>
      </mc:Choice>
      <mc:Fallback xmlns="">
        <xdr:sp macro="" textlink="">
          <xdr:nvSpPr>
            <xdr:cNvPr id="0" name=""/>
            <xdr:cNvSpPr>
              <a:spLocks noTextEdit="1"/>
            </xdr:cNvSpPr>
          </xdr:nvSpPr>
          <xdr:spPr>
            <a:xfrm>
              <a:off x="17878425" y="56549926"/>
              <a:ext cx="1828800" cy="2695574"/>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5</xdr:col>
      <xdr:colOff>376237</xdr:colOff>
      <xdr:row>339</xdr:row>
      <xdr:rowOff>104775</xdr:rowOff>
    </xdr:from>
    <xdr:to>
      <xdr:col>9</xdr:col>
      <xdr:colOff>261937</xdr:colOff>
      <xdr:row>353</xdr:row>
      <xdr:rowOff>142875</xdr:rowOff>
    </xdr:to>
    <xdr:graphicFrame macro="">
      <xdr:nvGraphicFramePr>
        <xdr:cNvPr id="12" name="Chart 11">
          <a:extLst>
            <a:ext uri="{FF2B5EF4-FFF2-40B4-BE49-F238E27FC236}">
              <a16:creationId xmlns:a16="http://schemas.microsoft.com/office/drawing/2014/main" id="{12701853-F481-41DF-8B59-C4D33F94F3F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6</xdr:col>
      <xdr:colOff>449261</xdr:colOff>
      <xdr:row>357</xdr:row>
      <xdr:rowOff>34925</xdr:rowOff>
    </xdr:from>
    <xdr:to>
      <xdr:col>11</xdr:col>
      <xdr:colOff>542924</xdr:colOff>
      <xdr:row>371</xdr:row>
      <xdr:rowOff>34925</xdr:rowOff>
    </xdr:to>
    <xdr:graphicFrame macro="">
      <xdr:nvGraphicFramePr>
        <xdr:cNvPr id="13" name="Chart 12">
          <a:extLst>
            <a:ext uri="{FF2B5EF4-FFF2-40B4-BE49-F238E27FC236}">
              <a16:creationId xmlns:a16="http://schemas.microsoft.com/office/drawing/2014/main" id="{A7F71EF3-D205-45D2-BACE-210FD5A8B69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xdr:col>
      <xdr:colOff>1214437</xdr:colOff>
      <xdr:row>227</xdr:row>
      <xdr:rowOff>161342</xdr:rowOff>
    </xdr:from>
    <xdr:to>
      <xdr:col>7</xdr:col>
      <xdr:colOff>938212</xdr:colOff>
      <xdr:row>240</xdr:row>
      <xdr:rowOff>193999</xdr:rowOff>
    </xdr:to>
    <xdr:graphicFrame macro="">
      <xdr:nvGraphicFramePr>
        <xdr:cNvPr id="15" name="Chart 14">
          <a:extLst>
            <a:ext uri="{FF2B5EF4-FFF2-40B4-BE49-F238E27FC236}">
              <a16:creationId xmlns:a16="http://schemas.microsoft.com/office/drawing/2014/main" id="{5B5C5F3F-0BFD-4B11-91D3-50002296B42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6</xdr:col>
      <xdr:colOff>63788</xdr:colOff>
      <xdr:row>39</xdr:row>
      <xdr:rowOff>63500</xdr:rowOff>
    </xdr:from>
    <xdr:to>
      <xdr:col>13</xdr:col>
      <xdr:colOff>232832</xdr:colOff>
      <xdr:row>47</xdr:row>
      <xdr:rowOff>84666</xdr:rowOff>
    </xdr:to>
    <xdr:graphicFrame macro="">
      <xdr:nvGraphicFramePr>
        <xdr:cNvPr id="4" name="Chart 3">
          <a:extLst>
            <a:ext uri="{FF2B5EF4-FFF2-40B4-BE49-F238E27FC236}">
              <a16:creationId xmlns:a16="http://schemas.microsoft.com/office/drawing/2014/main" id="{00000000-0008-0000-07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82491</xdr:colOff>
      <xdr:row>48</xdr:row>
      <xdr:rowOff>28228</xdr:rowOff>
    </xdr:from>
    <xdr:to>
      <xdr:col>13</xdr:col>
      <xdr:colOff>243417</xdr:colOff>
      <xdr:row>55</xdr:row>
      <xdr:rowOff>84667</xdr:rowOff>
    </xdr:to>
    <xdr:graphicFrame macro="">
      <xdr:nvGraphicFramePr>
        <xdr:cNvPr id="6" name="Chart 5">
          <a:extLst>
            <a:ext uri="{FF2B5EF4-FFF2-40B4-BE49-F238E27FC236}">
              <a16:creationId xmlns:a16="http://schemas.microsoft.com/office/drawing/2014/main" id="{00000000-0008-0000-07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71908</xdr:colOff>
      <xdr:row>56</xdr:row>
      <xdr:rowOff>39143</xdr:rowOff>
    </xdr:from>
    <xdr:to>
      <xdr:col>13</xdr:col>
      <xdr:colOff>201083</xdr:colOff>
      <xdr:row>70</xdr:row>
      <xdr:rowOff>140573</xdr:rowOff>
    </xdr:to>
    <xdr:graphicFrame macro="">
      <xdr:nvGraphicFramePr>
        <xdr:cNvPr id="8" name="Chart 7">
          <a:extLst>
            <a:ext uri="{FF2B5EF4-FFF2-40B4-BE49-F238E27FC236}">
              <a16:creationId xmlns:a16="http://schemas.microsoft.com/office/drawing/2014/main" id="{00000000-0008-0000-0700-00000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9</xdr:col>
      <xdr:colOff>399590</xdr:colOff>
      <xdr:row>76</xdr:row>
      <xdr:rowOff>25542</xdr:rowOff>
    </xdr:from>
    <xdr:to>
      <xdr:col>16</xdr:col>
      <xdr:colOff>523875</xdr:colOff>
      <xdr:row>83</xdr:row>
      <xdr:rowOff>476250</xdr:rowOff>
    </xdr:to>
    <xdr:graphicFrame macro="">
      <xdr:nvGraphicFramePr>
        <xdr:cNvPr id="16" name="Chart 15">
          <a:extLst>
            <a:ext uri="{FF2B5EF4-FFF2-40B4-BE49-F238E27FC236}">
              <a16:creationId xmlns:a16="http://schemas.microsoft.com/office/drawing/2014/main" id="{00000000-0008-0000-0700-000010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18</xdr:col>
      <xdr:colOff>214314</xdr:colOff>
      <xdr:row>12</xdr:row>
      <xdr:rowOff>130969</xdr:rowOff>
    </xdr:from>
    <xdr:to>
      <xdr:col>24</xdr:col>
      <xdr:colOff>831850</xdr:colOff>
      <xdr:row>38</xdr:row>
      <xdr:rowOff>18519</xdr:rowOff>
    </xdr:to>
    <xdr:graphicFrame macro="">
      <xdr:nvGraphicFramePr>
        <xdr:cNvPr id="10" name="Chart 9">
          <a:extLst>
            <a:ext uri="{FF2B5EF4-FFF2-40B4-BE49-F238E27FC236}">
              <a16:creationId xmlns:a16="http://schemas.microsoft.com/office/drawing/2014/main" id="{00000000-0008-0000-0700-00000A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15</xdr:col>
      <xdr:colOff>666750</xdr:colOff>
      <xdr:row>82</xdr:row>
      <xdr:rowOff>16669</xdr:rowOff>
    </xdr:from>
    <xdr:to>
      <xdr:col>16</xdr:col>
      <xdr:colOff>552451</xdr:colOff>
      <xdr:row>82</xdr:row>
      <xdr:rowOff>280988</xdr:rowOff>
    </xdr:to>
    <xdr:sp macro="" textlink="">
      <xdr:nvSpPr>
        <xdr:cNvPr id="7" name="Rectangle 6">
          <a:extLst>
            <a:ext uri="{FF2B5EF4-FFF2-40B4-BE49-F238E27FC236}">
              <a16:creationId xmlns:a16="http://schemas.microsoft.com/office/drawing/2014/main" id="{AD6DC2CE-C2EA-4672-AB1E-F5E65262E032}"/>
            </a:ext>
          </a:extLst>
        </xdr:cNvPr>
        <xdr:cNvSpPr/>
      </xdr:nvSpPr>
      <xdr:spPr>
        <a:xfrm>
          <a:off x="20659725" y="20828794"/>
          <a:ext cx="619126" cy="26431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200" b="1">
              <a:solidFill>
                <a:srgbClr val="0070C0"/>
              </a:solidFill>
            </a:rPr>
            <a:t>+7,264</a:t>
          </a:r>
        </a:p>
      </xdr:txBody>
    </xdr:sp>
    <xdr:clientData/>
  </xdr:twoCellAnchor>
</xdr:wsDr>
</file>

<file path=xl/drawings/drawing5.xml><?xml version="1.0" encoding="utf-8"?>
<c:userShapes xmlns:c="http://schemas.openxmlformats.org/drawingml/2006/chart">
  <cdr:relSizeAnchor xmlns:cdr="http://schemas.openxmlformats.org/drawingml/2006/chartDrawing">
    <cdr:from>
      <cdr:x>0.90957</cdr:x>
      <cdr:y>0.16885</cdr:y>
    </cdr:from>
    <cdr:to>
      <cdr:x>1</cdr:x>
      <cdr:y>0.2399</cdr:y>
    </cdr:to>
    <cdr:sp macro="" textlink="">
      <cdr:nvSpPr>
        <cdr:cNvPr id="2" name="Rectangle 1">
          <a:extLst xmlns:a="http://schemas.openxmlformats.org/drawingml/2006/main">
            <a:ext uri="{FF2B5EF4-FFF2-40B4-BE49-F238E27FC236}">
              <a16:creationId xmlns:a16="http://schemas.microsoft.com/office/drawing/2014/main" id="{AD6DC2CE-C2EA-4672-AB1E-F5E65262E032}"/>
            </a:ext>
          </a:extLst>
        </cdr:cNvPr>
        <cdr:cNvSpPr/>
      </cdr:nvSpPr>
      <cdr:spPr>
        <a:xfrm xmlns:a="http://schemas.openxmlformats.org/drawingml/2006/main">
          <a:off x="6145115" y="618901"/>
          <a:ext cx="610951" cy="260431"/>
        </a:xfrm>
        <a:prstGeom xmlns:a="http://schemas.openxmlformats.org/drawingml/2006/main" prst="rect">
          <a:avLst/>
        </a:prstGeom>
        <a:noFill xmlns:a="http://schemas.openxmlformats.org/drawingml/2006/main"/>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tlCol="0" anchor="t"/>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r>
            <a:rPr lang="en-US" sz="1200" b="1">
              <a:solidFill>
                <a:srgbClr val="0070C0"/>
              </a:solidFill>
            </a:rPr>
            <a:t>+7,982</a:t>
          </a:r>
        </a:p>
      </cdr:txBody>
    </cdr:sp>
  </cdr:relSizeAnchor>
</c:userShapes>
</file>

<file path=xl/drawings/drawing6.xml><?xml version="1.0" encoding="utf-8"?>
<xdr:wsDr xmlns:xdr="http://schemas.openxmlformats.org/drawingml/2006/spreadsheetDrawing" xmlns:a="http://schemas.openxmlformats.org/drawingml/2006/main">
  <xdr:twoCellAnchor>
    <xdr:from>
      <xdr:col>8</xdr:col>
      <xdr:colOff>500062</xdr:colOff>
      <xdr:row>0</xdr:row>
      <xdr:rowOff>64820</xdr:rowOff>
    </xdr:from>
    <xdr:to>
      <xdr:col>24</xdr:col>
      <xdr:colOff>107156</xdr:colOff>
      <xdr:row>95</xdr:row>
      <xdr:rowOff>130969</xdr:rowOff>
    </xdr:to>
    <xdr:graphicFrame macro="">
      <xdr:nvGraphicFramePr>
        <xdr:cNvPr id="2" name="Chart 1">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3</xdr:col>
      <xdr:colOff>4763</xdr:colOff>
      <xdr:row>0</xdr:row>
      <xdr:rowOff>9525</xdr:rowOff>
    </xdr:from>
    <xdr:to>
      <xdr:col>8</xdr:col>
      <xdr:colOff>301625</xdr:colOff>
      <xdr:row>14</xdr:row>
      <xdr:rowOff>59531</xdr:rowOff>
    </xdr:to>
    <mc:AlternateContent xmlns:mc="http://schemas.openxmlformats.org/markup-compatibility/2006" xmlns:a14="http://schemas.microsoft.com/office/drawing/2010/main">
      <mc:Choice Requires="a14">
        <xdr:graphicFrame macro="">
          <xdr:nvGraphicFramePr>
            <xdr:cNvPr id="5" name="Township">
              <a:extLst>
                <a:ext uri="{FF2B5EF4-FFF2-40B4-BE49-F238E27FC236}">
                  <a16:creationId xmlns:a16="http://schemas.microsoft.com/office/drawing/2014/main" id="{00000000-0008-0000-0900-000005000000}"/>
                </a:ext>
              </a:extLst>
            </xdr:cNvPr>
            <xdr:cNvGraphicFramePr/>
          </xdr:nvGraphicFramePr>
          <xdr:xfrm>
            <a:off x="0" y="0"/>
            <a:ext cx="0" cy="0"/>
          </xdr:xfrm>
          <a:graphic>
            <a:graphicData uri="http://schemas.microsoft.com/office/drawing/2010/slicer">
              <sle:slicer xmlns:sle="http://schemas.microsoft.com/office/drawing/2010/slicer" name="Township"/>
            </a:graphicData>
          </a:graphic>
        </xdr:graphicFrame>
      </mc:Choice>
      <mc:Fallback xmlns="">
        <xdr:sp macro="" textlink="">
          <xdr:nvSpPr>
            <xdr:cNvPr id="0" name=""/>
            <xdr:cNvSpPr>
              <a:spLocks noTextEdit="1"/>
            </xdr:cNvSpPr>
          </xdr:nvSpPr>
          <xdr:spPr>
            <a:xfrm>
              <a:off x="4897967" y="9525"/>
              <a:ext cx="1822450" cy="5155141"/>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24</xdr:col>
      <xdr:colOff>397933</xdr:colOff>
      <xdr:row>0</xdr:row>
      <xdr:rowOff>114566</xdr:rowOff>
    </xdr:from>
    <xdr:to>
      <xdr:col>27</xdr:col>
      <xdr:colOff>160338</xdr:colOff>
      <xdr:row>9</xdr:row>
      <xdr:rowOff>54241</xdr:rowOff>
    </xdr:to>
    <mc:AlternateContent xmlns:mc="http://schemas.openxmlformats.org/markup-compatibility/2006" xmlns:a14="http://schemas.microsoft.com/office/drawing/2010/main">
      <mc:Choice Requires="a14">
        <xdr:graphicFrame macro="">
          <xdr:nvGraphicFramePr>
            <xdr:cNvPr id="7" name="Reporting Period">
              <a:extLst>
                <a:ext uri="{FF2B5EF4-FFF2-40B4-BE49-F238E27FC236}">
                  <a16:creationId xmlns:a16="http://schemas.microsoft.com/office/drawing/2014/main" id="{00000000-0008-0000-0900-000007000000}"/>
                </a:ext>
              </a:extLst>
            </xdr:cNvPr>
            <xdr:cNvGraphicFramePr/>
          </xdr:nvGraphicFramePr>
          <xdr:xfrm>
            <a:off x="0" y="0"/>
            <a:ext cx="0" cy="0"/>
          </xdr:xfrm>
          <a:graphic>
            <a:graphicData uri="http://schemas.microsoft.com/office/drawing/2010/slicer">
              <sle:slicer xmlns:sle="http://schemas.microsoft.com/office/drawing/2010/slicer" name="Reporting Period"/>
            </a:graphicData>
          </a:graphic>
        </xdr:graphicFrame>
      </mc:Choice>
      <mc:Fallback xmlns="">
        <xdr:sp macro="" textlink="">
          <xdr:nvSpPr>
            <xdr:cNvPr id="0" name=""/>
            <xdr:cNvSpPr>
              <a:spLocks noTextEdit="1"/>
            </xdr:cNvSpPr>
          </xdr:nvSpPr>
          <xdr:spPr>
            <a:xfrm>
              <a:off x="17650089" y="114566"/>
              <a:ext cx="1834092" cy="1761331"/>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95250</xdr:colOff>
      <xdr:row>0</xdr:row>
      <xdr:rowOff>117740</xdr:rowOff>
    </xdr:from>
    <xdr:to>
      <xdr:col>2</xdr:col>
      <xdr:colOff>738187</xdr:colOff>
      <xdr:row>14</xdr:row>
      <xdr:rowOff>59532</xdr:rowOff>
    </xdr:to>
    <mc:AlternateContent xmlns:mc="http://schemas.openxmlformats.org/markup-compatibility/2006" xmlns:a14="http://schemas.microsoft.com/office/drawing/2010/main">
      <mc:Choice Requires="a14">
        <xdr:graphicFrame macro="">
          <xdr:nvGraphicFramePr>
            <xdr:cNvPr id="3" name="WASH project agency">
              <a:extLst>
                <a:ext uri="{FF2B5EF4-FFF2-40B4-BE49-F238E27FC236}">
                  <a16:creationId xmlns:a16="http://schemas.microsoft.com/office/drawing/2014/main" id="{A0F92203-03F6-4917-8104-9294848FC898}"/>
                </a:ext>
              </a:extLst>
            </xdr:cNvPr>
            <xdr:cNvGraphicFramePr/>
          </xdr:nvGraphicFramePr>
          <xdr:xfrm>
            <a:off x="0" y="0"/>
            <a:ext cx="0" cy="0"/>
          </xdr:xfrm>
          <a:graphic>
            <a:graphicData uri="http://schemas.microsoft.com/office/drawing/2010/slicer">
              <sle:slicer xmlns:sle="http://schemas.microsoft.com/office/drawing/2010/slicer" name="WASH project agency"/>
            </a:graphicData>
          </a:graphic>
        </xdr:graphicFrame>
      </mc:Choice>
      <mc:Fallback xmlns="">
        <xdr:sp macro="" textlink="">
          <xdr:nvSpPr>
            <xdr:cNvPr id="0" name=""/>
            <xdr:cNvSpPr>
              <a:spLocks noTextEdit="1"/>
            </xdr:cNvSpPr>
          </xdr:nvSpPr>
          <xdr:spPr>
            <a:xfrm>
              <a:off x="95250" y="117740"/>
              <a:ext cx="4165864" cy="277548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7.xml><?xml version="1.0" encoding="utf-8"?>
<c:userShapes xmlns:c="http://schemas.openxmlformats.org/drawingml/2006/chart">
  <cdr:relSizeAnchor xmlns:cdr="http://schemas.openxmlformats.org/drawingml/2006/chartDrawing">
    <cdr:from>
      <cdr:x>0.25535</cdr:x>
      <cdr:y>0.01003</cdr:y>
    </cdr:from>
    <cdr:to>
      <cdr:x>0.41195</cdr:x>
      <cdr:y>0.07103</cdr:y>
    </cdr:to>
    <cdr:sp macro="" textlink="'Quarterly Dashboard'!$B$27">
      <cdr:nvSpPr>
        <cdr:cNvPr id="2" name="Rectangle 1"/>
        <cdr:cNvSpPr/>
      </cdr:nvSpPr>
      <cdr:spPr>
        <a:xfrm xmlns:a="http://schemas.openxmlformats.org/drawingml/2006/main">
          <a:off x="2721062" y="57155"/>
          <a:ext cx="1668745" cy="347566"/>
        </a:xfrm>
        <a:prstGeom xmlns:a="http://schemas.openxmlformats.org/drawingml/2006/main" prst="rect">
          <a:avLst/>
        </a:prstGeom>
        <a:noFill xmlns:a="http://schemas.openxmlformats.org/drawingml/2006/main"/>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pPr algn="r"/>
          <a:fld id="{9251A8C9-7CE7-43F0-A181-4FA5540E608E}" type="TxLink">
            <a:rPr lang="en-US" sz="1800" b="1" i="0" u="none" strike="noStrike">
              <a:solidFill>
                <a:srgbClr val="44546A"/>
              </a:solidFill>
              <a:latin typeface="Calibri"/>
            </a:rPr>
            <a:pPr algn="r"/>
            <a:t>(All)</a:t>
          </a:fld>
          <a:endParaRPr lang="en-US" sz="1600" b="1">
            <a:solidFill>
              <a:srgbClr val="44546A"/>
            </a:solidFill>
          </a:endParaRPr>
        </a:p>
      </cdr:txBody>
    </cdr:sp>
  </cdr:relSizeAnchor>
</c:userShapes>
</file>

<file path=xl/drawings/drawing8.xml><?xml version="1.0" encoding="utf-8"?>
<xdr:wsDr xmlns:xdr="http://schemas.openxmlformats.org/drawingml/2006/spreadsheetDrawing" xmlns:a="http://schemas.openxmlformats.org/drawingml/2006/main">
  <xdr:twoCellAnchor editAs="oneCell">
    <xdr:from>
      <xdr:col>7</xdr:col>
      <xdr:colOff>71694</xdr:colOff>
      <xdr:row>3</xdr:row>
      <xdr:rowOff>102419</xdr:rowOff>
    </xdr:from>
    <xdr:to>
      <xdr:col>18</xdr:col>
      <xdr:colOff>862477</xdr:colOff>
      <xdr:row>21</xdr:row>
      <xdr:rowOff>127847</xdr:rowOff>
    </xdr:to>
    <xdr:pic>
      <xdr:nvPicPr>
        <xdr:cNvPr id="10" name="Picture 9">
          <a:extLst>
            <a:ext uri="{FF2B5EF4-FFF2-40B4-BE49-F238E27FC236}">
              <a16:creationId xmlns:a16="http://schemas.microsoft.com/office/drawing/2014/main" id="{7B646875-3FF3-49DA-9FDD-8FF769C0CEF0}"/>
            </a:ext>
          </a:extLst>
        </xdr:cNvPr>
        <xdr:cNvPicPr>
          <a:picLocks noChangeAspect="1"/>
        </xdr:cNvPicPr>
      </xdr:nvPicPr>
      <xdr:blipFill>
        <a:blip xmlns:r="http://schemas.openxmlformats.org/officeDocument/2006/relationships" r:embed="rId1"/>
        <a:stretch>
          <a:fillRect/>
        </a:stretch>
      </xdr:blipFill>
      <xdr:spPr>
        <a:xfrm>
          <a:off x="7025968" y="1013951"/>
          <a:ext cx="8974090" cy="2975106"/>
        </a:xfrm>
        <a:prstGeom prst="rect">
          <a:avLst/>
        </a:prstGeom>
      </xdr:spPr>
    </xdr:pic>
    <xdr:clientData/>
  </xdr:twoCellAnchor>
  <xdr:twoCellAnchor>
    <xdr:from>
      <xdr:col>0</xdr:col>
      <xdr:colOff>71693</xdr:colOff>
      <xdr:row>52</xdr:row>
      <xdr:rowOff>66885</xdr:rowOff>
    </xdr:from>
    <xdr:to>
      <xdr:col>6</xdr:col>
      <xdr:colOff>939256</xdr:colOff>
      <xdr:row>60</xdr:row>
      <xdr:rowOff>184355</xdr:rowOff>
    </xdr:to>
    <xdr:grpSp>
      <xdr:nvGrpSpPr>
        <xdr:cNvPr id="12" name="Group 11">
          <a:extLst>
            <a:ext uri="{FF2B5EF4-FFF2-40B4-BE49-F238E27FC236}">
              <a16:creationId xmlns:a16="http://schemas.microsoft.com/office/drawing/2014/main" id="{00000000-0008-0000-0B00-00000C000000}"/>
            </a:ext>
          </a:extLst>
        </xdr:cNvPr>
        <xdr:cNvGrpSpPr/>
      </xdr:nvGrpSpPr>
      <xdr:grpSpPr>
        <a:xfrm>
          <a:off x="71693" y="9376804"/>
          <a:ext cx="6838611" cy="1745938"/>
          <a:chOff x="6844733" y="-4703135"/>
          <a:chExt cx="6361075" cy="4076330"/>
        </a:xfrm>
      </xdr:grpSpPr>
      <xdr:graphicFrame macro="">
        <xdr:nvGraphicFramePr>
          <xdr:cNvPr id="13" name="Chart 12">
            <a:extLst>
              <a:ext uri="{FF2B5EF4-FFF2-40B4-BE49-F238E27FC236}">
                <a16:creationId xmlns:a16="http://schemas.microsoft.com/office/drawing/2014/main" id="{00000000-0008-0000-0B00-00000D000000}"/>
              </a:ext>
            </a:extLst>
          </xdr:cNvPr>
          <xdr:cNvGraphicFramePr>
            <a:graphicFrameLocks/>
          </xdr:cNvGraphicFramePr>
        </xdr:nvGraphicFramePr>
        <xdr:xfrm>
          <a:off x="6844733" y="-4703135"/>
          <a:ext cx="6361075" cy="4076330"/>
        </xdr:xfrm>
        <a:graphic>
          <a:graphicData uri="http://schemas.openxmlformats.org/drawingml/2006/chart">
            <c:chart xmlns:c="http://schemas.openxmlformats.org/drawingml/2006/chart" xmlns:r="http://schemas.openxmlformats.org/officeDocument/2006/relationships" r:id="rId2"/>
          </a:graphicData>
        </a:graphic>
      </xdr:graphicFrame>
      <xdr:sp macro="" textlink="">
        <xdr:nvSpPr>
          <xdr:cNvPr id="14" name="TextBox 13">
            <a:hlinkClick xmlns:r="http://schemas.openxmlformats.org/officeDocument/2006/relationships" r:id="rId3"/>
            <a:extLst>
              <a:ext uri="{FF2B5EF4-FFF2-40B4-BE49-F238E27FC236}">
                <a16:creationId xmlns:a16="http://schemas.microsoft.com/office/drawing/2014/main" id="{00000000-0008-0000-0B00-00000E000000}"/>
              </a:ext>
            </a:extLst>
          </xdr:cNvPr>
          <xdr:cNvSpPr txBox="1"/>
        </xdr:nvSpPr>
        <xdr:spPr>
          <a:xfrm>
            <a:off x="11657938" y="-4529487"/>
            <a:ext cx="1528784" cy="1398873"/>
          </a:xfrm>
          <a:prstGeom prst="rect">
            <a:avLst/>
          </a:prstGeom>
          <a:solidFill>
            <a:schemeClr val="accent1">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bg1"/>
                </a:solidFill>
              </a:rPr>
              <a:t>More</a:t>
            </a:r>
            <a:r>
              <a:rPr lang="en-US" sz="1400" b="1" baseline="0">
                <a:solidFill>
                  <a:schemeClr val="bg1"/>
                </a:solidFill>
              </a:rPr>
              <a:t> info on gaps </a:t>
            </a:r>
            <a:r>
              <a:rPr lang="en-US" sz="1000" b="1" baseline="0">
                <a:solidFill>
                  <a:schemeClr val="bg1"/>
                </a:solidFill>
              </a:rPr>
              <a:t>(click here)</a:t>
            </a:r>
            <a:endParaRPr lang="en-US" sz="1000" b="1">
              <a:solidFill>
                <a:schemeClr val="bg1"/>
              </a:solidFill>
            </a:endParaRPr>
          </a:p>
        </xdr:txBody>
      </xdr:sp>
    </xdr:grpSp>
    <xdr:clientData/>
  </xdr:twoCellAnchor>
  <xdr:twoCellAnchor>
    <xdr:from>
      <xdr:col>7</xdr:col>
      <xdr:colOff>63397</xdr:colOff>
      <xdr:row>38</xdr:row>
      <xdr:rowOff>72297</xdr:rowOff>
    </xdr:from>
    <xdr:to>
      <xdr:col>19</xdr:col>
      <xdr:colOff>21849</xdr:colOff>
      <xdr:row>40</xdr:row>
      <xdr:rowOff>110315</xdr:rowOff>
    </xdr:to>
    <xdr:sp macro="" textlink="">
      <xdr:nvSpPr>
        <xdr:cNvPr id="15" name="Rectangle 14">
          <a:extLst>
            <a:ext uri="{FF2B5EF4-FFF2-40B4-BE49-F238E27FC236}">
              <a16:creationId xmlns:a16="http://schemas.microsoft.com/office/drawing/2014/main" id="{00000000-0008-0000-0B00-00000F000000}"/>
            </a:ext>
          </a:extLst>
        </xdr:cNvPr>
        <xdr:cNvSpPr/>
      </xdr:nvSpPr>
      <xdr:spPr>
        <a:xfrm>
          <a:off x="7109849" y="6719313"/>
          <a:ext cx="9053290" cy="365760"/>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400" b="1"/>
            <a:t>WATER Quantity                                                                                                                               WATER Quality</a:t>
          </a:r>
        </a:p>
      </xdr:txBody>
    </xdr:sp>
    <xdr:clientData/>
  </xdr:twoCellAnchor>
  <xdr:twoCellAnchor>
    <xdr:from>
      <xdr:col>1</xdr:col>
      <xdr:colOff>0</xdr:colOff>
      <xdr:row>1</xdr:row>
      <xdr:rowOff>40968</xdr:rowOff>
    </xdr:from>
    <xdr:to>
      <xdr:col>7</xdr:col>
      <xdr:colOff>6145</xdr:colOff>
      <xdr:row>21</xdr:row>
      <xdr:rowOff>143387</xdr:rowOff>
    </xdr:to>
    <xdr:graphicFrame macro="">
      <xdr:nvGraphicFramePr>
        <xdr:cNvPr id="16" name="Chart 15">
          <a:extLst>
            <a:ext uri="{FF2B5EF4-FFF2-40B4-BE49-F238E27FC236}">
              <a16:creationId xmlns:a16="http://schemas.microsoft.com/office/drawing/2014/main" id="{00000000-0008-0000-0B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xdr:col>
      <xdr:colOff>73494</xdr:colOff>
      <xdr:row>57</xdr:row>
      <xdr:rowOff>133145</xdr:rowOff>
    </xdr:from>
    <xdr:to>
      <xdr:col>19</xdr:col>
      <xdr:colOff>32581</xdr:colOff>
      <xdr:row>59</xdr:row>
      <xdr:rowOff>17534</xdr:rowOff>
    </xdr:to>
    <xdr:sp macro="" textlink="">
      <xdr:nvSpPr>
        <xdr:cNvPr id="19" name="TextBox 18">
          <a:extLst>
            <a:ext uri="{FF2B5EF4-FFF2-40B4-BE49-F238E27FC236}">
              <a16:creationId xmlns:a16="http://schemas.microsoft.com/office/drawing/2014/main" id="{00000000-0008-0000-0B00-000013000000}"/>
            </a:ext>
          </a:extLst>
        </xdr:cNvPr>
        <xdr:cNvSpPr txBox="1"/>
      </xdr:nvSpPr>
      <xdr:spPr>
        <a:xfrm>
          <a:off x="7119946" y="10385322"/>
          <a:ext cx="9053925" cy="365760"/>
        </a:xfrm>
        <a:prstGeom prst="rect">
          <a:avLst/>
        </a:prstGeom>
        <a:solidFill>
          <a:schemeClr val="accent2">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sz="1400" b="1" i="0" baseline="0">
              <a:solidFill>
                <a:schemeClr val="bg1"/>
              </a:solidFill>
              <a:effectLst/>
              <a:latin typeface="+mn-lt"/>
              <a:ea typeface="+mn-ea"/>
              <a:cs typeface="+mn-cs"/>
            </a:rPr>
            <a:t>Sanitation</a:t>
          </a:r>
          <a:endParaRPr lang="en-US" sz="1400">
            <a:solidFill>
              <a:schemeClr val="bg1"/>
            </a:solidFill>
            <a:effectLst/>
          </a:endParaRPr>
        </a:p>
      </xdr:txBody>
    </xdr:sp>
    <xdr:clientData/>
  </xdr:twoCellAnchor>
  <xdr:twoCellAnchor>
    <xdr:from>
      <xdr:col>7</xdr:col>
      <xdr:colOff>73506</xdr:colOff>
      <xdr:row>86</xdr:row>
      <xdr:rowOff>57967</xdr:rowOff>
    </xdr:from>
    <xdr:to>
      <xdr:col>19</xdr:col>
      <xdr:colOff>32593</xdr:colOff>
      <xdr:row>88</xdr:row>
      <xdr:rowOff>26851</xdr:rowOff>
    </xdr:to>
    <xdr:sp macro="" textlink="">
      <xdr:nvSpPr>
        <xdr:cNvPr id="20" name="TextBox 45">
          <a:extLst>
            <a:ext uri="{FF2B5EF4-FFF2-40B4-BE49-F238E27FC236}">
              <a16:creationId xmlns:a16="http://schemas.microsoft.com/office/drawing/2014/main" id="{00000000-0008-0000-0B00-000014000000}"/>
            </a:ext>
          </a:extLst>
        </xdr:cNvPr>
        <xdr:cNvSpPr txBox="1"/>
      </xdr:nvSpPr>
      <xdr:spPr>
        <a:xfrm>
          <a:off x="7119958" y="17141515"/>
          <a:ext cx="9053925" cy="378562"/>
        </a:xfrm>
        <a:prstGeom prst="rect">
          <a:avLst/>
        </a:prstGeom>
        <a:solidFill>
          <a:schemeClr val="accent6">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400" b="1" i="0" baseline="0">
              <a:solidFill>
                <a:schemeClr val="bg1"/>
              </a:solidFill>
              <a:effectLst/>
              <a:latin typeface="+mn-lt"/>
              <a:ea typeface="+mn-ea"/>
              <a:cs typeface="+mn-cs"/>
            </a:rPr>
            <a:t>Hygiene Items </a:t>
          </a:r>
          <a:r>
            <a:rPr lang="en-US" sz="1200" b="1" i="0" baseline="0">
              <a:solidFill>
                <a:schemeClr val="bg1"/>
              </a:solidFill>
              <a:effectLst/>
              <a:latin typeface="+mn-lt"/>
              <a:ea typeface="+mn-ea"/>
              <a:cs typeface="+mn-cs"/>
            </a:rPr>
            <a:t>			                                      </a:t>
          </a:r>
          <a:endParaRPr lang="en-US" sz="1200">
            <a:solidFill>
              <a:schemeClr val="bg1"/>
            </a:solidFill>
            <a:effectLst/>
          </a:endParaRPr>
        </a:p>
      </xdr:txBody>
    </xdr:sp>
    <xdr:clientData/>
  </xdr:twoCellAnchor>
  <xdr:twoCellAnchor>
    <xdr:from>
      <xdr:col>0</xdr:col>
      <xdr:colOff>92177</xdr:colOff>
      <xdr:row>68</xdr:row>
      <xdr:rowOff>184354</xdr:rowOff>
    </xdr:from>
    <xdr:to>
      <xdr:col>3</xdr:col>
      <xdr:colOff>348224</xdr:colOff>
      <xdr:row>81</xdr:row>
      <xdr:rowOff>81772</xdr:rowOff>
    </xdr:to>
    <xdr:graphicFrame macro="">
      <xdr:nvGraphicFramePr>
        <xdr:cNvPr id="22" name="Chart 21">
          <a:extLst>
            <a:ext uri="{FF2B5EF4-FFF2-40B4-BE49-F238E27FC236}">
              <a16:creationId xmlns:a16="http://schemas.microsoft.com/office/drawing/2014/main" id="{00000000-0008-0000-0B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7</xdr:col>
      <xdr:colOff>79374</xdr:colOff>
      <xdr:row>1</xdr:row>
      <xdr:rowOff>29766</xdr:rowOff>
    </xdr:from>
    <xdr:to>
      <xdr:col>19</xdr:col>
      <xdr:colOff>37096</xdr:colOff>
      <xdr:row>3</xdr:row>
      <xdr:rowOff>67784</xdr:rowOff>
    </xdr:to>
    <xdr:sp macro="" textlink="">
      <xdr:nvSpPr>
        <xdr:cNvPr id="34" name="Rectangle 33">
          <a:extLst>
            <a:ext uri="{FF2B5EF4-FFF2-40B4-BE49-F238E27FC236}">
              <a16:creationId xmlns:a16="http://schemas.microsoft.com/office/drawing/2014/main" id="{F2514196-0B9B-416C-988E-BA525F05CCF8}"/>
            </a:ext>
          </a:extLst>
        </xdr:cNvPr>
        <xdr:cNvSpPr/>
      </xdr:nvSpPr>
      <xdr:spPr>
        <a:xfrm>
          <a:off x="7125826" y="613556"/>
          <a:ext cx="9052560" cy="365760"/>
        </a:xfrm>
        <a:prstGeom prst="rect">
          <a:avLst/>
        </a:prstGeom>
        <a:solidFill>
          <a:schemeClr val="accent4">
            <a:lumMod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en-US" sz="1400" b="1"/>
            <a:t>Accountability to Affected</a:t>
          </a:r>
          <a:r>
            <a:rPr lang="en-US" sz="1400" b="1" baseline="0"/>
            <a:t> Population</a:t>
          </a:r>
          <a:endParaRPr lang="en-US" sz="1400" b="1"/>
        </a:p>
      </xdr:txBody>
    </xdr:sp>
    <xdr:clientData/>
  </xdr:twoCellAnchor>
  <xdr:twoCellAnchor>
    <xdr:from>
      <xdr:col>0</xdr:col>
      <xdr:colOff>70049</xdr:colOff>
      <xdr:row>48</xdr:row>
      <xdr:rowOff>148209</xdr:rowOff>
    </xdr:from>
    <xdr:to>
      <xdr:col>6</xdr:col>
      <xdr:colOff>958394</xdr:colOff>
      <xdr:row>52</xdr:row>
      <xdr:rowOff>10242</xdr:rowOff>
    </xdr:to>
    <xdr:sp macro="" textlink="">
      <xdr:nvSpPr>
        <xdr:cNvPr id="35" name="Rectangle 34">
          <a:extLst>
            <a:ext uri="{FF2B5EF4-FFF2-40B4-BE49-F238E27FC236}">
              <a16:creationId xmlns:a16="http://schemas.microsoft.com/office/drawing/2014/main" id="{EC76F521-A72D-48BC-A1A3-5C5B3E2806B0}"/>
            </a:ext>
          </a:extLst>
        </xdr:cNvPr>
        <xdr:cNvSpPr/>
      </xdr:nvSpPr>
      <xdr:spPr>
        <a:xfrm>
          <a:off x="70049" y="8679741"/>
          <a:ext cx="6859393" cy="640420"/>
        </a:xfrm>
        <a:prstGeom prst="rect">
          <a:avLst/>
        </a:prstGeom>
        <a:ln>
          <a:solidFill>
            <a:schemeClr val="accent1">
              <a:lumMod val="40000"/>
              <a:lumOff val="60000"/>
            </a:schemeClr>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r>
            <a:rPr lang="en-US" sz="1400" b="1" i="0" u="none" strike="noStrike">
              <a:solidFill>
                <a:schemeClr val="bg1">
                  <a:lumMod val="50000"/>
                </a:schemeClr>
              </a:solidFill>
              <a:effectLst/>
              <a:latin typeface="+mn-lt"/>
              <a:ea typeface="+mn-ea"/>
              <a:cs typeface="+mn-cs"/>
            </a:rPr>
            <a:t>DONORS: </a:t>
          </a:r>
          <a:r>
            <a:rPr lang="en-US" sz="1400" b="0" i="0" u="none" strike="noStrike">
              <a:solidFill>
                <a:schemeClr val="bg1">
                  <a:lumMod val="50000"/>
                </a:schemeClr>
              </a:solidFill>
              <a:effectLst/>
              <a:latin typeface="+mn-lt"/>
              <a:ea typeface="+mn-ea"/>
              <a:cs typeface="+mn-cs"/>
            </a:rPr>
            <a:t>HARP, UNICEF, MHF, OFDA, ECHO, BMZ, FFO, IOM, MA HQ, GIZ, German Humanitarain Assistance (AA)    </a:t>
          </a:r>
          <a:endParaRPr lang="en-US" sz="1400">
            <a:solidFill>
              <a:schemeClr val="bg1">
                <a:lumMod val="50000"/>
              </a:schemeClr>
            </a:solidFill>
          </a:endParaRPr>
        </a:p>
      </xdr:txBody>
    </xdr:sp>
    <xdr:clientData/>
  </xdr:twoCellAnchor>
  <xdr:twoCellAnchor>
    <xdr:from>
      <xdr:col>7</xdr:col>
      <xdr:colOff>78341</xdr:colOff>
      <xdr:row>40</xdr:row>
      <xdr:rowOff>165920</xdr:rowOff>
    </xdr:from>
    <xdr:to>
      <xdr:col>18</xdr:col>
      <xdr:colOff>858873</xdr:colOff>
      <xdr:row>55</xdr:row>
      <xdr:rowOff>57012</xdr:rowOff>
    </xdr:to>
    <xdr:grpSp>
      <xdr:nvGrpSpPr>
        <xdr:cNvPr id="3" name="Group 2">
          <a:extLst>
            <a:ext uri="{FF2B5EF4-FFF2-40B4-BE49-F238E27FC236}">
              <a16:creationId xmlns:a16="http://schemas.microsoft.com/office/drawing/2014/main" id="{C605ECFD-6A75-467C-A4EF-10590DF62AA9}"/>
            </a:ext>
          </a:extLst>
        </xdr:cNvPr>
        <xdr:cNvGrpSpPr/>
      </xdr:nvGrpSpPr>
      <xdr:grpSpPr>
        <a:xfrm>
          <a:off x="7032615" y="7140678"/>
          <a:ext cx="8963839" cy="2799802"/>
          <a:chOff x="7206728" y="8595032"/>
          <a:chExt cx="8963838" cy="2799802"/>
        </a:xfrm>
      </xdr:grpSpPr>
      <xdr:grpSp>
        <xdr:nvGrpSpPr>
          <xdr:cNvPr id="2" name="Group 1">
            <a:extLst>
              <a:ext uri="{FF2B5EF4-FFF2-40B4-BE49-F238E27FC236}">
                <a16:creationId xmlns:a16="http://schemas.microsoft.com/office/drawing/2014/main" id="{E1D41DDC-7DCE-467E-AECE-A7E3BF7F1AA5}"/>
              </a:ext>
            </a:extLst>
          </xdr:cNvPr>
          <xdr:cNvGrpSpPr/>
        </xdr:nvGrpSpPr>
        <xdr:grpSpPr>
          <a:xfrm>
            <a:off x="7206728" y="8595032"/>
            <a:ext cx="8963838" cy="2799802"/>
            <a:chOff x="7060609" y="8498416"/>
            <a:chExt cx="9653129" cy="2984499"/>
          </a:xfrm>
        </xdr:grpSpPr>
        <xdr:graphicFrame macro="">
          <xdr:nvGraphicFramePr>
            <xdr:cNvPr id="6" name="Chart 5">
              <a:extLst>
                <a:ext uri="{FF2B5EF4-FFF2-40B4-BE49-F238E27FC236}">
                  <a16:creationId xmlns:a16="http://schemas.microsoft.com/office/drawing/2014/main" id="{00000000-0008-0000-0B00-000006000000}"/>
                </a:ext>
              </a:extLst>
            </xdr:cNvPr>
            <xdr:cNvGraphicFramePr>
              <a:graphicFrameLocks/>
            </xdr:cNvGraphicFramePr>
          </xdr:nvGraphicFramePr>
          <xdr:xfrm>
            <a:off x="7060609" y="8508343"/>
            <a:ext cx="2972391" cy="2974572"/>
          </xdr:xfrm>
          <a:graphic>
            <a:graphicData uri="http://schemas.openxmlformats.org/drawingml/2006/chart">
              <c:chart xmlns:c="http://schemas.openxmlformats.org/drawingml/2006/chart" xmlns:r="http://schemas.openxmlformats.org/officeDocument/2006/relationships" r:id="rId6"/>
            </a:graphicData>
          </a:graphic>
        </xdr:graphicFrame>
        <xdr:graphicFrame macro="">
          <xdr:nvGraphicFramePr>
            <xdr:cNvPr id="39" name="Chart 38">
              <a:extLst>
                <a:ext uri="{FF2B5EF4-FFF2-40B4-BE49-F238E27FC236}">
                  <a16:creationId xmlns:a16="http://schemas.microsoft.com/office/drawing/2014/main" id="{5573FE29-E84C-4623-B5F8-0E943A0F0AC5}"/>
                </a:ext>
              </a:extLst>
            </xdr:cNvPr>
            <xdr:cNvGraphicFramePr>
              <a:graphicFrameLocks/>
            </xdr:cNvGraphicFramePr>
          </xdr:nvGraphicFramePr>
          <xdr:xfrm>
            <a:off x="10076672" y="8498416"/>
            <a:ext cx="3291840" cy="2977557"/>
          </xdr:xfrm>
          <a:graphic>
            <a:graphicData uri="http://schemas.openxmlformats.org/drawingml/2006/chart">
              <c:chart xmlns:c="http://schemas.openxmlformats.org/drawingml/2006/chart" xmlns:r="http://schemas.openxmlformats.org/officeDocument/2006/relationships" r:id="rId7"/>
            </a:graphicData>
          </a:graphic>
        </xdr:graphicFrame>
        <xdr:graphicFrame macro="">
          <xdr:nvGraphicFramePr>
            <xdr:cNvPr id="41" name="Chart 40">
              <a:extLst>
                <a:ext uri="{FF2B5EF4-FFF2-40B4-BE49-F238E27FC236}">
                  <a16:creationId xmlns:a16="http://schemas.microsoft.com/office/drawing/2014/main" id="{32066DA3-7201-47E9-9D79-036BB43D17C6}"/>
                </a:ext>
              </a:extLst>
            </xdr:cNvPr>
            <xdr:cNvGraphicFramePr>
              <a:graphicFrameLocks/>
            </xdr:cNvGraphicFramePr>
          </xdr:nvGraphicFramePr>
          <xdr:xfrm>
            <a:off x="13421897" y="8498416"/>
            <a:ext cx="3291841" cy="2977557"/>
          </xdr:xfrm>
          <a:graphic>
            <a:graphicData uri="http://schemas.openxmlformats.org/drawingml/2006/chart">
              <c:chart xmlns:c="http://schemas.openxmlformats.org/drawingml/2006/chart" xmlns:r="http://schemas.openxmlformats.org/officeDocument/2006/relationships" r:id="rId8"/>
            </a:graphicData>
          </a:graphic>
        </xdr:graphicFrame>
        <xdr:cxnSp macro="">
          <xdr:nvCxnSpPr>
            <xdr:cNvPr id="43" name="Connector: Elbow 42">
              <a:extLst>
                <a:ext uri="{FF2B5EF4-FFF2-40B4-BE49-F238E27FC236}">
                  <a16:creationId xmlns:a16="http://schemas.microsoft.com/office/drawing/2014/main" id="{0A1B0AF1-FDEE-4B61-BF75-6B7CD18AA3F3}"/>
                </a:ext>
              </a:extLst>
            </xdr:cNvPr>
            <xdr:cNvCxnSpPr/>
          </xdr:nvCxnSpPr>
          <xdr:spPr>
            <a:xfrm>
              <a:off x="11017249" y="9309416"/>
              <a:ext cx="1443036" cy="241299"/>
            </a:xfrm>
            <a:prstGeom prst="bentConnector2">
              <a:avLst/>
            </a:prstGeom>
            <a:ln>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44" name="Connector: Elbow 43">
              <a:extLst>
                <a:ext uri="{FF2B5EF4-FFF2-40B4-BE49-F238E27FC236}">
                  <a16:creationId xmlns:a16="http://schemas.microsoft.com/office/drawing/2014/main" id="{B7D7B9D2-3BF7-4609-9AD4-4A44BA779229}"/>
                </a:ext>
              </a:extLst>
            </xdr:cNvPr>
            <xdr:cNvCxnSpPr/>
          </xdr:nvCxnSpPr>
          <xdr:spPr>
            <a:xfrm>
              <a:off x="14351000" y="9472083"/>
              <a:ext cx="1443036" cy="193674"/>
            </a:xfrm>
            <a:prstGeom prst="bentConnector2">
              <a:avLst/>
            </a:prstGeom>
            <a:ln>
              <a:tailEnd type="triangle"/>
            </a:ln>
          </xdr:spPr>
          <xdr:style>
            <a:lnRef idx="1">
              <a:schemeClr val="accent1"/>
            </a:lnRef>
            <a:fillRef idx="0">
              <a:schemeClr val="accent1"/>
            </a:fillRef>
            <a:effectRef idx="0">
              <a:schemeClr val="accent1"/>
            </a:effectRef>
            <a:fontRef idx="minor">
              <a:schemeClr val="tx1"/>
            </a:fontRef>
          </xdr:style>
        </xdr:cxnSp>
      </xdr:grpSp>
      <xdr:graphicFrame macro="">
        <xdr:nvGraphicFramePr>
          <xdr:cNvPr id="50" name="Chart 49">
            <a:extLst>
              <a:ext uri="{FF2B5EF4-FFF2-40B4-BE49-F238E27FC236}">
                <a16:creationId xmlns:a16="http://schemas.microsoft.com/office/drawing/2014/main" id="{0DE25274-0C06-43B8-8E28-0161019F2C7F}"/>
              </a:ext>
            </a:extLst>
          </xdr:cNvPr>
          <xdr:cNvGraphicFramePr>
            <a:graphicFrameLocks/>
          </xdr:cNvGraphicFramePr>
        </xdr:nvGraphicFramePr>
        <xdr:xfrm>
          <a:off x="11441603" y="9694475"/>
          <a:ext cx="1588942" cy="1663831"/>
        </xdr:xfrm>
        <a:graphic>
          <a:graphicData uri="http://schemas.openxmlformats.org/drawingml/2006/chart">
            <c:chart xmlns:c="http://schemas.openxmlformats.org/drawingml/2006/chart" xmlns:r="http://schemas.openxmlformats.org/officeDocument/2006/relationships" r:id="rId9"/>
          </a:graphicData>
        </a:graphic>
      </xdr:graphicFrame>
      <xdr:graphicFrame macro="">
        <xdr:nvGraphicFramePr>
          <xdr:cNvPr id="51" name="Chart 50">
            <a:extLst>
              <a:ext uri="{FF2B5EF4-FFF2-40B4-BE49-F238E27FC236}">
                <a16:creationId xmlns:a16="http://schemas.microsoft.com/office/drawing/2014/main" id="{5560E883-6A3C-49E4-958E-3D256F2FF0C2}"/>
              </a:ext>
            </a:extLst>
          </xdr:cNvPr>
          <xdr:cNvGraphicFramePr>
            <a:graphicFrameLocks/>
          </xdr:cNvGraphicFramePr>
        </xdr:nvGraphicFramePr>
        <xdr:xfrm>
          <a:off x="14538068" y="9685490"/>
          <a:ext cx="1571445" cy="1676324"/>
        </xdr:xfrm>
        <a:graphic>
          <a:graphicData uri="http://schemas.openxmlformats.org/drawingml/2006/chart">
            <c:chart xmlns:c="http://schemas.openxmlformats.org/drawingml/2006/chart" xmlns:r="http://schemas.openxmlformats.org/officeDocument/2006/relationships" r:id="rId10"/>
          </a:graphicData>
        </a:graphic>
      </xdr:graphicFrame>
    </xdr:grpSp>
    <xdr:clientData/>
  </xdr:twoCellAnchor>
  <xdr:twoCellAnchor>
    <xdr:from>
      <xdr:col>0</xdr:col>
      <xdr:colOff>97640</xdr:colOff>
      <xdr:row>81</xdr:row>
      <xdr:rowOff>185720</xdr:rowOff>
    </xdr:from>
    <xdr:to>
      <xdr:col>3</xdr:col>
      <xdr:colOff>357130</xdr:colOff>
      <xdr:row>94</xdr:row>
      <xdr:rowOff>78467</xdr:rowOff>
    </xdr:to>
    <xdr:graphicFrame macro="">
      <xdr:nvGraphicFramePr>
        <xdr:cNvPr id="55" name="Chart 54">
          <a:extLst>
            <a:ext uri="{FF2B5EF4-FFF2-40B4-BE49-F238E27FC236}">
              <a16:creationId xmlns:a16="http://schemas.microsoft.com/office/drawing/2014/main" id="{C4C94DCB-718E-474D-AAEB-9EF3F3A0E92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3</xdr:col>
      <xdr:colOff>501857</xdr:colOff>
      <xdr:row>68</xdr:row>
      <xdr:rowOff>184232</xdr:rowOff>
    </xdr:from>
    <xdr:to>
      <xdr:col>6</xdr:col>
      <xdr:colOff>932016</xdr:colOff>
      <xdr:row>81</xdr:row>
      <xdr:rowOff>81650</xdr:rowOff>
    </xdr:to>
    <xdr:graphicFrame macro="">
      <xdr:nvGraphicFramePr>
        <xdr:cNvPr id="38" name="Chart 37">
          <a:extLst>
            <a:ext uri="{FF2B5EF4-FFF2-40B4-BE49-F238E27FC236}">
              <a16:creationId xmlns:a16="http://schemas.microsoft.com/office/drawing/2014/main" id="{3B620386-20AC-4B7A-970E-8AEEB2C5AC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3</xdr:col>
      <xdr:colOff>497796</xdr:colOff>
      <xdr:row>81</xdr:row>
      <xdr:rowOff>194597</xdr:rowOff>
    </xdr:from>
    <xdr:to>
      <xdr:col>6</xdr:col>
      <xdr:colOff>931398</xdr:colOff>
      <xdr:row>94</xdr:row>
      <xdr:rowOff>92013</xdr:rowOff>
    </xdr:to>
    <xdr:graphicFrame macro="">
      <xdr:nvGraphicFramePr>
        <xdr:cNvPr id="40" name="Chart 39">
          <a:extLst>
            <a:ext uri="{FF2B5EF4-FFF2-40B4-BE49-F238E27FC236}">
              <a16:creationId xmlns:a16="http://schemas.microsoft.com/office/drawing/2014/main" id="{DAF12036-7446-452F-8FFD-CD7E2B2FC5C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7</xdr:col>
      <xdr:colOff>62135</xdr:colOff>
      <xdr:row>22</xdr:row>
      <xdr:rowOff>61451</xdr:rowOff>
    </xdr:from>
    <xdr:to>
      <xdr:col>18</xdr:col>
      <xdr:colOff>839838</xdr:colOff>
      <xdr:row>37</xdr:row>
      <xdr:rowOff>144821</xdr:rowOff>
    </xdr:to>
    <xdr:graphicFrame macro="">
      <xdr:nvGraphicFramePr>
        <xdr:cNvPr id="58" name="Chart 57">
          <a:extLst>
            <a:ext uri="{FF2B5EF4-FFF2-40B4-BE49-F238E27FC236}">
              <a16:creationId xmlns:a16="http://schemas.microsoft.com/office/drawing/2014/main" id="{6C8FEA01-D50A-422C-AEE7-E5D47186BD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7</xdr:col>
      <xdr:colOff>71693</xdr:colOff>
      <xdr:row>55</xdr:row>
      <xdr:rowOff>112661</xdr:rowOff>
    </xdr:from>
    <xdr:to>
      <xdr:col>18</xdr:col>
      <xdr:colOff>829597</xdr:colOff>
      <xdr:row>57</xdr:row>
      <xdr:rowOff>112662</xdr:rowOff>
    </xdr:to>
    <xdr:sp macro="" textlink="">
      <xdr:nvSpPr>
        <xdr:cNvPr id="4" name="TextBox 3">
          <a:extLst>
            <a:ext uri="{FF2B5EF4-FFF2-40B4-BE49-F238E27FC236}">
              <a16:creationId xmlns:a16="http://schemas.microsoft.com/office/drawing/2014/main" id="{452EBF02-3084-42C4-B7E3-22E73EBBF7B7}"/>
            </a:ext>
          </a:extLst>
        </xdr:cNvPr>
        <xdr:cNvSpPr txBox="1"/>
      </xdr:nvSpPr>
      <xdr:spPr>
        <a:xfrm>
          <a:off x="7118145" y="9996129"/>
          <a:ext cx="8941210" cy="368710"/>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a:solidFill>
                <a:schemeClr val="accent5">
                  <a:lumMod val="75000"/>
                </a:schemeClr>
              </a:solidFill>
            </a:rPr>
            <a:t>Average repair time per water point = </a:t>
          </a:r>
          <a:r>
            <a:rPr lang="en-US" sz="1600" b="1">
              <a:solidFill>
                <a:schemeClr val="accent5">
                  <a:lumMod val="75000"/>
                </a:schemeClr>
              </a:solidFill>
            </a:rPr>
            <a:t>30</a:t>
          </a:r>
          <a:r>
            <a:rPr lang="en-US" sz="1200" b="1">
              <a:solidFill>
                <a:schemeClr val="accent5">
                  <a:lumMod val="75000"/>
                </a:schemeClr>
              </a:solidFill>
            </a:rPr>
            <a:t> days</a:t>
          </a:r>
        </a:p>
      </xdr:txBody>
    </xdr:sp>
    <xdr:clientData/>
  </xdr:twoCellAnchor>
  <xdr:twoCellAnchor>
    <xdr:from>
      <xdr:col>7</xdr:col>
      <xdr:colOff>61452</xdr:colOff>
      <xdr:row>17</xdr:row>
      <xdr:rowOff>102419</xdr:rowOff>
    </xdr:from>
    <xdr:to>
      <xdr:col>9</xdr:col>
      <xdr:colOff>674701</xdr:colOff>
      <xdr:row>21</xdr:row>
      <xdr:rowOff>133145</xdr:rowOff>
    </xdr:to>
    <xdr:sp macro="" textlink="">
      <xdr:nvSpPr>
        <xdr:cNvPr id="62" name="TextBox 61">
          <a:hlinkClick xmlns:r="http://schemas.openxmlformats.org/officeDocument/2006/relationships" r:id="rId15"/>
          <a:extLst>
            <a:ext uri="{FF2B5EF4-FFF2-40B4-BE49-F238E27FC236}">
              <a16:creationId xmlns:a16="http://schemas.microsoft.com/office/drawing/2014/main" id="{7B7DE494-49B5-41D0-B14E-ED4E4540A9D5}"/>
            </a:ext>
          </a:extLst>
        </xdr:cNvPr>
        <xdr:cNvSpPr txBox="1"/>
      </xdr:nvSpPr>
      <xdr:spPr>
        <a:xfrm>
          <a:off x="7015726" y="3308145"/>
          <a:ext cx="1565749" cy="686210"/>
        </a:xfrm>
        <a:prstGeom prst="rect">
          <a:avLst/>
        </a:prstGeom>
        <a:solidFill>
          <a:schemeClr val="accent4">
            <a:lumMod val="5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a:solidFill>
                <a:schemeClr val="bg1"/>
              </a:solidFill>
            </a:rPr>
            <a:t>Specific WASH community feedback</a:t>
          </a:r>
        </a:p>
        <a:p>
          <a:r>
            <a:rPr lang="en-US" sz="1000" b="1" baseline="0">
              <a:solidFill>
                <a:schemeClr val="bg1"/>
              </a:solidFill>
            </a:rPr>
            <a:t>(click here)</a:t>
          </a:r>
          <a:endParaRPr lang="en-US" sz="1000" b="1">
            <a:solidFill>
              <a:schemeClr val="bg1"/>
            </a:solidFill>
          </a:endParaRPr>
        </a:p>
      </xdr:txBody>
    </xdr:sp>
    <xdr:clientData/>
  </xdr:twoCellAnchor>
  <xdr:twoCellAnchor>
    <xdr:from>
      <xdr:col>7</xdr:col>
      <xdr:colOff>92176</xdr:colOff>
      <xdr:row>81</xdr:row>
      <xdr:rowOff>92177</xdr:rowOff>
    </xdr:from>
    <xdr:to>
      <xdr:col>18</xdr:col>
      <xdr:colOff>901290</xdr:colOff>
      <xdr:row>85</xdr:row>
      <xdr:rowOff>184356</xdr:rowOff>
    </xdr:to>
    <xdr:sp macro="" textlink="">
      <xdr:nvSpPr>
        <xdr:cNvPr id="63" name="TextBox 62">
          <a:extLst>
            <a:ext uri="{FF2B5EF4-FFF2-40B4-BE49-F238E27FC236}">
              <a16:creationId xmlns:a16="http://schemas.microsoft.com/office/drawing/2014/main" id="{E59C7AAB-3E04-4A92-AC0F-8BC33D242430}"/>
            </a:ext>
          </a:extLst>
        </xdr:cNvPr>
        <xdr:cNvSpPr txBox="1"/>
      </xdr:nvSpPr>
      <xdr:spPr>
        <a:xfrm>
          <a:off x="7138628" y="16264193"/>
          <a:ext cx="8992420" cy="911534"/>
        </a:xfrm>
        <a:prstGeom prst="rect">
          <a:avLst/>
        </a:prstGeom>
        <a:solidFill>
          <a:schemeClr val="accent2">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a:solidFill>
                <a:schemeClr val="accent2">
                  <a:lumMod val="50000"/>
                </a:schemeClr>
              </a:solidFill>
            </a:rPr>
            <a:t>1. Total </a:t>
          </a:r>
          <a:r>
            <a:rPr lang="en-US" sz="1600" b="1">
              <a:solidFill>
                <a:schemeClr val="accent2">
                  <a:lumMod val="50000"/>
                </a:schemeClr>
              </a:solidFill>
            </a:rPr>
            <a:t>2,674</a:t>
          </a:r>
          <a:r>
            <a:rPr lang="en-US" sz="1200" b="1">
              <a:solidFill>
                <a:schemeClr val="accent2">
                  <a:lumMod val="50000"/>
                </a:schemeClr>
              </a:solidFill>
            </a:rPr>
            <a:t> m3 of fecal sludge removed from the camps</a:t>
          </a:r>
        </a:p>
        <a:p>
          <a:r>
            <a:rPr lang="en-US" sz="1200" b="1">
              <a:solidFill>
                <a:schemeClr val="accent2">
                  <a:lumMod val="50000"/>
                </a:schemeClr>
              </a:solidFill>
            </a:rPr>
            <a:t>2.  overall average</a:t>
          </a:r>
          <a:r>
            <a:rPr lang="en-US" sz="1200" b="1" baseline="0">
              <a:solidFill>
                <a:schemeClr val="accent2">
                  <a:lumMod val="50000"/>
                </a:schemeClr>
              </a:solidFill>
            </a:rPr>
            <a:t> </a:t>
          </a:r>
          <a:r>
            <a:rPr lang="en-US" sz="1600" b="1" baseline="0">
              <a:solidFill>
                <a:schemeClr val="accent2">
                  <a:lumMod val="50000"/>
                </a:schemeClr>
              </a:solidFill>
            </a:rPr>
            <a:t>39</a:t>
          </a:r>
          <a:r>
            <a:rPr lang="en-US" sz="1200" b="1" baseline="0">
              <a:solidFill>
                <a:schemeClr val="accent2">
                  <a:lumMod val="50000"/>
                </a:schemeClr>
              </a:solidFill>
            </a:rPr>
            <a:t> % of Open Defecation within 15ft of latrines</a:t>
          </a:r>
        </a:p>
        <a:p>
          <a:r>
            <a:rPr lang="en-US" sz="1200" b="1" baseline="0">
              <a:solidFill>
                <a:schemeClr val="accent2">
                  <a:lumMod val="50000"/>
                </a:schemeClr>
              </a:solidFill>
            </a:rPr>
            <a:t>3.  </a:t>
          </a:r>
          <a:r>
            <a:rPr lang="en-US" sz="1600" b="1" baseline="0">
              <a:solidFill>
                <a:schemeClr val="accent2">
                  <a:lumMod val="50000"/>
                </a:schemeClr>
              </a:solidFill>
            </a:rPr>
            <a:t>164</a:t>
          </a:r>
          <a:r>
            <a:rPr lang="en-US" sz="1200" b="1" baseline="0">
              <a:solidFill>
                <a:schemeClr val="accent2">
                  <a:lumMod val="50000"/>
                </a:schemeClr>
              </a:solidFill>
            </a:rPr>
            <a:t> Number of functioning children latrine reported</a:t>
          </a:r>
          <a:endParaRPr lang="en-US" sz="1200" b="1">
            <a:solidFill>
              <a:schemeClr val="accent2">
                <a:lumMod val="50000"/>
              </a:schemeClr>
            </a:solidFill>
          </a:endParaRPr>
        </a:p>
      </xdr:txBody>
    </xdr:sp>
    <xdr:clientData/>
  </xdr:twoCellAnchor>
  <xdr:twoCellAnchor>
    <xdr:from>
      <xdr:col>7</xdr:col>
      <xdr:colOff>49162</xdr:colOff>
      <xdr:row>88</xdr:row>
      <xdr:rowOff>112662</xdr:rowOff>
    </xdr:from>
    <xdr:to>
      <xdr:col>20</xdr:col>
      <xdr:colOff>0</xdr:colOff>
      <xdr:row>113</xdr:row>
      <xdr:rowOff>184355</xdr:rowOff>
    </xdr:to>
    <xdr:grpSp>
      <xdr:nvGrpSpPr>
        <xdr:cNvPr id="9" name="Group 8">
          <a:extLst>
            <a:ext uri="{FF2B5EF4-FFF2-40B4-BE49-F238E27FC236}">
              <a16:creationId xmlns:a16="http://schemas.microsoft.com/office/drawing/2014/main" id="{96BDCC9E-B8CC-479A-B4D1-FF6DED146F28}"/>
            </a:ext>
          </a:extLst>
        </xdr:cNvPr>
        <xdr:cNvGrpSpPr/>
      </xdr:nvGrpSpPr>
      <xdr:grpSpPr>
        <a:xfrm>
          <a:off x="7003436" y="17513710"/>
          <a:ext cx="9117370" cy="5745726"/>
          <a:chOff x="7003436" y="17923388"/>
          <a:chExt cx="9117370" cy="5540886"/>
        </a:xfrm>
      </xdr:grpSpPr>
      <xdr:graphicFrame macro="">
        <xdr:nvGraphicFramePr>
          <xdr:cNvPr id="5" name="Chart 4">
            <a:extLst>
              <a:ext uri="{FF2B5EF4-FFF2-40B4-BE49-F238E27FC236}">
                <a16:creationId xmlns:a16="http://schemas.microsoft.com/office/drawing/2014/main" id="{00000000-0008-0000-0B00-000005000000}"/>
              </a:ext>
            </a:extLst>
          </xdr:cNvPr>
          <xdr:cNvGraphicFramePr>
            <a:graphicFrameLocks/>
          </xdr:cNvGraphicFramePr>
        </xdr:nvGraphicFramePr>
        <xdr:xfrm>
          <a:off x="7020199" y="17928570"/>
          <a:ext cx="4442192" cy="3025683"/>
        </xdr:xfrm>
        <a:graphic>
          <a:graphicData uri="http://schemas.openxmlformats.org/drawingml/2006/chart">
            <c:chart xmlns:c="http://schemas.openxmlformats.org/drawingml/2006/chart" xmlns:r="http://schemas.openxmlformats.org/officeDocument/2006/relationships" r:id="rId16"/>
          </a:graphicData>
        </a:graphic>
      </xdr:graphicFrame>
      <xdr:graphicFrame macro="">
        <xdr:nvGraphicFramePr>
          <xdr:cNvPr id="37" name="Chart 36">
            <a:extLst>
              <a:ext uri="{FF2B5EF4-FFF2-40B4-BE49-F238E27FC236}">
                <a16:creationId xmlns:a16="http://schemas.microsoft.com/office/drawing/2014/main" id="{C68E0910-B78B-498C-A5FF-4BBF5656EB3A}"/>
              </a:ext>
            </a:extLst>
          </xdr:cNvPr>
          <xdr:cNvGraphicFramePr>
            <a:graphicFrameLocks/>
          </xdr:cNvGraphicFramePr>
        </xdr:nvGraphicFramePr>
        <xdr:xfrm>
          <a:off x="7003436" y="21008940"/>
          <a:ext cx="9117370" cy="2455334"/>
        </xdr:xfrm>
        <a:graphic>
          <a:graphicData uri="http://schemas.openxmlformats.org/drawingml/2006/chart">
            <c:chart xmlns:c="http://schemas.openxmlformats.org/drawingml/2006/chart" xmlns:r="http://schemas.openxmlformats.org/officeDocument/2006/relationships" r:id="rId17"/>
          </a:graphicData>
        </a:graphic>
      </xdr:graphicFrame>
      <xdr:graphicFrame macro="">
        <xdr:nvGraphicFramePr>
          <xdr:cNvPr id="64" name="Chart 63">
            <a:extLst>
              <a:ext uri="{FF2B5EF4-FFF2-40B4-BE49-F238E27FC236}">
                <a16:creationId xmlns:a16="http://schemas.microsoft.com/office/drawing/2014/main" id="{1F227FD2-2784-49C0-893B-AF10DC915DFC}"/>
              </a:ext>
            </a:extLst>
          </xdr:cNvPr>
          <xdr:cNvGraphicFramePr>
            <a:graphicFrameLocks/>
          </xdr:cNvGraphicFramePr>
        </xdr:nvGraphicFramePr>
        <xdr:xfrm>
          <a:off x="11522176" y="17923388"/>
          <a:ext cx="4572001" cy="3031612"/>
        </xdr:xfrm>
        <a:graphic>
          <a:graphicData uri="http://schemas.openxmlformats.org/drawingml/2006/chart">
            <c:chart xmlns:c="http://schemas.openxmlformats.org/drawingml/2006/chart" xmlns:r="http://schemas.openxmlformats.org/officeDocument/2006/relationships" r:id="rId18"/>
          </a:graphicData>
        </a:graphic>
      </xdr:graphicFrame>
    </xdr:grpSp>
    <xdr:clientData/>
  </xdr:twoCellAnchor>
  <xdr:twoCellAnchor>
    <xdr:from>
      <xdr:col>0</xdr:col>
      <xdr:colOff>92181</xdr:colOff>
      <xdr:row>67</xdr:row>
      <xdr:rowOff>92177</xdr:rowOff>
    </xdr:from>
    <xdr:to>
      <xdr:col>7</xdr:col>
      <xdr:colOff>0</xdr:colOff>
      <xdr:row>68</xdr:row>
      <xdr:rowOff>119953</xdr:rowOff>
    </xdr:to>
    <xdr:sp macro="" textlink="">
      <xdr:nvSpPr>
        <xdr:cNvPr id="66" name="TextBox 45">
          <a:extLst>
            <a:ext uri="{FF2B5EF4-FFF2-40B4-BE49-F238E27FC236}">
              <a16:creationId xmlns:a16="http://schemas.microsoft.com/office/drawing/2014/main" id="{709BAD81-440F-42F4-AF5B-AB93650F6D69}"/>
            </a:ext>
          </a:extLst>
        </xdr:cNvPr>
        <xdr:cNvSpPr txBox="1"/>
      </xdr:nvSpPr>
      <xdr:spPr>
        <a:xfrm>
          <a:off x="92181" y="13263306"/>
          <a:ext cx="6954271" cy="365760"/>
        </a:xfrm>
        <a:prstGeom prst="rect">
          <a:avLst/>
        </a:prstGeom>
        <a:solidFill>
          <a:srgbClr val="7030A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400" b="1" i="0" baseline="0">
              <a:solidFill>
                <a:schemeClr val="bg1"/>
              </a:solidFill>
              <a:effectLst/>
              <a:latin typeface="+mn-lt"/>
              <a:ea typeface="+mn-ea"/>
              <a:cs typeface="+mn-cs"/>
            </a:rPr>
            <a:t>Education - WASH in TLS/CFS</a:t>
          </a:r>
          <a:r>
            <a:rPr lang="en-US" sz="1200" b="1" i="0" baseline="0">
              <a:solidFill>
                <a:schemeClr val="bg1"/>
              </a:solidFill>
              <a:effectLst/>
              <a:latin typeface="+mn-lt"/>
              <a:ea typeface="+mn-ea"/>
              <a:cs typeface="+mn-cs"/>
            </a:rPr>
            <a:t>		                                      </a:t>
          </a:r>
          <a:endParaRPr lang="en-US" sz="1200">
            <a:solidFill>
              <a:schemeClr val="bg1"/>
            </a:solidFill>
            <a:effectLst/>
          </a:endParaRPr>
        </a:p>
      </xdr:txBody>
    </xdr:sp>
    <xdr:clientData/>
  </xdr:twoCellAnchor>
  <xdr:twoCellAnchor>
    <xdr:from>
      <xdr:col>0</xdr:col>
      <xdr:colOff>61452</xdr:colOff>
      <xdr:row>106</xdr:row>
      <xdr:rowOff>0</xdr:rowOff>
    </xdr:from>
    <xdr:to>
      <xdr:col>6</xdr:col>
      <xdr:colOff>952499</xdr:colOff>
      <xdr:row>113</xdr:row>
      <xdr:rowOff>163871</xdr:rowOff>
    </xdr:to>
    <xdr:sp macro="" textlink="">
      <xdr:nvSpPr>
        <xdr:cNvPr id="67" name="TextBox 66">
          <a:extLst>
            <a:ext uri="{FF2B5EF4-FFF2-40B4-BE49-F238E27FC236}">
              <a16:creationId xmlns:a16="http://schemas.microsoft.com/office/drawing/2014/main" id="{DC2DF570-08CF-44FB-8094-65E9DD4D4DBB}"/>
            </a:ext>
          </a:extLst>
        </xdr:cNvPr>
        <xdr:cNvSpPr txBox="1"/>
      </xdr:nvSpPr>
      <xdr:spPr>
        <a:xfrm>
          <a:off x="61452" y="21088145"/>
          <a:ext cx="6964515" cy="1597742"/>
        </a:xfrm>
        <a:prstGeom prst="rect">
          <a:avLst/>
        </a:prstGeom>
        <a:solidFill>
          <a:schemeClr val="accent3">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a:solidFill>
                <a:schemeClr val="accent2">
                  <a:lumMod val="50000"/>
                </a:schemeClr>
              </a:solidFill>
            </a:rPr>
            <a:t>1. Total </a:t>
          </a:r>
          <a:r>
            <a:rPr lang="en-US" sz="1600" b="1">
              <a:solidFill>
                <a:schemeClr val="accent2">
                  <a:lumMod val="50000"/>
                </a:schemeClr>
              </a:solidFill>
            </a:rPr>
            <a:t>2,644</a:t>
          </a:r>
          <a:r>
            <a:rPr lang="en-US" sz="1200" b="1">
              <a:solidFill>
                <a:schemeClr val="accent2">
                  <a:lumMod val="50000"/>
                </a:schemeClr>
              </a:solidFill>
            </a:rPr>
            <a:t> camp paid</a:t>
          </a:r>
          <a:r>
            <a:rPr lang="en-US" sz="1200" b="1" baseline="0">
              <a:solidFill>
                <a:schemeClr val="accent2">
                  <a:lumMod val="50000"/>
                </a:schemeClr>
              </a:solidFill>
            </a:rPr>
            <a:t> staff (skilled &amp; unskilled)</a:t>
          </a:r>
          <a:endParaRPr lang="en-US" sz="1200" b="1">
            <a:solidFill>
              <a:schemeClr val="accent2">
                <a:lumMod val="50000"/>
              </a:schemeClr>
            </a:solidFill>
          </a:endParaRPr>
        </a:p>
        <a:p>
          <a:r>
            <a:rPr lang="en-US" sz="1200" b="1">
              <a:solidFill>
                <a:schemeClr val="accent2">
                  <a:lumMod val="50000"/>
                </a:schemeClr>
              </a:solidFill>
            </a:rPr>
            <a:t>2.  </a:t>
          </a:r>
          <a:r>
            <a:rPr lang="en-US" sz="1600" b="1">
              <a:solidFill>
                <a:schemeClr val="accent2">
                  <a:lumMod val="50000"/>
                </a:schemeClr>
              </a:solidFill>
            </a:rPr>
            <a:t>258 </a:t>
          </a:r>
          <a:r>
            <a:rPr lang="en-US" sz="1200" b="1">
              <a:solidFill>
                <a:schemeClr val="accent2">
                  <a:lumMod val="50000"/>
                </a:schemeClr>
              </a:solidFill>
            </a:rPr>
            <a:t>men and </a:t>
          </a:r>
          <a:r>
            <a:rPr lang="en-US" sz="1600" b="1">
              <a:solidFill>
                <a:schemeClr val="accent2">
                  <a:lumMod val="50000"/>
                </a:schemeClr>
              </a:solidFill>
            </a:rPr>
            <a:t>121</a:t>
          </a:r>
          <a:r>
            <a:rPr lang="en-US" sz="1200" b="1">
              <a:solidFill>
                <a:schemeClr val="accent2">
                  <a:lumMod val="50000"/>
                </a:schemeClr>
              </a:solidFill>
            </a:rPr>
            <a:t>  women in camp WASH committee</a:t>
          </a:r>
          <a:endParaRPr lang="en-US" sz="1200" b="1" baseline="0">
            <a:solidFill>
              <a:schemeClr val="accent2">
                <a:lumMod val="50000"/>
              </a:schemeClr>
            </a:solidFill>
          </a:endParaRPr>
        </a:p>
        <a:p>
          <a:r>
            <a:rPr lang="en-US" sz="1200" b="1" baseline="0">
              <a:solidFill>
                <a:schemeClr val="accent2">
                  <a:lumMod val="50000"/>
                </a:schemeClr>
              </a:solidFill>
            </a:rPr>
            <a:t>3.  Camp closure indicators are included but limited data was reported in this quarter</a:t>
          </a:r>
          <a:endParaRPr lang="en-US" sz="1200" b="1">
            <a:solidFill>
              <a:schemeClr val="accent2">
                <a:lumMod val="50000"/>
              </a:schemeClr>
            </a:solidFill>
          </a:endParaRPr>
        </a:p>
      </xdr:txBody>
    </xdr:sp>
    <xdr:clientData/>
  </xdr:twoCellAnchor>
  <xdr:twoCellAnchor>
    <xdr:from>
      <xdr:col>0</xdr:col>
      <xdr:colOff>81937</xdr:colOff>
      <xdr:row>96</xdr:row>
      <xdr:rowOff>20483</xdr:rowOff>
    </xdr:from>
    <xdr:to>
      <xdr:col>7</xdr:col>
      <xdr:colOff>715</xdr:colOff>
      <xdr:row>97</xdr:row>
      <xdr:rowOff>181405</xdr:rowOff>
    </xdr:to>
    <xdr:sp macro="" textlink="">
      <xdr:nvSpPr>
        <xdr:cNvPr id="68" name="TextBox 45">
          <a:extLst>
            <a:ext uri="{FF2B5EF4-FFF2-40B4-BE49-F238E27FC236}">
              <a16:creationId xmlns:a16="http://schemas.microsoft.com/office/drawing/2014/main" id="{15719E13-9F75-42D7-9750-6AB1346075E1}"/>
            </a:ext>
          </a:extLst>
        </xdr:cNvPr>
        <xdr:cNvSpPr txBox="1"/>
      </xdr:nvSpPr>
      <xdr:spPr>
        <a:xfrm>
          <a:off x="81937" y="19265080"/>
          <a:ext cx="6944746" cy="365760"/>
        </a:xfrm>
        <a:prstGeom prst="rect">
          <a:avLst/>
        </a:prstGeom>
        <a:solidFill>
          <a:srgbClr val="00B0F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400" b="1" i="0" baseline="0">
              <a:solidFill>
                <a:schemeClr val="bg1"/>
              </a:solidFill>
              <a:effectLst/>
              <a:latin typeface="+mn-lt"/>
              <a:ea typeface="+mn-ea"/>
              <a:cs typeface="+mn-cs"/>
            </a:rPr>
            <a:t>Health:  </a:t>
          </a:r>
          <a:r>
            <a:rPr lang="en-US" sz="1100" b="1" i="0" u="none" strike="noStrike">
              <a:solidFill>
                <a:srgbClr val="FF0000"/>
              </a:solidFill>
              <a:effectLst/>
              <a:latin typeface="+mn-lt"/>
              <a:ea typeface="+mn-ea"/>
              <a:cs typeface="+mn-cs"/>
            </a:rPr>
            <a:t>Green is 0 up to &lt; 3%</a:t>
          </a:r>
          <a:r>
            <a:rPr lang="en-US" sz="1200" b="1">
              <a:solidFill>
                <a:srgbClr val="FF0000"/>
              </a:solidFill>
            </a:rPr>
            <a:t> , </a:t>
          </a:r>
          <a:r>
            <a:rPr lang="en-US" sz="1100" b="1" i="0" u="none" strike="noStrike">
              <a:solidFill>
                <a:srgbClr val="FF0000"/>
              </a:solidFill>
              <a:effectLst/>
              <a:latin typeface="+mn-lt"/>
              <a:ea typeface="+mn-ea"/>
              <a:cs typeface="+mn-cs"/>
            </a:rPr>
            <a:t>Yellow is 3 up to &lt; 5%</a:t>
          </a:r>
          <a:r>
            <a:rPr lang="en-US" sz="1200" b="1">
              <a:solidFill>
                <a:srgbClr val="FF0000"/>
              </a:solidFill>
            </a:rPr>
            <a:t> , </a:t>
          </a:r>
          <a:r>
            <a:rPr lang="en-US" sz="1100" b="1" i="0" u="none" strike="noStrike">
              <a:solidFill>
                <a:srgbClr val="FF0000"/>
              </a:solidFill>
              <a:effectLst/>
              <a:latin typeface="+mn-lt"/>
              <a:ea typeface="+mn-ea"/>
              <a:cs typeface="+mn-cs"/>
            </a:rPr>
            <a:t>Red is ≥ 5%  </a:t>
          </a:r>
          <a:r>
            <a:rPr lang="en-US" sz="1200" b="1">
              <a:solidFill>
                <a:srgbClr val="FF0000"/>
              </a:solidFill>
            </a:rPr>
            <a:t> </a:t>
          </a:r>
          <a:endParaRPr lang="en-US" sz="1200" b="1">
            <a:solidFill>
              <a:srgbClr val="FF0000"/>
            </a:solidFill>
            <a:effectLst/>
          </a:endParaRPr>
        </a:p>
      </xdr:txBody>
    </xdr:sp>
    <xdr:clientData/>
  </xdr:twoCellAnchor>
  <xdr:twoCellAnchor>
    <xdr:from>
      <xdr:col>1</xdr:col>
      <xdr:colOff>10243</xdr:colOff>
      <xdr:row>93</xdr:row>
      <xdr:rowOff>61451</xdr:rowOff>
    </xdr:from>
    <xdr:to>
      <xdr:col>6</xdr:col>
      <xdr:colOff>921774</xdr:colOff>
      <xdr:row>95</xdr:row>
      <xdr:rowOff>133145</xdr:rowOff>
    </xdr:to>
    <xdr:sp macro="" textlink="">
      <xdr:nvSpPr>
        <xdr:cNvPr id="45" name="TextBox 62">
          <a:extLst>
            <a:ext uri="{FF2B5EF4-FFF2-40B4-BE49-F238E27FC236}">
              <a16:creationId xmlns:a16="http://schemas.microsoft.com/office/drawing/2014/main" id="{F6AEA9F7-485E-42EF-A027-68F473E7B6A3}"/>
            </a:ext>
          </a:extLst>
        </xdr:cNvPr>
        <xdr:cNvSpPr txBox="1"/>
      </xdr:nvSpPr>
      <xdr:spPr>
        <a:xfrm>
          <a:off x="112662" y="18691532"/>
          <a:ext cx="6882580" cy="481371"/>
        </a:xfrm>
        <a:prstGeom prst="rect">
          <a:avLst/>
        </a:prstGeom>
        <a:solidFill>
          <a:srgbClr val="E4B6E4"/>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en-US" sz="1200" b="1">
              <a:solidFill>
                <a:srgbClr val="7030A0"/>
              </a:solidFill>
            </a:rPr>
            <a:t>WASH cluster is liaising</a:t>
          </a:r>
          <a:r>
            <a:rPr lang="en-US" sz="1200" b="1" baseline="0">
              <a:solidFill>
                <a:srgbClr val="7030A0"/>
              </a:solidFill>
            </a:rPr>
            <a:t> with Education to get more WinS information. </a:t>
          </a:r>
          <a:endParaRPr lang="en-US" sz="1200" b="1">
            <a:solidFill>
              <a:srgbClr val="7030A0"/>
            </a:solidFill>
          </a:endParaRPr>
        </a:p>
      </xdr:txBody>
    </xdr:sp>
    <xdr:clientData/>
  </xdr:twoCellAnchor>
  <xdr:twoCellAnchor>
    <xdr:from>
      <xdr:col>7</xdr:col>
      <xdr:colOff>81935</xdr:colOff>
      <xdr:row>59</xdr:row>
      <xdr:rowOff>46772</xdr:rowOff>
    </xdr:from>
    <xdr:to>
      <xdr:col>19</xdr:col>
      <xdr:colOff>17370</xdr:colOff>
      <xdr:row>80</xdr:row>
      <xdr:rowOff>183441</xdr:rowOff>
    </xdr:to>
    <xdr:grpSp>
      <xdr:nvGrpSpPr>
        <xdr:cNvPr id="8" name="Group 7">
          <a:extLst>
            <a:ext uri="{FF2B5EF4-FFF2-40B4-BE49-F238E27FC236}">
              <a16:creationId xmlns:a16="http://schemas.microsoft.com/office/drawing/2014/main" id="{92FCF69E-15E0-42AB-A832-687976AD551B}"/>
            </a:ext>
          </a:extLst>
        </xdr:cNvPr>
        <xdr:cNvGrpSpPr/>
      </xdr:nvGrpSpPr>
      <xdr:grpSpPr>
        <a:xfrm>
          <a:off x="7036209" y="10780320"/>
          <a:ext cx="9030274" cy="5165460"/>
          <a:chOff x="7036209" y="10780320"/>
          <a:chExt cx="9030274" cy="5575137"/>
        </a:xfrm>
      </xdr:grpSpPr>
      <xdr:graphicFrame macro="">
        <xdr:nvGraphicFramePr>
          <xdr:cNvPr id="52" name="Chart 51">
            <a:extLst>
              <a:ext uri="{FF2B5EF4-FFF2-40B4-BE49-F238E27FC236}">
                <a16:creationId xmlns:a16="http://schemas.microsoft.com/office/drawing/2014/main" id="{C86ED55A-E635-4520-A168-134F3EB15439}"/>
              </a:ext>
            </a:extLst>
          </xdr:cNvPr>
          <xdr:cNvGraphicFramePr>
            <a:graphicFrameLocks/>
          </xdr:cNvGraphicFramePr>
        </xdr:nvGraphicFramePr>
        <xdr:xfrm>
          <a:off x="10733548" y="10781920"/>
          <a:ext cx="5325807" cy="2948039"/>
        </xdr:xfrm>
        <a:graphic>
          <a:graphicData uri="http://schemas.openxmlformats.org/drawingml/2006/chart">
            <c:chart xmlns:c="http://schemas.openxmlformats.org/drawingml/2006/chart" xmlns:r="http://schemas.openxmlformats.org/officeDocument/2006/relationships" r:id="rId19"/>
          </a:graphicData>
        </a:graphic>
      </xdr:graphicFrame>
      <xdr:graphicFrame macro="">
        <xdr:nvGraphicFramePr>
          <xdr:cNvPr id="53" name="Chart 52">
            <a:extLst>
              <a:ext uri="{FF2B5EF4-FFF2-40B4-BE49-F238E27FC236}">
                <a16:creationId xmlns:a16="http://schemas.microsoft.com/office/drawing/2014/main" id="{49C88792-4D8F-4B5D-8540-F33816B668CD}"/>
              </a:ext>
            </a:extLst>
          </xdr:cNvPr>
          <xdr:cNvGraphicFramePr>
            <a:graphicFrameLocks/>
          </xdr:cNvGraphicFramePr>
        </xdr:nvGraphicFramePr>
        <xdr:xfrm>
          <a:off x="7041670" y="10780320"/>
          <a:ext cx="3657600" cy="2948039"/>
        </xdr:xfrm>
        <a:graphic>
          <a:graphicData uri="http://schemas.openxmlformats.org/drawingml/2006/chart">
            <c:chart xmlns:c="http://schemas.openxmlformats.org/drawingml/2006/chart" xmlns:r="http://schemas.openxmlformats.org/officeDocument/2006/relationships" r:id="rId20"/>
          </a:graphicData>
        </a:graphic>
      </xdr:graphicFrame>
      <xdr:graphicFrame macro="">
        <xdr:nvGraphicFramePr>
          <xdr:cNvPr id="54" name="Chart 53">
            <a:extLst>
              <a:ext uri="{FF2B5EF4-FFF2-40B4-BE49-F238E27FC236}">
                <a16:creationId xmlns:a16="http://schemas.microsoft.com/office/drawing/2014/main" id="{E81E1A18-C79B-45FB-9328-7ED63675A5DE}"/>
              </a:ext>
            </a:extLst>
          </xdr:cNvPr>
          <xdr:cNvGraphicFramePr>
            <a:graphicFrameLocks/>
          </xdr:cNvGraphicFramePr>
        </xdr:nvGraphicFramePr>
        <xdr:xfrm>
          <a:off x="10095596" y="13876675"/>
          <a:ext cx="3017520" cy="2468880"/>
        </xdr:xfrm>
        <a:graphic>
          <a:graphicData uri="http://schemas.openxmlformats.org/drawingml/2006/chart">
            <c:chart xmlns:c="http://schemas.openxmlformats.org/drawingml/2006/chart" xmlns:r="http://schemas.openxmlformats.org/officeDocument/2006/relationships" r:id="rId21"/>
          </a:graphicData>
        </a:graphic>
      </xdr:graphicFrame>
      <xdr:graphicFrame macro="">
        <xdr:nvGraphicFramePr>
          <xdr:cNvPr id="56" name="Chart 55">
            <a:extLst>
              <a:ext uri="{FF2B5EF4-FFF2-40B4-BE49-F238E27FC236}">
                <a16:creationId xmlns:a16="http://schemas.microsoft.com/office/drawing/2014/main" id="{4C3F7419-2685-461D-98C2-96E6D3C7B698}"/>
              </a:ext>
            </a:extLst>
          </xdr:cNvPr>
          <xdr:cNvGraphicFramePr>
            <a:graphicFrameLocks/>
          </xdr:cNvGraphicFramePr>
        </xdr:nvGraphicFramePr>
        <xdr:xfrm>
          <a:off x="13140403" y="13886577"/>
          <a:ext cx="2926080" cy="2468880"/>
        </xdr:xfrm>
        <a:graphic>
          <a:graphicData uri="http://schemas.openxmlformats.org/drawingml/2006/chart">
            <c:chart xmlns:c="http://schemas.openxmlformats.org/drawingml/2006/chart" xmlns:r="http://schemas.openxmlformats.org/officeDocument/2006/relationships" r:id="rId22"/>
          </a:graphicData>
        </a:graphic>
      </xdr:graphicFrame>
      <xdr:graphicFrame macro="">
        <xdr:nvGraphicFramePr>
          <xdr:cNvPr id="46" name="Chart 45">
            <a:extLst>
              <a:ext uri="{FF2B5EF4-FFF2-40B4-BE49-F238E27FC236}">
                <a16:creationId xmlns:a16="http://schemas.microsoft.com/office/drawing/2014/main" id="{A5924EC0-6078-420E-9A7D-690061D1E824}"/>
              </a:ext>
            </a:extLst>
          </xdr:cNvPr>
          <xdr:cNvGraphicFramePr>
            <a:graphicFrameLocks/>
          </xdr:cNvGraphicFramePr>
        </xdr:nvGraphicFramePr>
        <xdr:xfrm>
          <a:off x="7036209" y="13877822"/>
          <a:ext cx="3017520" cy="2468880"/>
        </xdr:xfrm>
        <a:graphic>
          <a:graphicData uri="http://schemas.openxmlformats.org/drawingml/2006/chart">
            <c:chart xmlns:c="http://schemas.openxmlformats.org/drawingml/2006/chart" xmlns:r="http://schemas.openxmlformats.org/officeDocument/2006/relationships" r:id="rId23"/>
          </a:graphicData>
        </a:graphic>
      </xdr:graphicFrame>
    </xdr:grpSp>
    <xdr:clientData/>
  </xdr:twoCellAnchor>
  <xdr:twoCellAnchor>
    <xdr:from>
      <xdr:col>6</xdr:col>
      <xdr:colOff>153629</xdr:colOff>
      <xdr:row>3</xdr:row>
      <xdr:rowOff>143387</xdr:rowOff>
    </xdr:from>
    <xdr:to>
      <xdr:col>6</xdr:col>
      <xdr:colOff>855511</xdr:colOff>
      <xdr:row>5</xdr:row>
      <xdr:rowOff>23893</xdr:rowOff>
    </xdr:to>
    <xdr:sp macro="" textlink="">
      <xdr:nvSpPr>
        <xdr:cNvPr id="47" name="Rectangle 46">
          <a:extLst>
            <a:ext uri="{FF2B5EF4-FFF2-40B4-BE49-F238E27FC236}">
              <a16:creationId xmlns:a16="http://schemas.microsoft.com/office/drawing/2014/main" id="{FA38FF69-EE92-4977-8EBD-A29A7EBAF18A}"/>
            </a:ext>
          </a:extLst>
        </xdr:cNvPr>
        <xdr:cNvSpPr/>
      </xdr:nvSpPr>
      <xdr:spPr>
        <a:xfrm>
          <a:off x="6124677" y="1054919"/>
          <a:ext cx="701882" cy="20824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l"/>
          <a:r>
            <a:rPr lang="en-US" sz="1200" b="1">
              <a:solidFill>
                <a:srgbClr val="0070C0"/>
              </a:solidFill>
            </a:rPr>
            <a:t>+7,982</a:t>
          </a:r>
        </a:p>
      </xdr:txBody>
    </xdr:sp>
    <xdr:clientData/>
  </xdr:twoCellAnchor>
  <xdr:twoCellAnchor>
    <xdr:from>
      <xdr:col>0</xdr:col>
      <xdr:colOff>92177</xdr:colOff>
      <xdr:row>37</xdr:row>
      <xdr:rowOff>79888</xdr:rowOff>
    </xdr:from>
    <xdr:to>
      <xdr:col>6</xdr:col>
      <xdr:colOff>979129</xdr:colOff>
      <xdr:row>48</xdr:row>
      <xdr:rowOff>61452</xdr:rowOff>
    </xdr:to>
    <xdr:graphicFrame macro="">
      <xdr:nvGraphicFramePr>
        <xdr:cNvPr id="49" name="Chart 48">
          <a:extLst>
            <a:ext uri="{FF2B5EF4-FFF2-40B4-BE49-F238E27FC236}">
              <a16:creationId xmlns:a16="http://schemas.microsoft.com/office/drawing/2014/main" id="{9E201459-3551-4134-B6C6-EB18ABA533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0</xdr:col>
      <xdr:colOff>92178</xdr:colOff>
      <xdr:row>22</xdr:row>
      <xdr:rowOff>71693</xdr:rowOff>
    </xdr:from>
    <xdr:to>
      <xdr:col>6</xdr:col>
      <xdr:colOff>979130</xdr:colOff>
      <xdr:row>36</xdr:row>
      <xdr:rowOff>153629</xdr:rowOff>
    </xdr:to>
    <xdr:graphicFrame macro="">
      <xdr:nvGraphicFramePr>
        <xdr:cNvPr id="59" name="Chart 58">
          <a:extLst>
            <a:ext uri="{FF2B5EF4-FFF2-40B4-BE49-F238E27FC236}">
              <a16:creationId xmlns:a16="http://schemas.microsoft.com/office/drawing/2014/main" id="{F1135346-BFEE-47F8-92CE-DE37C948F66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wsDr>
</file>

<file path=xl/drawings/drawing9.xml><?xml version="1.0" encoding="utf-8"?>
<c:userShapes xmlns:c="http://schemas.openxmlformats.org/drawingml/2006/chart">
  <cdr:relSizeAnchor xmlns:cdr="http://schemas.openxmlformats.org/drawingml/2006/chartDrawing">
    <cdr:from>
      <cdr:x>0.87424</cdr:x>
      <cdr:y>0.62062</cdr:y>
    </cdr:from>
    <cdr:to>
      <cdr:x>0.97046</cdr:x>
      <cdr:y>0.68814</cdr:y>
    </cdr:to>
    <cdr:sp macro="" textlink="">
      <cdr:nvSpPr>
        <cdr:cNvPr id="3" name="Rectangle 2">
          <a:extLst xmlns:a="http://schemas.openxmlformats.org/drawingml/2006/main">
            <a:ext uri="{FF2B5EF4-FFF2-40B4-BE49-F238E27FC236}">
              <a16:creationId xmlns:a16="http://schemas.microsoft.com/office/drawing/2014/main" id="{85DE782C-CBDE-49F8-85B4-BE015557B8B5}"/>
            </a:ext>
          </a:extLst>
        </cdr:cNvPr>
        <cdr:cNvSpPr/>
      </cdr:nvSpPr>
      <cdr:spPr>
        <a:xfrm xmlns:a="http://schemas.openxmlformats.org/drawingml/2006/main">
          <a:off x="6061977" y="2002900"/>
          <a:ext cx="667150" cy="217893"/>
        </a:xfrm>
        <a:prstGeom xmlns:a="http://schemas.openxmlformats.org/drawingml/2006/main" prst="rect">
          <a:avLst/>
        </a:prstGeom>
        <a:noFill xmlns:a="http://schemas.openxmlformats.org/drawingml/2006/main"/>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tlCol="0" anchor="t"/>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r>
            <a:rPr lang="en-US" sz="1200" b="1">
              <a:solidFill>
                <a:srgbClr val="0070C0"/>
              </a:solidFill>
            </a:rPr>
            <a:t>+7,264</a:t>
          </a: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A:\Finance\Delegates\Delegate%20Per%20Diem%20Sheet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mthaw/Mee%20Mee/2.%20Information%20Management/B_%204%20W/002.%204Ws%20matrix/001.New%204%20W/2019/Data%20Entry/Core_File_Myanmar_WASH_4W_2019_Q2%20-%2017062019%20-KachinShan.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lnway/Documents/2019%20Q4%204W/SCI/SCI_File_Myanmar_WASH_4W_2019_Q4_Rakhine_Camp_20200110.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mthaw/Mee%20Mee/2.%20Information%20Management/C_Camp%20Info/2.%20CCCM%20Camp%20list/Kachin/2019/shelter-nfi-cccm_kachin_northern_shan_cluster_analysis_report_march_2019.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mthaw/Mee%20Mee/2.%20Information%20Management/J_Funding/2019/2019-Q4/20200124_Funding%20Matrix_2019_Q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mpty Sheet"/>
      <sheetName val="PD Sheet"/>
      <sheetName val="Data"/>
      <sheetName val="Sheet5"/>
      <sheetName val="Fund_Analysis_Rakhine"/>
      <sheetName val="Lookup"/>
    </sheetNames>
    <sheetDataSet>
      <sheetData sheetId="0"/>
      <sheetData sheetId="1"/>
      <sheetData sheetId="2"/>
      <sheetData sheetId="3" refreshError="1"/>
      <sheetData sheetId="4" refreshError="1"/>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uide"/>
      <sheetName val="Sheet2"/>
      <sheetName val="DATABASE"/>
      <sheetName val="Site_DB"/>
      <sheetName val="Indicator Summary  Eng"/>
      <sheetName val="Indicator Summary  MM"/>
      <sheetName val="HRP Calculations"/>
      <sheetName val="Sheet1"/>
      <sheetName val="Lookup"/>
      <sheetName val="Core_File_Myanmar_WASH_4W_2019_"/>
    </sheetNames>
    <sheetDataSet>
      <sheetData sheetId="0"/>
      <sheetData sheetId="1"/>
      <sheetData sheetId="2"/>
      <sheetData sheetId="3"/>
      <sheetData sheetId="4"/>
      <sheetData sheetId="5"/>
      <sheetData sheetId="6"/>
      <sheetData sheetId="7"/>
      <sheetData sheetId="8"/>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uide"/>
      <sheetName val="Sheet2"/>
      <sheetName val="DATABASE"/>
      <sheetName val="Site_DB"/>
      <sheetName val="HRP Calculations"/>
      <sheetName val="Indicator Summary  Eng"/>
      <sheetName val="Indicator Summary  MM"/>
      <sheetName val="Sheet1"/>
      <sheetName val="Lookup"/>
      <sheetName val="SCI_File_Myanmar_WASH_4W_2019_Q"/>
    </sheetNames>
    <sheetDataSet>
      <sheetData sheetId="0"/>
      <sheetData sheetId="1"/>
      <sheetData sheetId="2"/>
      <sheetData sheetId="3"/>
      <sheetData sheetId="4"/>
      <sheetData sheetId="5"/>
      <sheetData sheetId="6"/>
      <sheetData sheetId="7"/>
      <sheetData sheetId="8"/>
      <sheetData sheetId="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DP locations"/>
      <sheetName val="DistanceToCamp"/>
      <sheetName val="Definition"/>
      <sheetName val="Graphs"/>
      <sheetName val="IDP location Analysis"/>
      <sheetName val="CCCM Dashboard"/>
      <sheetName val="Map"/>
      <sheetName val="ForGIS"/>
      <sheetName val="Shelter Cross Check"/>
      <sheetName val="IDP locations (printable)"/>
      <sheetName val="Relocation"/>
      <sheetName val="Shelter Gap Analysis"/>
      <sheetName val="Define_TCL"/>
      <sheetName val="Shelter Coverage Camp"/>
      <sheetName val="Shelter Solution"/>
      <sheetName val="Shelter overview"/>
      <sheetName val="NFI Stock and Pipeline"/>
      <sheetName val="NFI Distributions"/>
      <sheetName val="Winter Item"/>
      <sheetName val="NFI Summary"/>
      <sheetName val="dat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me"/>
      <sheetName val="Rakhine_funding_matrix"/>
      <sheetName val="Kachin-shan_funding_matrix"/>
      <sheetName val="fund received by partners"/>
      <sheetName val="Funding Tracking"/>
      <sheetName val="Timelinebysite"/>
      <sheetName val="Sheet5"/>
      <sheetName val="Funding Tracking (2)"/>
      <sheetName val="National_Analysis by donor"/>
      <sheetName val="Sheet1"/>
      <sheetName val="National"/>
      <sheetName val="Fund_Analysis_Rakhine"/>
      <sheetName val="Fund_Analysis_Kachin-shan"/>
      <sheetName val="Rakhine Analysis 2"/>
      <sheetName val="Kachin Analysis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ow r="3">
          <cell r="D3" t="str">
            <v>Cumulative Funding Received for 2019</v>
          </cell>
          <cell r="E3" t="str">
            <v>Gap</v>
          </cell>
        </row>
        <row r="4">
          <cell r="B4" t="str">
            <v>Kachin/Shan</v>
          </cell>
          <cell r="D4">
            <v>3508767.402207436</v>
          </cell>
          <cell r="E4">
            <v>3991232.597792564</v>
          </cell>
        </row>
        <row r="5">
          <cell r="B5" t="str">
            <v>Rakhine</v>
          </cell>
          <cell r="D5">
            <v>10198493.822703928</v>
          </cell>
          <cell r="E5">
            <v>9501506.1772960722</v>
          </cell>
        </row>
        <row r="6">
          <cell r="B6" t="str">
            <v>National (Total)</v>
          </cell>
          <cell r="D6">
            <v>13707261.224911364</v>
          </cell>
          <cell r="E6">
            <v>13492738.775088636</v>
          </cell>
        </row>
      </sheetData>
      <sheetData sheetId="11" refreshError="1"/>
      <sheetData sheetId="12" refreshError="1"/>
      <sheetData sheetId="13" refreshError="1"/>
      <sheetData sheetId="14"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dministrator" refreshedDate="43858.701958217593" createdVersion="6" refreshedVersion="6" minRefreshableVersion="3" recordCount="75" xr:uid="{00000000-000A-0000-FFFF-FFFF00000000}">
  <cacheSource type="worksheet">
    <worksheetSource name="WWWW"/>
  </cacheSource>
  <cacheFields count="119">
    <cacheField name="Reporting Period" numFmtId="167">
      <sharedItems containsBlank="1" count="14">
        <s v="2019_Q2"/>
        <s v="2019_Q3"/>
        <s v="2019_Q4"/>
        <m u="1"/>
        <s v="2018-Q1" u="1"/>
        <s v="2018  Q1" u="1"/>
        <s v="2019_Q1" u="1"/>
        <s v="2018_Q1" u="1"/>
        <s v="2018_Q2" u="1"/>
        <s v="2018_Q3" u="1"/>
        <s v="2018_Q4" u="1"/>
        <s v="2017_Q3" u="1"/>
        <s v="2017_Q4" u="1"/>
        <s v="2018 -Q1" u="1"/>
      </sharedItems>
    </cacheField>
    <cacheField name="WASH project agency" numFmtId="0">
      <sharedItems containsBlank="1" count="43">
        <s v="SI"/>
        <s v="OXSI (SI)"/>
        <s v="OXSI (Oxfam)"/>
        <s v="CDA"/>
        <s v="MA_UK"/>
        <s v="DRC"/>
        <s v="SCI"/>
        <s v="RI"/>
        <s v="None"/>
        <m u="1"/>
        <s v="KBC" u="1"/>
        <s v="OXSI(Oxfam), MA_UK" u="1"/>
        <s v="KMSS" u="1"/>
        <s v="MRCS" u="1"/>
        <s v="Shalom" u="1"/>
        <s v="Metta, KMSS" u="1"/>
        <s v="MRCS,Others/ WVI" u="1"/>
        <s v="MRCS,Others,UNICEF/ACF" u="1"/>
        <s v="PIN" u="1"/>
        <s v="MRCS,others" u="1"/>
        <s v="OXSI (Oxfam),ACF" u="1"/>
        <s v="Others/ WVI" u="1"/>
        <s v="KBC, KMSS" u="1"/>
        <s v="Others,MRCS" u="1"/>
        <s v="Others" u="1"/>
        <s v="MRCS, PLAN, RI,Others" u="1"/>
        <s v="UNICEF" u="1"/>
        <s v="ACF" u="1"/>
        <s v="UNICEF,Others" u="1"/>
        <s v="MRCS, PLAN, RI" u="1"/>
        <s v="Metta" u="1"/>
        <s v="MRCS, Others" u="1"/>
        <s v="GIZ" u="1"/>
        <s v="WVI" u="1"/>
        <s v="WPN" u="1"/>
        <s v="MRCS,Others,UNICEF" u="1"/>
        <s v="CARE" u="1"/>
        <s v="CARE,Others" u="1"/>
        <s v="MRCS,UNICEF" u="1"/>
        <s v="OXSI (SI), ACF" u="1"/>
        <s v="Malteser" u="1"/>
        <s v="SCI, Metta" u="1"/>
        <s v="CDN" u="1"/>
      </sharedItems>
    </cacheField>
    <cacheField name="WASH implementing agency" numFmtId="0">
      <sharedItems containsBlank="1" count="42">
        <s v="SI"/>
        <s v="OXSI (SI)"/>
        <s v="OXSI (Oxfam)"/>
        <s v="CDA"/>
        <s v="MA_UK"/>
        <s v="DRC"/>
        <s v="SCI"/>
        <s v="RI"/>
        <s v="None"/>
        <m u="1"/>
        <s v="KBC" u="1"/>
        <s v="OXSI(Oxfam), MA_UK" u="1"/>
        <s v="KMSS" u="1"/>
        <s v="MRCS" u="1"/>
        <s v="Shalom" u="1"/>
        <s v="Metta, KMSS" u="1"/>
        <s v="MRCS,Others/ WVI" u="1"/>
        <s v="MRCS,others" u="1"/>
        <s v="Others/ WVI" u="1"/>
        <s v="KBC, KMSS" u="1"/>
        <s v="MHDO" u="1"/>
        <s v="Others,MRCS" u="1"/>
        <s v="Others" u="1"/>
        <s v="MRCS, PLAN, RI,Others" u="1"/>
        <s v="UNICEF" u="1"/>
        <s v="ACF" u="1"/>
        <s v="MRCS, ACF" u="1"/>
        <s v="UNICEF/ UNHCR/UNFPA" u="1"/>
        <s v="UNICEF,Others" u="1"/>
        <s v="WFP" u="1"/>
        <s v="MRCS, PLAN, RI" u="1"/>
        <s v="Metta" u="1"/>
        <s v="MRCS, Others" u="1"/>
        <s v="MRCS,Others,ACF" u="1"/>
        <s v="GIZ" u="1"/>
        <s v="WPN" u="1"/>
        <s v="CARE" u="1"/>
        <s v="CARE,Others" u="1"/>
        <s v="Malteser" u="1"/>
        <s v="SCI, Metta" u="1"/>
        <s v="CDN" u="1"/>
        <s v="MRCS,ACF" u="1"/>
      </sharedItems>
    </cacheField>
    <cacheField name="Primary Donor covering WASH activities at site " numFmtId="0">
      <sharedItems containsBlank="1"/>
    </cacheField>
    <cacheField name="State" numFmtId="0">
      <sharedItems containsBlank="1" count="6">
        <s v="Central Rakhine"/>
        <m u="1"/>
        <s v="Rakhine" u="1"/>
        <s v="Kachin" u="1"/>
        <s v="Northern Rakhine" u="1"/>
        <s v="Shan (North)" u="1"/>
      </sharedItems>
    </cacheField>
    <cacheField name="Township" numFmtId="0">
      <sharedItems containsBlank="1" count="41">
        <s v="Pauktaw"/>
        <s v="Sittwe"/>
        <s v="Kyaukpyu"/>
        <s v="Kyauktaw"/>
        <s v="Myebon"/>
        <m u="1"/>
        <s v="Mohyin" u="1"/>
        <s v="Kutkai" u="1"/>
        <s v="Nawnghkio" u="1"/>
        <s v="Mansi" u="1"/>
        <s v="Pangsang" u="1"/>
        <s v="Minbya" u="1"/>
        <s v="Lashio" u="1"/>
        <s v="Ann" u="1"/>
        <s v="Muse" u="1"/>
        <s v="Manton" u="1"/>
        <s v="Bhamo" u="1"/>
        <s v="Namatee" u="1"/>
        <s v="Puta-O" u="1"/>
        <s v="Buthidaung " u="1"/>
        <s v="Mogaung" u="1"/>
        <s v="Namhkan" u="1"/>
        <s v="Hsipaw" u="1"/>
        <s v="Momauk" u="1"/>
        <s v="Myitkyina" u="1"/>
        <s v="Hpakant" u="1"/>
        <s v="Maungdaw" u="1"/>
        <s v="Namtu" u="1"/>
        <s v="Ponnagyun" u="1"/>
        <s v="Hseni" u="1"/>
        <s v="Chipwi" u="1"/>
        <s v="Mohnyin" u="1"/>
        <s v="Rathedaung" u="1"/>
        <s v="Mai Ja Yang " u="1"/>
        <s v="Waingmaw" u="1"/>
        <s v="Mrauk-U" u="1"/>
        <s v="Buthidaung" u="1"/>
        <s v="Tanai" u="1"/>
        <s v="Ramree" u="1"/>
        <s v="Shwegu" u="1"/>
        <s v="Sumprabum" u="1"/>
      </sharedItems>
    </cacheField>
    <cacheField name="Location Type" numFmtId="0">
      <sharedItems count="10">
        <s v="Camp"/>
        <s v="Town_New_Displaced" u="1"/>
        <s v="Camp_not registered" u="1"/>
        <s v="Village_New_Displaced" u="1"/>
        <s v="Village" u="1"/>
        <s v="Village_Not HRP" u="1"/>
        <e v="#N/A" u="1"/>
        <s v="Town" u="1"/>
        <s v="New Site" u="1"/>
        <s v="New Temporary Site" u="1"/>
      </sharedItems>
    </cacheField>
    <cacheField name="Site Name" numFmtId="0">
      <sharedItems containsBlank="1" count="974">
        <s v="Ah Nauk Ywe"/>
        <s v="Basare"/>
        <s v="Baw Du Pha 1"/>
        <s v="Baw Du Pha 2"/>
        <s v="Baw Du Pha Village (IDP in host families)"/>
        <s v="Dar Pai"/>
        <s v="Dar Pai (IDP in host families)"/>
        <s v="Khaung Doke Khar 1"/>
        <s v="Khaung Doke Khar 2 (Hmanzi)"/>
        <s v="Kyauk Ta Lone"/>
        <s v="Kyein Ni Pyin"/>
        <s v="Maw Ti Ngar"/>
        <s v="Nget Chaung 1"/>
        <s v="Nget Chaung 2"/>
        <s v="NiDin"/>
        <s v="Ohn Taw Chay"/>
        <s v="Ohn Taw Gyi (North)"/>
        <s v="Ohn Taw Gyi (South)"/>
        <s v="Phwe Yar Kone (Say Tha Mar Gyi)"/>
        <s v="Say Tha Mar Gyi"/>
        <s v="Sin Tet Maw"/>
        <s v="Taung Paw"/>
        <s v="Thae Chaung"/>
        <s v="Thet Kae Pyin "/>
        <s v="Thet Kae Pyin Village (IDPs in host family)"/>
        <s v="Pan Wa" u="1"/>
        <m u="1"/>
        <s v="Mading Baptist Church" u="1"/>
        <s v="Ramree Town" u="1"/>
        <s v="Set Yone Su 1" u="1"/>
        <s v="Tanai KBC Church " u="1"/>
        <s v="Shwe Gu Baptist Church" u="1"/>
        <s v="Pan Law" u="1"/>
        <s v="Gyit Chaung" u="1"/>
        <s v="Let Than Chi (Ywar Thit)" u="1"/>
        <s v="Sadung" u="1"/>
        <s v="Man Wing Host Families" u="1"/>
        <s v="Tha Bauk Chaung" u="1"/>
        <s v="Nay Pu Khan" u="1"/>
        <s v="Taw Kan" u="1"/>
        <s v="Sa Pe Kong A Nauk Ywa" u="1"/>
        <s v="Sin Thi Pein Hne Taw" u="1"/>
        <s v="Nga/Pyauk Se" u="1"/>
        <s v="Naw Naw(Rakhine)" u="1"/>
        <s v="Dar Let (South)" u="1"/>
        <s v="Mang Hawng Baptist Church" u="1"/>
        <s v="Kyun Pin Thar Baptist Church" u="1"/>
        <s v="Bum Tsit Pa" u="1"/>
        <s v="Yae Hnyin Chaung" u="1"/>
        <s v="Sin Khing Baw (Primary School)" u="1"/>
        <s v="Hla Nyo Kan" u="1"/>
        <s v="Ywa Haung" u="1"/>
        <s v="Aung Taing" u="1"/>
        <s v="Pan Ta Pyae" u="1"/>
        <s v="HlaKhaing" u="1"/>
        <s v="Pyu Chaing" u="1"/>
        <s v="Taung Htaung Ha Yar" u="1"/>
        <s v="Shwe Zin Khin (Rakhine)" u="1"/>
        <s v="Shwe Thee " u="1"/>
        <s v="Hindu" u="1"/>
        <s v="Sin Kae (High School)" u="1"/>
        <s v="Cheit Taung" u="1"/>
        <s v="Ba Ra War Monastery" u="1"/>
        <s v="Sin Bo" u="1"/>
        <s v="Wah Net Yone " u="1"/>
        <s v="Zay Di Taung" u="1"/>
        <s v="Thein Taung pyin (Dine Net)" u="1"/>
        <s v="Mee Pho Kone" u="1"/>
        <s v="Tha Yet Taung" u="1"/>
        <s v="Aung Tha Pyay" u="1"/>
        <s v="Ywa Gyi (Tha Yet Kin Ma Nu)" u="1"/>
        <s v="Hpaung Taw Pyin" u="1"/>
        <s v="Ba laung Chaung" u="1"/>
        <s v="YinYeKan" u="1"/>
        <s v="Maw Htet" u="1"/>
        <s v="Zee Khaung" u="1"/>
        <s v="Hopin Host Families" u="1"/>
        <s v="Pyaing Chaung" u="1"/>
        <s v="Lambraw Yang KBC, Namatee" u="1"/>
        <s v="Zay Di Taung  ( Host + Displaced)" u="1"/>
        <s v="Chipwi KBC camp" u="1"/>
        <s v="Thin Ga Net" u="1"/>
        <s v="Pyeing Chaung" u="1"/>
        <s v="Dar Shey" u="1"/>
        <s v="Chi Laing Hpin" u="1"/>
        <s v="Let Wea Det Pyin Shey" u="1"/>
        <s v="Ywar Thit Monastery/Pan Myaung" u="1"/>
        <s v="Hpare Hkyer - BP6" u="1"/>
        <s v="Dar Paing Village" u="1"/>
        <s v="Ward 2 Sai Taung Baptist Church, Seik Mu " u="1"/>
        <s v="Let Than Chi (Haung)" u="1"/>
        <s v="Godzilla (Hteik Tu Pauk Myauk)" u="1"/>
        <s v="Kyauk Hlay Kar" u="1"/>
        <s v="Lawt Awng" u="1"/>
        <s v="Mingalar on" u="1"/>
        <s v="Zedi Pyin" u="1"/>
        <s v="Zin Kha Mar" u="1"/>
        <s v="Kyone Pyin" u="1"/>
        <s v="Mardilla" u="1"/>
        <s v="Ah Htet Gar Pu" u="1"/>
        <s v="Thar Yar Kone (M)" u="1"/>
        <s v="Lu Fan Pyin" u="1"/>
        <s v="Taik Maw" u="1"/>
        <s v="Lawa RC Church" u="1"/>
        <s v="Salang Yang" u="1"/>
        <s v="Kha Tin Pike Gyi" u="1"/>
        <s v="St. Joseph Tanai RC camp " u="1"/>
        <s v="Taung Poke Kay" u="1"/>
        <s v="Maing Khaung" u="1"/>
        <s v="Karmaing RC Church" u="1"/>
        <s v="Kyee Kan Pyin ( Temoprary Tent)" u="1"/>
        <s v="Muslim (Aley Ywa)" u="1"/>
        <s v="Kar Di" u="1"/>
        <s v="Ohn Chaung" u="1"/>
        <s v="Langui" u="1"/>
        <s v="Mai Yu Lay New (Ta'ang)" u="1"/>
        <s v="Kat Pa Kaung" u="1"/>
        <s v="Inn Chaung (Muslim)" u="1"/>
        <s v="Aung Thar Church" u="1"/>
        <s v="Nyaung Pin Gyi (Rakhine)" u="1"/>
        <s v="Dar Paing Ywar Thit" u="1"/>
        <s v="Laiza Je Yang School" u="1"/>
        <s v="War Bo" u="1"/>
        <s v="Nant Yar Gaing (Nant Yar Gaing)" u="1"/>
        <s v="Loi Je Lisu Camp" u="1"/>
        <s v="Taung Myint" u="1"/>
        <s v="Set Yone Su 3" u="1"/>
        <s v="Kyun Taw Baptist Church " u="1"/>
        <s v="Qtr. 4 Monestry (Thargaya Thayett Taw)" u="1"/>
        <s v="Sut Chyai" u="1"/>
        <s v="Laung Don (Myo)" u="1"/>
        <s v="Tha Yet Cho" u="1"/>
        <s v="Shauk Chaung" u="1"/>
        <s v="Har Ra Paing" u="1"/>
        <s v="Koe Tan Kauk" u="1"/>
        <s v="Naw Wai" u="1"/>
        <s v="Trinity KBC Church" u="1"/>
        <s v="Tanai KBC Camp" u="1"/>
        <s v="U Htoe Dan " u="1"/>
        <s v="Shwe Zar (Middle)" u="1"/>
        <s v="Kwayt Shey Ywar Thit_x000a_(Kwayt Shay)" u="1"/>
        <s v="Woi Chyai host families" u="1"/>
        <s v="Lan Gwa St.Paul RC Church" u="1"/>
        <s v="Yoe Ta Yoke" u="1"/>
        <s v="Lisu Church Namtu" u="1"/>
        <s v="Nan Kway St. John Catholic Church" u="1"/>
        <s v="Taw Tan" u="1"/>
        <s v="Agritural Compound (KBC)" u="1"/>
        <s v="Maw Staw Bis" u="1"/>
        <s v="Jan Mai Kawng Baptist Church" u="1"/>
        <s v="Woi Chyai " u="1"/>
        <s v="Ywa thit Kay" u="1"/>
        <s v="Kone Khem Camp" u="1"/>
        <s v="Ah Htet Nan Yar" u="1"/>
        <s v="Auk Thin Pone Than/ Phar Kywe" u="1"/>
        <s v="Ah Lel Mu" u="1"/>
        <s v="RAT_Zay Di Pyin" u="1"/>
        <s v="Wa Taung Camp" u="1"/>
        <s v="Maina Lawang Baptist Church" u="1"/>
        <s v="Let Wea Myan" u="1"/>
        <s v="Lun Kyaw" u="1"/>
        <s v="Kun Thee Pin" u="1"/>
        <s v="Mei Za Li Kaing" u="1"/>
        <s v="Kyauk Se" u="1"/>
        <s v="Hla May Shwe" u="1"/>
        <s v="Maw" u="1"/>
        <s v="Ma Hawng Baptist Church" u="1"/>
        <s v="Le Kone Ziun Baptist Church " u="1"/>
        <s v="Hpar Kywe Wa" u="1"/>
        <s v="Ah Nauk" u="1"/>
        <s v="Pyar" u="1"/>
        <s v="Mya Yaike Kyun" u="1"/>
        <s v="Kyaung Taung" u="1"/>
        <s v="Mi Chaung Yae Thauk" u="1"/>
        <s v="Loi Je Catholic Church" u="1"/>
        <s v="Maw Hpawng Lhaovo Baptist Church" u="1"/>
        <s v="Nam Hkam (KBC Jaw Wang) II" u="1"/>
        <s v="Gan Kya" u="1"/>
        <s v="Lone Tin" u="1"/>
        <s v="Tat Oo Anauk" u="1"/>
        <s v="Tat Kone Galile Baptist Church" u="1"/>
        <s v="Thit Tone Na Gwa Sone (Ywa Ma)" u="1"/>
        <s v="Ramree Ward 6" u="1"/>
        <s v="Bar Ri Zar" u="1"/>
        <s v="Wa Hmyaung" u="1"/>
        <s v="Kyauk Ka Lay" u="1"/>
        <s v="Mi Nyo Htaunt_Thar Si" u="1"/>
        <s v="Nyaung Na Pin " u="1"/>
        <s v="Kyar Nyo Pyin (Muslim)" u="1"/>
        <s v="Kar Hpi Chaung" u="1"/>
        <s v="MiGyaungTet" u="1"/>
        <s v="Thit Ka Toe" u="1"/>
        <s v="Kyar Nin Kan Monastery" u="1"/>
        <s v="Nga San Baw (Moke Soe Chaung) (Ywar Haung)" u="1"/>
        <s v="Ni Lin Paw" u="1"/>
        <s v="Momauk Baptist Church" u="1"/>
        <s v="Rakhine Ywa" u="1"/>
        <s v="Hta Ma Rit (Kwet Thit)" u="1"/>
        <s v="Aung Pa" u="1"/>
        <s v="Shwe Baho" u="1"/>
        <s v="Faw Tay Ali " u="1"/>
        <s v="Ah Du" u="1"/>
        <s v="Kan Pyi Tha Zi" u="1"/>
        <s v="IDP Boarding School, A Len Bum" u="1"/>
        <s v="Sabei Hla" u="1"/>
        <s v="Mandalay Monestry" u="1"/>
        <s v="PyunTo" u="1"/>
        <s v="Ta Man Thar Ah Nauk (Rakhine)" u="1"/>
        <s v="Tein Nyo" u="1"/>
        <s v="Chaung New Min Gan" u="1"/>
        <s v="Nur Ru Lar" u="1"/>
        <s v="Wa Lan Kone" u="1"/>
        <s v="Ma Ji Bum" u="1"/>
        <s v="Ngan Chaung_Gone Nar" u="1"/>
        <s v="Maga Yang " u="1"/>
        <s v="Post 6 Camp" u="1"/>
        <s v="Ta Khun Taing" u="1"/>
        <s v="Let Kauk Zay Monastery" u="1"/>
        <s v="Kyar Ma Thauk" u="1"/>
        <s v="Kyauk Yan (Rakhine)" u="1"/>
        <s v="Kyauk Yit (Rakhine)" u="1"/>
        <s v="Mungji Pa Dabang (Catholic Church)" u="1"/>
        <s v="Nga/ Pun Ywar Shey" u="1"/>
        <s v="Inn Din (Rakhine)" u="1"/>
        <s v="Chin Ywa(Pyaing Taung)" u="1"/>
        <s v="Khun Sint Village" u="1"/>
        <s v="Ba Da Nar" u="1"/>
        <s v="Kon Tan (U Daung Ah Nauk)" u="1"/>
        <s v="Oke Taung Pyin" u="1"/>
        <s v="Thein Taung pyin (Muslim)" u="1"/>
        <s v="Taung Yin" u="1"/>
        <s v="Thein Tan (Rakhine)" u="1"/>
        <s v="Kyauk Pan Du (NTL)" u="1"/>
        <s v="Tha Yet Oke Ywar Thit" u="1"/>
        <s v="Je Yang Hka " u="1"/>
        <s v="Myo Thit " u="1"/>
        <s v="Nat Maw (Upper)" u="1"/>
        <s v="Palay Taung Ywa Thit" u="1"/>
        <s v="Maliyang Baptist Church" u="1"/>
        <s v="Man Li" u="1"/>
        <s v="Ahr Kar Taung" u="1"/>
        <s v="Kyet Taw Pyin" u="1"/>
        <s v="Inn Lel Yan - Host Families" u="1"/>
        <s v="Min Gyi (Tu Lar Tu Li)" u="1"/>
        <s v="Dar Peit" u="1"/>
        <s v="Nam Hpak Ka Ta'ang" u="1"/>
        <s v="Phyar Pyin" u="1"/>
        <s v="La Mu Ta Pin" u="1"/>
        <s v="Thet Kay Pyin Ywar Ma" u="1"/>
        <s v="Kan Pyin" u="1"/>
        <s v="Thi Ho Kyun Tha Dar ( Myo/ Temporary)" u="1"/>
        <s v="Kan Pyin Ywar Thit" u="1"/>
        <s v="Maung Ni" u="1"/>
        <s v="Tin Nyo Thit Monastery" u="1"/>
        <s v="Kyauk Yit Muslim" u="1"/>
        <s v="Kan Ni" u="1"/>
        <s v="Ward (1)" u="1"/>
        <s v="Namhkan - Pang Long KBC" u="1"/>
        <s v="DPA" u="1"/>
        <s v="Ban Dang" u="1"/>
        <s v="Da Wei" u="1"/>
        <s v="Shwe Zar (North)" u="1"/>
        <s v="Mai Yu Lay Ta'ang" u="1"/>
        <s v="Ywar Gyi (Middle)" u="1"/>
        <s v="Ywar Haung Ah Htet" u="1"/>
        <s v="Me la zi Kone" u="1"/>
        <s v="Ku Lar Te" u="1"/>
        <s v="Ah Twin Hnget Thay" u="1"/>
        <s v="Bomu Ywa" u="1"/>
        <s v="Ngar Sar Kyu" u="1"/>
        <s v="Kyauk Tan Chay" u="1"/>
        <s v="Zupra" u="1"/>
        <s v="Auk Myat Hle" u="1"/>
        <s v="Ashit Ywa_M" u="1"/>
        <s v="Bar Sa Yar Host" u="1"/>
        <s v="Thein Tan (Ku Lar)" u="1"/>
        <s v="Thein Tan (Muslim)" u="1"/>
        <s v="Robert Church" u="1"/>
        <s v="Htan Shauk Khan" u="1"/>
        <s v="Kutkai downtown (KBC Church)" u="1"/>
        <s v="Thar Dar" u="1"/>
        <s v="Kha Yay Myaing (NaTaLa)" u="1"/>
        <s v="Nyaung Pin Hla" u="1"/>
        <s v="Pin Zaing" u="1"/>
        <s v="Kachin Su Baptist Church (ECCD)" u="1"/>
        <s v="Wai Thar Le" u="1"/>
        <s v="Win Su" u="1"/>
        <s v="Thu U Lar" u="1"/>
        <s v="Thar Zay Kone (Thar Zi Kone)" u="1"/>
        <s v="Aung Daing " u="1"/>
        <s v="Kauk Kyit" u="1"/>
        <s v="Ashit Ywa_R" u="1"/>
        <s v="Rakhine Ywa_R" u="1"/>
        <s v="Sin Seik" u="1"/>
        <s v="KaLarChaung" u="1"/>
        <s v="Pa Da Kar Ywar Thit" u="1"/>
        <s v="Wet Hla Middle School" u="1"/>
        <s v="Tha Yet Pyin (Rakhine)" u="1"/>
        <s v="Thay Kan (Rakhine)" u="1"/>
        <s v="Inn Chaung (Daing Net)" u="1"/>
        <s v="Chan Pyin" u="1"/>
        <s v="Nga Khu Chaung" u="1"/>
        <s v="Kywi Te" u="1"/>
        <s v="Wai Thar Li" u="1"/>
        <s v="Mee Taik" u="1"/>
        <s v="Ann Thar" u="1"/>
        <s v="Chin Ywar Min Pyin" u="1"/>
        <s v="Zee kone Tan (or) Kon Tan Zay" u="1"/>
        <s v="Hkat Cho " u="1"/>
        <s v="Done Pyin (North)" u="1"/>
        <s v="Shwe Zin Khin (Ku Lar)" u="1"/>
        <s v="Chin Pyin" u="1"/>
        <s v="Ohn Taw Shey" u="1"/>
        <s v="Nam Hkam - Nay Win Ni (Palawng)" u="1"/>
        <s v="Zaw Pu Gyer" u="1"/>
        <s v="Sar Pyin" u="1"/>
        <s v="Boe Taw monastery" u="1"/>
        <s v="Sapar Seik (Shari)" u="1"/>
        <s v="Muyin church (Aung Yar pre-school compound)" u="1"/>
        <s v="AG Church, Maw Wan" u="1"/>
        <s v="Kin Chaung" u="1"/>
        <s v="Ah Bu Gyar" u="1"/>
        <s v="Shwe Zar (west)" u="1"/>
        <s v="Teik Tu Pauk" u="1"/>
        <s v="Pyaing Taung" u="1"/>
        <s v="Hpakant Baptist Church, Nam Ma Hpit" u="1"/>
        <s v="Kan Sauk" u="1"/>
        <s v="Myauk Ywa" u="1"/>
        <s v="Mi Nyo Htaunt" u="1"/>
        <s v="Tha Yet Oke Ywar Haung" u="1"/>
        <s v="Kyauk Yit RK" u="1"/>
        <s v="Lambraw Yang Rc, Namatee" u="1"/>
        <s v="Sin Oe" u="1"/>
        <s v="Thet Kay Pyin" u="1"/>
        <s v="Ah Lar Than" u="1"/>
        <s v="Doke Kan Chaung" u="1"/>
        <s v="Honsara (Zaw Ma Tat)" u="1"/>
        <s v="Man Loi" u="1"/>
        <s v="Hpar Wut Chaung" u="1"/>
        <s v="Tanai RC Church - Kinsa Ra " u="1"/>
        <s v="Yai Mya" u="1"/>
        <s v="Let Wea Det Pyin Shey_Ywar Thit" u="1"/>
        <s v="San Thar Pyin" u="1"/>
        <s v="Pyin  Hla Zay Ywa" u="1"/>
        <s v="Galeng (Palaung) &amp; Kone Khem" u="1"/>
        <s v="Maung Ni Pyin" u="1"/>
        <s v="Ngar Yauk Kaing" u="1"/>
        <s v="Aung Thay Pyay (San Suri)" u="1"/>
        <s v="Myet Tauk" u="1"/>
        <s v="Pe Tha Du" u="1"/>
        <s v="A Lei Ywar" u="1"/>
        <s v="Nga/Tauk Tet" u="1"/>
        <s v="Pan Taw Pyin" u="1"/>
        <s v="Thit Tone Nar Gwa Son" u="1"/>
        <s v="Myoma Myauk (Chitta Ywa)" u="1"/>
        <s v="Kha Maung Seik North" u="1"/>
        <s v="Tat Kone Emanuel Church" u="1"/>
        <s v="Koe Song (2) Village" u="1"/>
        <s v="Mee Chaung Zay_Ywar Thit" u="1"/>
        <s v="Khat Pa Kaung" u="1"/>
        <s v="Bu May Ohn Daw Chay" u="1"/>
        <s v="Nam Hkam Catholic Church ( St. Thomas I)" u="1"/>
        <s v="Kyu Sot" u="1"/>
        <s v="Oe Pone" u="1"/>
        <s v="Kine Gyi (Rakhine)" u="1"/>
        <s v="Mansi Baptist Church" u="1"/>
        <s v="Min Ga Lar Ahr Sheik Kyar" u="1"/>
        <s v="Thein Tan" u="1"/>
        <s v="Shwe Hlaing Rakhine" u="1"/>
        <s v="Thone Gwa" u="1"/>
        <s v="Aung Zay Ya Monastery" u="1"/>
        <s v="Lisu Baptist Church, Maw Shan Vil,. Seik Mu" u="1"/>
        <s v="Lin Bar Gone Nar" u="1"/>
        <s v="Phan Khar Kone" u="1"/>
        <s v="Ka Yin Taw" u="1"/>
        <s v="Pyin Hpyu" u="1"/>
        <s v="Pae Tha Du " u="1"/>
        <s v="Kyan Taik" u="1"/>
        <s v="Phas Kawri" u="1"/>
        <s v="Ywar Thit Kay Monastery" u="1"/>
        <s v="Myo U" u="1"/>
        <s v="Hmanzi " u="1"/>
        <s v="Nga Pwint Gyi" u="1"/>
        <s v="Let Wea Det" u="1"/>
        <s v="Robert -Middle school" u="1"/>
        <s v="Zaw Pu Gyar" u="1"/>
        <s v="Maina AG Church" u="1"/>
        <s v="Hkau Shau (BP 12)" u="1"/>
        <s v="Htoi San Church" u="1"/>
        <s v="Than Chay (Rakhine)" u="1"/>
        <s v="Kan Hpay" u="1"/>
        <s v="Kan Thar Yar" u="1"/>
        <s v="Nyaung Pin Gyi (Ku Lar)" u="1"/>
        <s v="Jan Mai Kawng Catholic Church" u="1"/>
        <s v="Ohn Taw Gyi" u="1"/>
        <s v="Narte" u="1"/>
        <s v="Ah Nauk Pyin" u="1"/>
        <s v="Set Yone Su 3 (Mingan)" u="1"/>
        <s v="Ma La Kyun" u="1"/>
        <s v="Say Tha Ma" u="1"/>
        <s v="Bo Min Monastery" u="1"/>
        <s v="Shar Du Zut SanPya" u="1"/>
        <s v="Thae Chaung(Rakhine)" u="1"/>
        <s v="Sasana 2500 monastery" u="1"/>
        <s v="Ka Yin" u="1"/>
        <s v="Mu-yin Baptist Church" u="1"/>
        <s v="Than Shin Ywar Thit" u="1"/>
        <s v="Thin Baw Hla (Rakhine) (Thar Yar Gone)" u="1"/>
        <s v="Kyu Taw Chaing" u="1"/>
        <s v="Auk Tha Kan" u="1"/>
        <s v="Na Htoe Pyin" u="1"/>
        <s v="Phwe Yar Kone" u="1"/>
        <s v="Shaw Me (primary school)" u="1"/>
        <s v="Nga Sin Rine Kine Primary School" u="1"/>
        <s v="Tha Yet Oke" u="1"/>
        <s v="Man Sa" u="1"/>
        <s v="Bhamo_Host Families" u="1"/>
        <s v="Nam Hkam (KBC Jaw Wang)" u="1"/>
        <s v="Sin Tet Maw Rakhine(Baw Da Li)" u="1"/>
        <s v="Gwa Sone Chin" u="1"/>
        <s v="Thaing Ta Poke" u="1"/>
        <s v="Moenyin Host Families" u="1"/>
        <s v="Kha Yu Chaung (Muslim)" u="1"/>
        <s v="Ku Lar Thein" u="1"/>
        <s v="St. Patrick Catholic Church " u="1"/>
        <s v="Taung Htaung" u="1"/>
        <s v="Du Kahtawng Baptist" u="1"/>
        <s v="Nga Khu Ya (Myauk Ywar)" u="1"/>
        <s v="Shwe Tee " u="1"/>
        <s v="Ka Nyin Chaung" u="1"/>
        <s v="Yar Taik" u="1"/>
        <s v="Pale Taung" u="1"/>
        <s v="Tin Nyo (Primary school)" u="1"/>
        <s v="Yin Chaung" u="1"/>
        <s v="Ah Htet Nan Yar (Muslim)" u="1"/>
        <s v="Na Nwin Ku" u="1"/>
        <s v="Nyaung Chaung" u="1"/>
        <s v="Yai Myet Taung Ywa Thit" u="1"/>
        <s v="Shwe Zar _Hindu" u="1"/>
        <s v="Phwe Yar Gone village" u="1"/>
        <s v="Sai Nai Baptish Church, Maw Shan Vil., Seki Mu" u="1"/>
        <s v="Lan Gwa KBC Church" u="1"/>
        <s v="Let Taw Ri" u="1"/>
        <s v="Be Lar Mi" u="1"/>
        <s v="Momauk IDP new Extension camp_x000a_(Alen Kawng Lawk)" u="1"/>
        <s v="Muse Baptist Church" u="1"/>
        <s v="Sa Khan Maw" u="1"/>
        <s v="Baw Du Pha Village" u="1"/>
        <s v="Zin Baw Gaing (school)" u="1"/>
        <s v="Baptist Church, Hmaw Si Sar(Lon Khin)" u="1"/>
        <s v="Doe Tan" u="1"/>
        <s v="Kyet Mauk Taung (Myauk Ywar)" u="1"/>
        <s v="Kha Tin Paik" u="1"/>
        <s v="Hmaw Wan, Anglican" u="1"/>
        <s v="Thay Kan (Muslim)" u="1"/>
        <s v="Pyaung Chaung" u="1"/>
        <s v="Nwar Yone Taung" u="1"/>
        <s v="Nga Pha Yone" u="1"/>
        <s v="Gaung Gyi" u="1"/>
        <s v="Aung Tat Ward (Aung Zaydi Hpayar Thin)" u="1"/>
        <s v="Pyein Chaung" u="1"/>
        <s v="Pa Kahtawng " u="1"/>
        <s v="Trinity Camp" u="1"/>
        <s v="Ah Hla Sin" u="1"/>
        <s v="Za Yat Kwin" u="1"/>
        <s v="Zaw Ma Tat ( Kyine Gyi)" u="1"/>
        <s v="Nam Hpak Ka Mare " u="1"/>
        <s v="Pon Nar" u="1"/>
        <s v="Kutkhai KBC-2 (Block-6)" u="1"/>
        <s v="Ywar Gyi" u="1"/>
        <s v="Taung Htaung Hayar_Wa Lar Kan (Ku Lar)" u="1"/>
        <s v="Nga Ta Paung" u="1"/>
        <s v="Ndup Yang" u="1"/>
        <s v="Wa Lar Kan" u="1"/>
        <s v="Kha Yan Kyun" u="1"/>
        <s v="Tha Lu Chaung" u="1"/>
        <s v="Thar Si" u="1"/>
        <s v="A Lei Ywar " u="1"/>
        <s v="Sat Kyar" u="1"/>
        <s v="Mansi_Host Families" u="1"/>
        <s v="Thet Kel Pyin Village" u="1"/>
        <s v="Kyu Yaw Chaing" u="1"/>
        <s v="Seng Ja " u="1"/>
        <s v="Yae Nauk Ngar Thar" u="1"/>
        <s v="Yun Nyar" u="1"/>
        <s v="San Go Taung" u="1"/>
        <s v="NgaWetSway" u="1"/>
        <s v="Ywet Nyo Taung" u="1"/>
        <s v="Sha-It Yang" u="1"/>
        <s v="Hla Tha Ma" u="1"/>
        <s v="Oe Hpauk Ywar Thit" u="1"/>
        <s v="Wa  Lan" u="1"/>
        <s v="Gaw Yaw Ma Ni" u="1"/>
        <s v="Lisu Baptist Church" u="1"/>
        <s v="Beik Taung" u="1"/>
        <s v="U Daung (NaTaLa)" u="1"/>
        <s v="Shwe Gu Catholic Church" u="1"/>
        <s v="Gwa Sone Rakhine" u="1"/>
        <s v="Pyin Chay" u="1"/>
        <s v="Tat Kone Baptist Church" u="1"/>
        <s v="Kan Sit" u="1"/>
        <s v="Sa Par Htar" u="1"/>
        <s v="Thin Ga Zar" u="1"/>
        <s v="Thay Kan Gwa Sone ( Host)" u="1"/>
        <s v="OhnHnanChaung" u="1"/>
        <s v="Kyauk Pyin Seik" u="1"/>
        <s v="Waimaw Baptist Zonal Office 2" u="1"/>
        <s v="BUT_Sa Par Htar" u="1"/>
        <s v="Thit Pok Chaung" u="1"/>
        <s v="Kywe Ta Ma" u="1"/>
        <s v="Nga/Pun Ywar Gyi" u="1"/>
        <s v="Thea Chaung Ywar Thit Kay" u="1"/>
        <s v="Shwe Yin Aye" u="1"/>
        <s v="Waingmaw AG Church" u="1"/>
        <s v="Done Thein" u="1"/>
        <s v="Kan Kyar Myauk" u="1"/>
        <s v="Paik Thei Ward" u="1"/>
        <s v="Baw Li (Muslim)" u="1"/>
        <s v="Chut Pyin" u="1"/>
        <s v="Nawng Nan, Jaw Ma Sat KBC Church" u="1"/>
        <s v="Dway Cha" u="1"/>
        <s v="Kyauk Yant (Rakhine)" u="1"/>
        <s v="Thargaya Lisu Baptist Church" u="1"/>
        <s v="Sin Kay ( High School)" u="1"/>
        <s v="Kan Chaung Wa" u="1"/>
        <s v="Kar Di (Middle)" u="1"/>
        <s v="Thin Khaung Maw" u="1"/>
        <s v="Zin Baw Gaing (Monastery)" u="1"/>
        <s v="Zon Mar" u="1"/>
        <s v="Muse Catholic Church" u="1"/>
        <s v="Man Wing Catholic Church II" u="1"/>
        <s v="Htan Ma Rit (Kwet Thit)" u="1"/>
        <s v="Myaung Nar" u="1"/>
        <s v="KAT_Nyaung Chaung" u="1"/>
        <s v="Aung Tat Ward (Naratsar Hpayar Thin)" u="1"/>
        <s v="Hin Thar Ra" u="1"/>
        <s v="Qtr. 3 Mu-yin  Baptist Church" u="1"/>
        <s v="Sin Khone Taing" u="1"/>
        <s v="Sin U Taik" u="1"/>
        <s v="Aung Tat Ward (Dein Kyi Monastery)" u="1"/>
        <s v="Aung Tat Ward (Myo Thit Monastery)" u="1"/>
        <s v="Pyin Shey Ku lar" u="1"/>
        <s v="Pon Sar" u="1"/>
        <s v="Saw Kina Ma" u="1"/>
        <s v="Shar Du Zut RC church" u="1"/>
        <s v="Phwe Ra" u="1"/>
        <s v="Taung (Pale Taung)" u="1"/>
        <s v="Nga Let Kya" u="1"/>
        <s v="Shwe Hlaing" u="1"/>
        <s v="Shwe Yin Aye (NaTaLa)" u="1"/>
        <s v="Aung Zay Ya" u="1"/>
        <s v="Pa Dauk Myaing(Pa La Na)-II" u="1"/>
        <s v="Nam Hkawng" u="1"/>
        <s v="Nawng Hee Village" u="1"/>
        <s v="Yae Nauk Ngar Thar (Daing Nat)" u="1"/>
        <s v="Jwan Jaw KBC" u="1"/>
        <s v="That Kaing Nyar (Thet)" u="1"/>
        <s v="Tat Kone COC Baptist - Tat Kone Htoi San" u="1"/>
        <s v="Htai Ra Yang" u="1"/>
        <s v="Laung Chaung (Daing Net)" u="1"/>
        <s v="Zu Kaing" u="1"/>
        <s v="Thin Pan Kaing" u="1"/>
        <s v="Nant Ma Hpit Catholic Church" u="1"/>
        <s v="Ah Htet Nan Yar (Rakhine)" u="1"/>
        <s v="Tsan Lun - Namjarap" u="1"/>
        <s v="Nga Khu Ya" u="1"/>
        <s v="Kan Beit" u="1"/>
        <s v="Min Hla Kaing" u="1"/>
        <s v="Say Tha Mar Gyi village" u="1"/>
        <s v="Baw Du Pa" u="1"/>
        <s v="Gwa Sone (Rakhine)" u="1"/>
        <s v="Rawan Baptist Church, Maw Shan Vil., Seik Mu" u="1"/>
        <s v="Play Taung Ywa Gyi North" u="1"/>
        <s v="Ba Wan Chaung Wa Su Ward / Monastery" u="1"/>
        <s v="Pi Htu_Wa Lar Kan" u="1"/>
        <s v="Man wing gyi (host school)" u="1"/>
        <s v="Ah Shey (North) Ward" u="1"/>
        <s v="Rakhine" u="1"/>
        <s v="Ah Htet See Maung" u="1"/>
        <s v="Tha Yet Oak" u="1"/>
        <s v="Taung Min Ku Lar" u="1"/>
        <s v="Maw Hpawng Hka Nan Baptist Church" u="1"/>
        <s v="Hlaing Naung Baptist" u="1"/>
        <s v="Kyun Pauk Ku Lar" u="1"/>
        <s v="Payar Por Thain Taw Gyi Monastery" u="1"/>
        <s v="Taung Yin School Compound" u="1"/>
        <s v="Mong Wee Shan" u="1"/>
        <s v="Yet Khone Taing" u="1"/>
        <s v="Goke Pi Htaunt (Rakhine)" u="1"/>
        <s v="Thea Chaung Pyu Su" u="1"/>
        <s v="Tha Dar" u="1"/>
        <s v="Sar Hmaw - KBC" u="1"/>
        <s v="Zin Paing Nyar" u="1"/>
        <s v="MinPauk" u="1"/>
        <s v="Thin Pon Tan" u="1"/>
        <s v="Gar Pu (Lower)" u="1"/>
        <s v="Zay Teit Taung" u="1"/>
        <s v="Thone Saung" u="1"/>
        <s v="Border Post 8" u="1"/>
        <s v="Chaung Thit Monastery" u="1"/>
        <s v="Lisu Boarding-House" u="1"/>
        <s v="Say Tha Ma Gyi" u="1"/>
        <s v="Ah Htet Myat Hle" u="1"/>
        <s v="Inn Hpauk" u="1"/>
        <s v="Aung Ba La" u="1"/>
        <s v="5 Ward RC Church(lon Khin)" u="1"/>
        <s v="Let Wea Det Pyin Shey_Tha Pyay Taw" u="1"/>
        <s v="Pyin Shey" u="1"/>
        <s v="Sa Bai Pin Yin" u="1"/>
        <s v="Yat Khone Taing" u="1"/>
        <s v="Mya Ta Saung Monastery" u="1"/>
        <s v="Bethela KBC church" u="1"/>
        <s v="Kan Pyin Ywa Haung" u="1"/>
        <s v="Taung Chauk" u="1"/>
        <s v="Maw Wan, Mu-yin Baptist Church" u="1"/>
        <s v="Lung Sut" u="1"/>
        <s v="Hka Garan Yang " u="1"/>
        <s v="Kun Taung" u="1"/>
        <s v="Shwe Taung Monastery" u="1"/>
        <s v="Tauk Sone" u="1"/>
        <s v="Hpai Kawng Mare" u="1"/>
        <s v="Kan Za Li" u="1"/>
        <s v="Loi Je Baptist Church" u="1"/>
        <s v="Tote Tan Ward" u="1"/>
        <s v="Khaung Htoke" u="1"/>
        <s v="Hpar Wut Chaung (Myauk Ywar)" u="1"/>
        <s v="Mine Yu Lay village" u="1"/>
        <s v="Chaung Pauk" u="1"/>
        <s v="Lisu Baptist Church, Maw Wan Ward" u="1"/>
        <s v="Tanai AG Church" u="1"/>
        <s v="Ah Nauk Ka Maung Seik" u="1"/>
        <s v="Kin Taung (Taung + Myauk)" u="1"/>
        <s v="Lone Khin Catholic Church" u="1"/>
        <s v="Taung Chaung" u="1"/>
        <s v="Zay Di Taung (Rakhine)" u="1"/>
        <s v="Dar Let Ah Lel Kyun" u="1"/>
        <s v="Pi Pin Yin Monastery" u="1"/>
        <s v="In Bar Yi" u="1"/>
        <s v="Kone Tan" u="1"/>
        <s v="Bu May" u="1"/>
        <s v="Momauk_Host Families" u="1"/>
        <s v="Ah Lel Chaung" u="1"/>
        <s v="Aung Thay Pyay (NaTaLa)" u="1"/>
        <s v="Myo Thit Ward" u="1"/>
        <s v="ThonePetChaing" u="1"/>
        <s v="Maina KBC (Bawng Ring)" u="1"/>
        <s v="Than Chay RK" u="1"/>
        <s v="Inn Din_new village" u="1"/>
        <s v="Tan Zwei" u="1"/>
        <s v="Ray Zar Chaung" u="1"/>
        <s v="Nam Tu Baptist" u="1"/>
        <s v="Thit Taw Ywa" u="1"/>
        <s v="Man Bung Edin Baptist Church" u="1"/>
        <s v="Pajau - Jan Mai" u="1"/>
        <s v="Out Thar Kan Monastery" u="1"/>
        <s v="Dar Gyi Zar" u="1"/>
        <s v="Kyar Nyo Inn" u="1"/>
        <s v="Palae' Kaine" u="1"/>
        <s v="Yae Myet" u="1"/>
        <s v="Aung Tat Ward (Aung Mingalar Monastery)" u="1"/>
        <s v="Gwa Sone Muslim" u="1"/>
        <s v="Sin Tet Maw (Host)" u="1"/>
        <s v="Yar Tan" u="1"/>
        <s v="Ti Yang Zup" u="1"/>
        <s v="Chein Khar Li" u="1"/>
        <s v="Doke Kan Chaung Monastery" u="1"/>
        <s v="Kin Taung" u="1"/>
        <s v="Nga Ku Ya (Ku Lar)" u="1"/>
        <s v="Goke Pi Htaunt" u="1"/>
        <s v="New Pang Ku " u="1"/>
        <s v="Kyauk Yan Thar Si" u="1"/>
        <s v="Raza Bil" u="1"/>
        <s v="Sat Roe Kya 1" u="1"/>
        <s v="Man Bung Catholic compound" u="1"/>
        <s v="Kan Tha Ya" u="1"/>
        <s v="Taung Pauk" u="1"/>
        <s v="Shatapru Sut Ngai Tawng" u="1"/>
        <s v="Pyar Lay Chaung Ywar Haung" u="1"/>
        <s v="Yay Myet" u="1"/>
        <s v="Lhaovao Baptist Church (LBC)" u="1"/>
        <s v="Gye Kyaung" u="1"/>
        <s v="Mungji Pa Dabang (Baptist Church)" u="1"/>
        <s v="War Net Chun" u="1"/>
        <s v="Auk Myat Lay" u="1"/>
        <s v="InjangYang  host families" u="1"/>
        <s v="Koe Saung (1) village" u="1"/>
        <s v="Hnget Pyaw Chaung" u="1"/>
        <s v="Kan Paing Nar" u="1"/>
        <s v="Namti Labraw Yang KBC Camp" u="1"/>
        <s v="Thit Poke Chaung" u="1"/>
        <s v="Say Ti Taung " u="1"/>
        <s v="Shit Thaung Monastery" u="1"/>
        <s v="Shwe Ta Mar" u="1"/>
        <s v="Pauk Pin Yin" u="1"/>
        <s v="Taung Ywa" u="1"/>
        <s v="Maina Catholic Church (St. Joseph)" u="1"/>
        <s v="Kyee Kan Pyin ( Surrounding)" u="1"/>
        <s v="Hpon Nyo Leik" u="1"/>
        <s v="Dar Let (North)" u="1"/>
        <s v="Nan Yah Gone Ahtet" u="1"/>
        <s v="Hpun Lum Yang " u="1"/>
        <s v="Ta Gun Taing Monastery (Shwe Kyi Na)" u="1"/>
        <s v="Pa Lat Kay" u="1"/>
        <s v="Zay Di Pyin" u="1"/>
        <s v="Athay Kar La" u="1"/>
        <s v="Ah Shae Myauk Quarter" u="1"/>
        <s v="Mung Hawm " u="1"/>
        <s v="Lawk Awng Mare D. (Sinbo Area)" u="1"/>
        <s v="Win Zar" u="1"/>
        <s v="Baw Li " u="1"/>
        <s v="Baw Ya Par" u="1"/>
        <s v="Saw Zam" u="1"/>
        <s v="Gwa Sone (Muslim)" u="1"/>
        <s v="NgweTwinDway" u="1"/>
        <s v="Wa Khote Chaung" u="1"/>
        <s v="Kyar Nyo Pyin (Rakhine)_x000a_+ Pyar Yae" u="1"/>
        <s v="Alay Mushee" u="1"/>
        <s v="Sin Khone Taing (Rakhine)" u="1"/>
        <s v="Du Than Dar" u="1"/>
        <s v="Shing Jai" u="1"/>
        <s v="Mandung - Jinghpaw" u="1"/>
        <s v="Lana Zup Ja" u="1"/>
        <s v="Sin Aing" u="1"/>
        <s v="Sat Roe Kya 2" u="1"/>
        <s v="Ka Bu Dam CoC" u="1"/>
        <s v="Pyin Hpyu Maw" u="1"/>
        <s v="Pyaing Taung (Rakhine)" u="1"/>
        <s v="U Yin Thar" u="1"/>
        <s v="Ah Kyaw (Arisha Para)" u="1"/>
        <s v="Myin Kan Seik" u="1"/>
        <s v="Mine Yu Lay village ( Old)" u="1"/>
        <s v="Kyar Nyo Pyin" u="1"/>
        <s v="Nga Kyi Tauk Daing Nat" u="1"/>
        <s v="Thet Kaing Ngyar" u="1"/>
        <s v="Sin Thay Pyin (Zay Di Pyin)" u="1"/>
        <s v="Shwe Zar Kat Pa Kaung" u="1"/>
        <s v="Sumprabum" u="1"/>
        <s v="Lwegel High School" u="1"/>
        <s v="Sin Thi Pein Hne Taw (Sin Tae)" u="1"/>
        <s v="Man Hkring Baptist Church" u="1"/>
        <s v="Wa Lar Kann" u="1"/>
        <s v="Tat Kone San Pya Baptist Church" u="1"/>
        <s v="U Gar Hton" u="1"/>
        <s v="Nam Sa Larp" u="1"/>
        <s v="Tanai AG Church " u="1"/>
        <s v="Thu Yiya Yaung Chi Monastery" u="1"/>
        <s v="Namtu RC" u="1"/>
        <s v="Taung Pyo ( 3Quarter)" u="1"/>
        <s v="Kyaung Swae Phyu" u="1"/>
        <s v="Say Taung" u="1"/>
        <s v="Ywa Haung_M" u="1"/>
        <s v="Muslim (Taung Ywa)" u="1"/>
        <s v="Din Gar" u="1"/>
        <s v="Jaw Masat Camp" u="1"/>
        <s v="Baw Di Kone" u="1"/>
        <s v="Man Wing Catholic Church" u="1"/>
        <s v="Phayapaw Phayathein" u="1"/>
        <s v="Kan Kyar Taung " u="1"/>
        <s v="Sat Yon Maw (Rakhine)" u="1"/>
        <s v="Ngar Saung Bet" u="1"/>
        <s v="Nat Chaung (Garapyin)" u="1"/>
        <s v="Mingalar Nyunt (NaTaLa)" u="1"/>
        <s v="Shwe Zin Yaw" u="1"/>
        <s v="Yumar Baptist Church" u="1"/>
        <s v="Chin Church, Seik Mu" u="1"/>
        <s v="Say Tha Mar Nge" u="1"/>
        <s v="Nyaung Chaung_ann" u="1"/>
        <s v="Aung Si Kone" u="1"/>
        <s v="Le Kone Bethlehem Church" u="1"/>
        <s v="Woi Chyai (Mong Lai)" u="1"/>
        <s v="Lawng Hkang Shait Yang Camp​ ( Lel Pyin)​ " u="1"/>
        <s v="Ah Myet Taung" u="1"/>
        <s v="Sein Hnyin Pyar_Tha Pyay Taw" u="1"/>
        <s v="Njang Dung Baptist Church " u="1"/>
        <s v="Ywa Haung_R" u="1"/>
        <s v="Ywa Ma" u="1"/>
        <s v="Done Thar" u="1"/>
        <s v="Let Thar Ywa" u="1"/>
        <s v="Ah Pyin Done Chaung" u="1"/>
        <s v="War Taung" u="1"/>
        <s v="Gyin Chaung" u="1"/>
        <s v="Ma Hawng RC " u="1"/>
        <s v="Paung Zar" u="1"/>
        <s v="Wet Mee To" u="1"/>
        <s v="Dar Paing Ywar Haung" u="1"/>
        <s v="Girl Boarding house, A Len Bum" u="1"/>
        <s v="Ma Gyi Koung" u="1"/>
        <s v="Yan Aung Pyin" u="1"/>
        <s v="Tat U Chaung (West)" u="1"/>
        <s v="Ah Htet Thin Pone Tan" u="1"/>
        <s v="Pyar Pin Yin" u="1"/>
        <s v="Kar Di (Kywe Cho Maw)" u="1"/>
        <s v="Zedi Taung (Muslim)" u="1"/>
        <s v="Tin Htein Kan Monastery" u="1"/>
        <s v="Swi Chaung" u="1"/>
        <s v="Thin Pone Tan" u="1"/>
        <s v="Qtr. 2 Lhaovo Baptist Church" u="1"/>
        <s v="site A" u="1"/>
        <s v="Tan Khoe" u="1"/>
        <s v="Sha Kay Ywa" u="1"/>
        <s v="Oke Hpo (Oe Hpauk)" u="1"/>
        <s v=" Zay Ywar " u="1"/>
        <s v="Thar Yar Kone" u="1"/>
        <s v="Laung Sat" u="1"/>
        <s v="Kyauk Pan Du" u="1"/>
        <s v="Ah Nauk Ye Ku Lar" u="1"/>
        <s v="Majee Ywa" u="1"/>
        <s v="Ywa Thit" u="1"/>
        <s v="Si Tar (Pa Zun Chaung)" u="1"/>
        <s v="Tanai CoC" u="1"/>
        <s v="Nhkawng Pa " u="1"/>
        <s v="Tan Seik" u="1"/>
        <s v="Pan Myaung (Aung Mingalar Monastery)" u="1"/>
        <s v="Mandung - RC" u="1"/>
        <s v="Be Kho" u="1"/>
        <s v="Done Pyin (South)" u="1"/>
        <s v="Kyauk Tan Gyi" u="1"/>
        <s v="Sin Khone Taing (Ku Lar)" u="1"/>
        <s v="Qtr. 2 Myoma Baptist Church" u="1"/>
        <s v="Kywe Lan Chaung" u="1"/>
        <s v="Man Kaung/Naung Ti Kyar Village" u="1"/>
        <s v="Gudar Pyin" u="1"/>
        <s v="Ka Nyin Tan" u="1"/>
        <s v="Pyein Chaung (ngwe Twin Dway tract)" u="1"/>
        <s v="Baw Du Pha (IDP in host families)" u="1"/>
        <s v="Kar Di Ha Yar" u="1"/>
        <s v="Lam Bar Gone Nah" u="1"/>
        <s v="Daung Pyauk Kay" u="1"/>
        <s v="Yae Chan Pyin" u="1"/>
        <s v="Zin Khar Chay Monastery" u="1"/>
        <s v="Taungchay Ywa Muslim" u="1"/>
        <s v="Nga/ Pun Ywar Gyi" u="1"/>
        <s v="Maing Khaung Catholic Church" u="1"/>
        <s v="Nam Ma Phyit, COC" u="1"/>
        <s v="Kutkai downtown (KBC Church-2)" u="1"/>
        <s v="Ah Pauk Wa" u="1"/>
        <s v="Kyeik Chaung" u="1"/>
        <s v="AD-2000 Tharthana Compound" u="1"/>
        <s v="Hpai Kawng" u="1"/>
        <s v="Chin Kone" u="1"/>
        <s v="Maung Hpyu (Da Pyu Chaung)" u="1"/>
        <s v="Kyet Mauk Taung (Taung Ywar)" u="1"/>
        <s v="Say Oe Kya ( Host+ Displaced)" u="1"/>
        <s v="Myat Yeik Kyun Monastery" u="1"/>
        <s v="Zaw Ma Tat ( Myo/ Relocation)" u="1"/>
        <s v="Gaung Nyar" u="1"/>
        <s v="Dhama Rakhita, Nyein Chan Tar Yar Ward(Lon Khin)" u="1"/>
        <s v="Nat Gyi Kone Baptist Church " u="1"/>
        <s v="Hpa Yar Pyin Thein Tan" u="1"/>
        <s v="Navy Seik" u="1"/>
        <s v="Myet Yeik Kyun Monastery" u="1"/>
        <s v="Ywet Nyo Taung ( Rakhine)" u="1"/>
        <s v="Yay Chan Pyin" u="1"/>
        <s v="Wet Ma Kya" u="1"/>
        <s v="Myo Oo St. Dominic RC Church" u="1"/>
        <s v="Man Wing Baptist Church Cultural Compound" u="1"/>
        <s v="Min Kha Maung (NaTaLa)" u="1"/>
        <s v="Shwe Zet Baptist Church" u="1"/>
        <s v="Ywa Thar Yar" u="1"/>
        <s v="Ka Nyin Taw" u="1"/>
        <s v="Sa Ma Nya Village" u="1"/>
        <s v="Sin Baw Kaing (School)" u="1"/>
        <s v="Naw Naw(Ku Lar)" u="1"/>
        <s v="Ahla Madi" u="1"/>
        <s v="Kyauk Reik Kay Monastery" u="1"/>
        <s v="Thit Tone Na Gwa Sone (Daung Ywa)" u="1"/>
        <s v="Ngwe Taung" u="1"/>
        <s v="Tha Yet" u="1"/>
        <s v="Ban Bwee" u="1"/>
        <s v="Chaik Taung" u="1"/>
        <s v="Ywar Thit Kay" u="1"/>
        <s v="Hpet Leik" u="1"/>
        <s v="Nawng Ing (Indawgyi) Baptist Church " u="1"/>
        <s v="Hka Shi" u="1"/>
        <s v="Nam Hpak Ka Ta'ang ( Aung Tha Pyay)" u="1"/>
        <s v="Done Pyin Village" u="1"/>
        <s v="Oke Kan" u="1"/>
        <s v="Ah Lel Ywa" u="1"/>
        <s v="Mra_Zay Di Taung" u="1"/>
        <s v="Ar Kya" u="1"/>
        <s v="La Baw Zar" u="1"/>
        <s v="AG Church, Hmaw Si Sa" u="1"/>
        <s v="Emmanuel AG Church" u="1"/>
        <s v="Kyein Chaung" u="1"/>
        <s v="Kan Thar Htwat Wa" u="1"/>
        <s v="Baw Li (Rakhine)" u="1"/>
        <s v="Kyet Yoe Pyin (Ywa Ma)" u="1"/>
        <s v="War Taung Camp" u="1"/>
        <s v="Hpar Wut Chaung (Ywar Thit)" u="1"/>
        <s v="Tan Chaung" u="1"/>
        <s v="Nant Hlaing Church" u="1"/>
        <s v="Ohn Ye Paw" u="1"/>
        <s v="Gone Nar" u="1"/>
        <s v="Fatar" u="1"/>
        <s v="San Pai Pin Yin" u="1"/>
        <s v="Ngan Chaung" u="1"/>
        <s v="Phat Lake" u="1"/>
        <s v="Myaunk Ywa_R" u="1"/>
        <s v="Than Pyin" u="1"/>
        <s v="Rakhine Min Pyin" u="1"/>
        <s v="Man Wing Baptist Church" u="1"/>
        <s v="Pyaung Seik" u="1"/>
        <s v="Pang Hkawn Yang" u="1"/>
        <s v="San Htoe Tan" u="1"/>
        <s v="Thar Yar Kone (Rakhine)" u="1"/>
        <s v="Kyauk Yant" u="1"/>
        <s v="Auk Thar Kan" u="1"/>
        <s v="Bu Chaung" u="1"/>
        <s v="Thaung Paing Nyar" u="1"/>
        <s v="Thea Chaung Let Tha Mar Kone" u="1"/>
        <s v="Pyin Hlyar Shey" u="1"/>
        <s v="Koun Tan" u="1"/>
        <s v="Tha Mee Hla" u="1"/>
        <s v="Gan Gaw Myaing ( Na Ta La )" u="1"/>
        <s v="Zaw Ma Tat" u="1"/>
        <s v="Aung Thar Yar" u="1"/>
        <s v="Min Thar Seik" u="1"/>
        <s v="Sar Kon Boke (Hindu Para)" u="1"/>
        <s v="Wet Kyein (Myo)" u="1"/>
        <s v="Tha Ray Kon Baung" u="1"/>
        <s v="Namatee AG" u="1"/>
        <s v="Ward-6 (Lay Myaing)" u="1"/>
        <s v="Ka Doe Seik" u="1"/>
        <s v="Pa Dauk Myaing(Pa La Na)" u="1"/>
        <s v="Kyan Taw" u="1"/>
        <s v="Nyaung Bin Hla Village" u="1"/>
        <s v="Pann Phaw Pyin" u="1"/>
        <s v="Aung Zay Yar" u="1"/>
        <s v="AD-2000 Extension camp" u="1"/>
        <s v="Ywar Thar Yar" u="1"/>
        <s v="Kutkai downtown (RC Church)" u="1"/>
        <s v="Thea Chaung Ku Lar" u="1"/>
        <s v="Min Ga Lar Gyi" u="1"/>
        <s v="Taung Pyo ( 1 Quarter)" u="1"/>
        <s v="Taung Pyo ( 2 Quarter)" u="1"/>
        <s v="Taung Pyo ( 4 Quarter)" u="1"/>
        <s v="Taung Maw" u="1"/>
        <s v="Sin Baw Kaing (Monastery)" u="1"/>
        <s v="Shat Shar Taung" u="1"/>
        <s v="Kha Tin Pike Chay" u="1"/>
        <s v="Tang Hpre RC Church" u="1"/>
        <s v="Kyun Taw" u="1"/>
        <s v="Kyauk Sar Dine" u="1"/>
        <s v="Shwe Baho+Sein P M" u="1"/>
        <s v="Pa Dauk Myaing (Pa La Na) II" u="1"/>
        <s v="Oak Pho" u="1"/>
        <s v="Khar Nan (1) Baptist Church" u="1"/>
        <s v="Pet Khwet Seik" u="1"/>
        <s v="Aung Zay Kone" u="1"/>
        <s v="Boys Boarding house, A Len Bum" u="1"/>
        <s v="Dum Bung " u="1"/>
        <s v="Seik Ta Ra" u="1"/>
        <s v="Yoe Ngu" u="1"/>
        <s v="Aung Sit Pyin ( Done Pike)" u="1"/>
        <s v=" A Htet Myat Lay" u="1"/>
        <s v="Aung Mingalar (NaTaLa)" u="1"/>
        <s v="Aung Thar Yar (NaTaLa)" u="1"/>
        <s v="Thit Tone Nar Lay Myo" u="1"/>
        <s v="Khaung Doke Khar" u="1"/>
        <s v="Myauk Ywar" u="1"/>
        <s v="Kyauk Sar Taing" u="1"/>
        <s v="Shar Du Zut KBC church " u="1"/>
        <s v="Tha Pyay Seik" u="1"/>
        <s v="Hu Hku &amp; Ho Hko" u="1"/>
        <s v="Shan Kone" u="1"/>
        <s v="Aung Zay Ya (Su See)" u="1"/>
        <s v="Ta Man Thar (Thar Zay)_(Myo)" u="1"/>
        <s v="Zup Aung Camp" u="1"/>
        <s v="Ka Nyin" u="1"/>
        <s v="Yoe Kyi Monastery" u="1"/>
        <s v="Shatapru Thida Aye Baptist Church" u="1"/>
        <s v="Let Saung Kauk" u="1"/>
        <s v="Than Du" u="1"/>
        <s v="Yoe Ta Yote" u="1"/>
      </sharedItems>
    </cacheField>
    <cacheField name="Total HH" numFmtId="164">
      <sharedItems containsSemiMixedTypes="0" containsString="0" containsNumber="1" containsInteger="1" minValue="22" maxValue="2428"/>
    </cacheField>
    <cacheField name="Total PoP " numFmtId="164">
      <sharedItems containsSemiMixedTypes="0" containsString="0" containsNumber="1" containsInteger="1" minValue="114" maxValue="13302"/>
    </cacheField>
    <cacheField name="Project start date" numFmtId="168">
      <sharedItems containsDate="1" containsBlank="1" containsMixedTypes="1" minDate="2017-10-01T00:00:00" maxDate="2019-10-02T00:00:00"/>
    </cacheField>
    <cacheField name="Project end date" numFmtId="165">
      <sharedItems containsDate="1" containsBlank="1" containsMixedTypes="1" minDate="2019-03-30T00:00:00" maxDate="2020-10-01T00:00:00"/>
    </cacheField>
    <cacheField name="#_students at TLS_CFS" numFmtId="164">
      <sharedItems containsString="0" containsBlank="1" containsNumber="1" containsInteger="1" minValue="46" maxValue="3364"/>
    </cacheField>
    <cacheField name="#_ paid camp based WASH skilled labor" numFmtId="164">
      <sharedItems containsString="0" containsBlank="1" containsNumber="1" containsInteger="1" minValue="2" maxValue="100"/>
    </cacheField>
    <cacheField name="#_paid camp based unskilled WASH unskilled labor" numFmtId="164">
      <sharedItems containsString="0" containsBlank="1" containsNumber="1" containsInteger="1" minValue="12" maxValue="490"/>
    </cacheField>
    <cacheField name="# Work days (approx) lost in this site due to access restrictions" numFmtId="164">
      <sharedItems containsBlank="1" containsMixedTypes="1" containsNumber="1" containsInteger="1" minValue="0" maxValue="45"/>
    </cacheField>
    <cacheField name="WASH Focal in camp management structure?" numFmtId="1">
      <sharedItems containsBlank="1"/>
    </cacheField>
    <cacheField name="#_men on camp WASH team" numFmtId="164">
      <sharedItems containsString="0" containsBlank="1" containsNumber="1" containsInteger="1" minValue="2" maxValue="79"/>
    </cacheField>
    <cacheField name="#_women on camp WASH team" numFmtId="164">
      <sharedItems containsString="0" containsBlank="1" containsNumber="1" containsInteger="1" minValue="2" maxValue="57"/>
    </cacheField>
    <cacheField name="#_Functional_improved_water_source" numFmtId="164">
      <sharedItems containsString="0" containsBlank="1" containsNumber="1" containsInteger="1" minValue="0" maxValue="319"/>
    </cacheField>
    <cacheField name="#_Existing_improved_water_source" numFmtId="164">
      <sharedItems containsString="0" containsBlank="1" containsNumber="1" containsInteger="1" minValue="0" maxValue="341"/>
    </cacheField>
    <cacheField name="#_litres_of_water_supplied_by_existing_water_boating/trucking " numFmtId="164">
      <sharedItems containsString="0" containsBlank="1" containsNumber="1" containsInteger="1" minValue="0" maxValue="6466500"/>
    </cacheField>
    <cacheField name="#_litres_of_water_stored_in_ponds" numFmtId="164">
      <sharedItems containsString="0" containsBlank="1" containsNumber="1" minValue="0" maxValue="151427618.57931036"/>
    </cacheField>
    <cacheField name="#_Water samples_Tested_at_water_source" numFmtId="164">
      <sharedItems containsString="0" containsBlank="1" containsNumber="1" containsInteger="1" minValue="0" maxValue="511"/>
    </cacheField>
    <cacheField name="#_Water samples _passed_at_water source" numFmtId="164">
      <sharedItems containsString="0" containsBlank="1" containsNumber="1" containsInteger="1" minValue="0" maxValue="419"/>
    </cacheField>
    <cacheField name="#_Water samples_Tested_at_HH" numFmtId="164">
      <sharedItems containsString="0" containsBlank="1" containsNumber="1" containsInteger="1" minValue="1" maxValue="279"/>
    </cacheField>
    <cacheField name="#_Water samples _passed_at_HH" numFmtId="164">
      <sharedItems containsString="0" containsBlank="1" containsNumber="1" containsInteger="1" minValue="1" maxValue="225"/>
    </cacheField>
    <cacheField name="#_HH_receiving_HH_water_storage items" numFmtId="164">
      <sharedItems containsString="0" containsBlank="1" containsNumber="1" containsInteger="1" minValue="0" maxValue="2728"/>
    </cacheField>
    <cacheField name="Avg_repair_time for_water_points_# days" numFmtId="164">
      <sharedItems containsBlank="1" containsMixedTypes="1" containsNumber="1" containsInteger="1" minValue="2" maxValue="1850"/>
    </cacheField>
    <cacheField name="#_Functional_water_point_at_TLS/CFS" numFmtId="164">
      <sharedItems containsString="0" containsBlank="1" containsNumber="1" containsInteger="1" minValue="0" maxValue="24"/>
    </cacheField>
    <cacheField name="WATER Comment" numFmtId="49">
      <sharedItems containsBlank="1" longText="1"/>
    </cacheField>
    <cacheField name="#_Functional_adult_latrines" numFmtId="164">
      <sharedItems containsString="0" containsBlank="1" containsNumber="1" containsInteger="1" minValue="78" maxValue="758"/>
    </cacheField>
    <cacheField name="#_Existing_latrines" numFmtId="164">
      <sharedItems containsString="0" containsBlank="1" containsNumber="1" containsInteger="1" minValue="1" maxValue="778"/>
    </cacheField>
    <cacheField name="#_latrines_repaired" numFmtId="164">
      <sharedItems containsString="0" containsBlank="1" containsNumber="1" containsInteger="1" minValue="0" maxValue="399"/>
    </cacheField>
    <cacheField name="%_of_OD_within_15ft_of_latrines" numFmtId="9">
      <sharedItems containsString="0" containsBlank="1" containsNumber="1" minValue="0" maxValue="0.96"/>
    </cacheField>
    <cacheField name="#_m3_of_faecal_sludge_removed_from_camp" numFmtId="164">
      <sharedItems containsString="0" containsBlank="1" containsNumber="1" minValue="3" maxValue="3437"/>
    </cacheField>
    <cacheField name="%_of_Men_that_feel_safe_to_use_latrines_when_they_need_to_(or_at_day/night)'?" numFmtId="9">
      <sharedItems containsString="0" containsBlank="1" containsNumber="1" minValue="0.28000000000000003" maxValue="1"/>
    </cacheField>
    <cacheField name="%_of_Women_that_feel_safe_to_use_latrines_when_they_need_to_(or_at_day/night)?" numFmtId="9">
      <sharedItems containsString="0" containsBlank="1" containsNumber="1" minValue="0.03" maxValue="1"/>
    </cacheField>
    <cacheField name="%_of_Boys_that_feel_safe_to_use_latrines_when_they_need_to_(or_at_day/night)?" numFmtId="9">
      <sharedItems containsString="0" containsBlank="1" containsNumber="1" minValue="0" maxValue="1"/>
    </cacheField>
    <cacheField name="%_of_Girlss_that_feel_safe_to_use_latrines_when_they_need_to_(or_at_day/night)?" numFmtId="9">
      <sharedItems containsString="0" containsBlank="1" containsNumber="1" minValue="0" maxValue="1"/>
    </cacheField>
    <cacheField name="#_of_functional_children_latrines" numFmtId="164">
      <sharedItems containsString="0" containsBlank="1" containsNumber="1" containsInteger="1" minValue="0" maxValue="32"/>
    </cacheField>
    <cacheField name="#_of_PWD_with_adapted_sanitation_option" numFmtId="164">
      <sharedItems containsString="0" containsBlank="1" containsNumber="1" containsInteger="1" minValue="0" maxValue="114"/>
    </cacheField>
    <cacheField name="#_of_latrines_in_TLS/CFS" numFmtId="164">
      <sharedItems containsString="0" containsBlank="1" containsNumber="1" containsInteger="1" minValue="0" maxValue="53"/>
    </cacheField>
    <cacheField name="Is_there_an_effective_solid_waste_management_system_in_place?" numFmtId="164">
      <sharedItems containsBlank="1" count="3">
        <s v="Yes"/>
        <s v="No"/>
        <m u="1"/>
      </sharedItems>
    </cacheField>
    <cacheField name="SANITATION Comments " numFmtId="49">
      <sharedItems containsBlank="1" longText="1"/>
    </cacheField>
    <cacheField name="_#_of_Men_receiving_consultation_hygiene_promotion_messages_and_sessions" numFmtId="164">
      <sharedItems containsString="0" containsBlank="1" containsNumber="1" containsInteger="1" minValue="7" maxValue="3242"/>
    </cacheField>
    <cacheField name="_#_of_Women_receiving_consultation_hygiene_promotion_messages_and_sessions" numFmtId="164">
      <sharedItems containsString="0" containsBlank="1" containsNumber="1" containsInteger="1" minValue="23" maxValue="12710"/>
    </cacheField>
    <cacheField name="_#_of_Boys_receiving_consultation_hygiene_promotion_messages_and_sessions" numFmtId="164">
      <sharedItems containsString="0" containsBlank="1" containsNumber="1" containsInteger="1" minValue="0" maxValue="4279"/>
    </cacheField>
    <cacheField name="_#_of_Girls_receiving_consultation_hygiene_promotion_messages_and_sessions" numFmtId="164">
      <sharedItems containsString="0" containsBlank="1" containsNumber="1" containsInteger="1" minValue="0" maxValue="4287"/>
    </cacheField>
    <cacheField name="#_of_affected_households_receiving_a_sufficient_quantity_of_soap" numFmtId="164">
      <sharedItems containsString="0" containsBlank="1" containsNumber="1" containsInteger="1" minValue="22" maxValue="4520"/>
    </cacheField>
    <cacheField name="#_of_affected_women_and_girls_receiving_a_sufficient_quantity_of_sanitary_pads" numFmtId="164">
      <sharedItems containsString="0" containsBlank="1" containsNumber="1" containsInteger="1" minValue="40" maxValue="5897"/>
    </cacheField>
    <cacheField name="%_of_women_and_girls_who_report_that_they_have_an_adequate_system_for_disposing_of_used_sanitary_pads" numFmtId="0">
      <sharedItems containsString="0" containsBlank="1" containsNumber="1" minValue="0" maxValue="1"/>
    </cacheField>
    <cacheField name="%_of_affected_people_who_report_handwashing_at_key_times" numFmtId="0">
      <sharedItems containsString="0" containsBlank="1" containsNumber="1" minValue="0" maxValue="1"/>
    </cacheField>
    <cacheField name="%_of_households_observed_with_a_place_to_WASH_hands_with_soap_present" numFmtId="0">
      <sharedItems containsString="0" containsBlank="1" containsNumber="1" minValue="0" maxValue="0.98"/>
    </cacheField>
    <cacheField name="%_of_TLS/CFS_with_a_designated_place_for_children_to_wash_hands_where_soap_is_available" numFmtId="9">
      <sharedItems containsString="0" containsBlank="1" containsNumber="1" minValue="0" maxValue="1"/>
    </cacheField>
    <cacheField name="HYGIENE_Comments  _x000a_" numFmtId="49">
      <sharedItems containsBlank="1"/>
    </cacheField>
    <cacheField name="%_of_affected_people_surveyed_who_report_feeling_satistfied_with_the_latrine_design_and_sanitation_service" numFmtId="9">
      <sharedItems containsString="0" containsBlank="1" containsNumber="1" minValue="0.6" maxValue="1"/>
    </cacheField>
    <cacheField name="%_of_affected_people_surveyed_who_report_feeling_satistfied_with_the_water_point_design_and_water_service" numFmtId="9">
      <sharedItems containsString="0" containsBlank="1" containsNumber="1" minValue="0.77" maxValue="1"/>
    </cacheField>
    <cacheField name="#_of_affected_people_surveyed_who_report_feeling_informed_about_the_different_WASH_services_available_to_them" numFmtId="164">
      <sharedItems containsString="0" containsBlank="1" containsNumber="1" minValue="0.12" maxValue="11625"/>
    </cacheField>
    <cacheField name="%_of_complaints_received_that_result_in_timely_corrective_action_and_feedback_to_the_community" numFmtId="9">
      <sharedItems containsString="0" containsBlank="1" containsNumber="1" minValue="0.16" maxValue="1"/>
    </cacheField>
    <cacheField name="Diarrhoea_rate_per_10,000_ppl,_average_over_past_3_months_(extracted_from_EpiWeek_data_from_health)" numFmtId="0">
      <sharedItems containsBlank="1" containsMixedTypes="1" containsNumber="1" minValue="0" maxValue="0.11241217798594848"/>
    </cacheField>
    <cacheField name="Have_any_groups_been_excluded_from_access_to_WASH_facilities_because_of_the_handover?" numFmtId="0">
      <sharedItems containsBlank="1"/>
    </cacheField>
    <cacheField name="What_are_IDP's_primary_concerns_on_WASH_related_to_camp_closure?" numFmtId="49">
      <sharedItems containsBlank="1"/>
    </cacheField>
    <cacheField name="Do_you_know_who_is_responsible_to_maintain_and_repair_WASH_facilities?" numFmtId="49">
      <sharedItems containsBlank="1" longText="1"/>
    </cacheField>
    <cacheField name="%of Water samples which passed at water source" numFmtId="9">
      <sharedItems containsMixedTypes="1" containsNumber="1" minValue="0.33333333333333331" maxValue="1"/>
    </cacheField>
    <cacheField name="%Water samples which passed at HH" numFmtId="9">
      <sharedItems containsMixedTypes="1" containsNumber="1" minValue="0" maxValue="1"/>
    </cacheField>
    <cacheField name="Warter quality test done" numFmtId="1">
      <sharedItems containsBlank="1" count="3">
        <s v="Tested"/>
        <s v="No Test"/>
        <m u="1"/>
      </sharedItems>
    </cacheField>
    <cacheField name="Access to safe/improved water through improved water sources" numFmtId="9">
      <sharedItems containsSemiMixedTypes="0" containsString="0" containsNumber="1" minValue="0" maxValue="1"/>
    </cacheField>
    <cacheField name="# people with equitable and continuous access to sufficient quantity of safe drinking water" numFmtId="1">
      <sharedItems containsSemiMixedTypes="0" containsString="0" containsNumber="1" minValue="0" maxValue="13302"/>
    </cacheField>
    <cacheField name="% Access to unimproved water points" numFmtId="9">
      <sharedItems containsSemiMixedTypes="0" containsString="0" containsNumber="1" minValue="0" maxValue="1"/>
    </cacheField>
    <cacheField name="#People access to unimproved water sources" numFmtId="1">
      <sharedItems containsSemiMixedTypes="0" containsString="0" containsNumber="1" minValue="0" maxValue="6042"/>
    </cacheField>
    <cacheField name="% HRP1" numFmtId="9">
      <sharedItems containsSemiMixedTypes="0" containsString="0" containsNumber="1" minValue="0" maxValue="1"/>
    </cacheField>
    <cacheField name="HRP1" numFmtId="1">
      <sharedItems containsSemiMixedTypes="0" containsString="0" containsNumber="1" minValue="0" maxValue="13302"/>
    </cacheField>
    <cacheField name="#Water points coverage" numFmtId="1">
      <sharedItems containsSemiMixedTypes="0" containsString="0" containsNumber="1" minValue="0" maxValue="26.603999999999999"/>
    </cacheField>
    <cacheField name="%equitable and continuous access to sufficient quantity of safe drinking and domestic water's GAP" numFmtId="9">
      <sharedItems containsSemiMixedTypes="0" containsString="0" containsNumber="1" minValue="0" maxValue="1"/>
    </cacheField>
    <cacheField name="# people needs equitable and continuous access to sufficient quantity of safe drinking and domestic water GAP" numFmtId="1">
      <sharedItems containsSemiMixedTypes="0" containsString="0" containsNumber="1" minValue="0" maxValue="3432.1629629629633"/>
    </cacheField>
    <cacheField name="Total required water points" numFmtId="1">
      <sharedItems containsSemiMixedTypes="0" containsString="0" containsNumber="1" containsInteger="1" minValue="1" maxValue="27"/>
    </cacheField>
    <cacheField name="#Potential required new water points" numFmtId="1">
      <sharedItems containsSemiMixedTypes="0" containsString="0" containsNumber="1" minValue="0" maxValue="6.430325925925926"/>
    </cacheField>
    <cacheField name="% HRP2" numFmtId="9">
      <sharedItems containsSemiMixedTypes="0" containsString="0" containsNumber="1" minValue="0" maxValue="1"/>
    </cacheField>
    <cacheField name="HRP2" numFmtId="1">
      <sharedItems containsSemiMixedTypes="0" containsString="0" containsNumber="1" containsInteger="1" minValue="0" maxValue="11564"/>
    </cacheField>
    <cacheField name="# students access to functioning school latrines" numFmtId="1">
      <sharedItems containsSemiMixedTypes="0" containsString="0" containsNumber="1" containsInteger="1" minValue="0" maxValue="1600"/>
    </cacheField>
    <cacheField name="Total required Latrines" numFmtId="1">
      <sharedItems containsSemiMixedTypes="0" containsString="0" containsNumber="1" containsInteger="1" minValue="6" maxValue="665"/>
    </cacheField>
    <cacheField name="# potential required new latrines" numFmtId="1">
      <sharedItems containsSemiMixedTypes="0" containsString="0" containsNumber="1" containsInteger="1" minValue="0" maxValue="168"/>
    </cacheField>
    <cacheField name="% of Latrine Gap" numFmtId="9">
      <sharedItems containsSemiMixedTypes="0" containsString="0" containsNumber="1" minValue="0" maxValue="1"/>
    </cacheField>
    <cacheField name="% Latrines requiring  repairs" numFmtId="9">
      <sharedItems containsMixedTypes="1" containsNumber="1" minValue="-122" maxValue="0.43958868894601544"/>
    </cacheField>
    <cacheField name="# people reached by regular dedicated hygiene promotion_5" numFmtId="1">
      <sharedItems containsSemiMixedTypes="0" containsString="0" containsNumber="1" containsInteger="1" minValue="0" maxValue="13302"/>
    </cacheField>
    <cacheField name="# People with access to soap" numFmtId="1">
      <sharedItems containsSemiMixedTypes="0" containsString="0" containsNumber="1" containsInteger="1" minValue="0" maxValue="13302"/>
    </cacheField>
    <cacheField name="# People with access to Sanity Pads" numFmtId="1">
      <sharedItems containsSemiMixedTypes="0" containsString="0" containsNumber="1" containsInteger="1" minValue="0" maxValue="5897"/>
    </cacheField>
    <cacheField name="# People received regular supply of hygiene items_6" numFmtId="1">
      <sharedItems containsSemiMixedTypes="0" containsString="0" containsNumber="1" containsInteger="1" minValue="0" maxValue="13302"/>
    </cacheField>
    <cacheField name="HRP3" numFmtId="1">
      <sharedItems containsSemiMixedTypes="0" containsString="0" containsNumber="1" containsInteger="1" minValue="0" maxValue="13302"/>
    </cacheField>
    <cacheField name="Hygiene Coverage%" numFmtId="9">
      <sharedItems containsSemiMixedTypes="0" containsString="0" containsNumber="1" minValue="0" maxValue="1"/>
    </cacheField>
    <cacheField name="Hygiene Gap%" numFmtId="9">
      <sharedItems containsSemiMixedTypes="0" containsString="0" containsNumber="1" minValue="0" maxValue="1"/>
    </cacheField>
    <cacheField name="%people reached by regular dedicated hygiene promotion" numFmtId="9">
      <sharedItems containsSemiMixedTypes="0" containsString="0" containsNumber="1" minValue="0" maxValue="1"/>
    </cacheField>
    <cacheField name="%HH with access to soap" numFmtId="9">
      <sharedItems containsSemiMixedTypes="0" containsString="0" containsNumber="1" minValue="0" maxValue="1"/>
    </cacheField>
    <cacheField name="Sites with TLS" numFmtId="1">
      <sharedItems count="2">
        <s v="Yes"/>
        <s v="No"/>
      </sharedItems>
    </cacheField>
    <cacheField name="%_of_affected_people_surveyed_who_report_feeling_informed_about_the_different_WASH_services_available_to_them" numFmtId="9">
      <sharedItems containsString="0" containsBlank="1" containsNumber="1" minValue="6.3550100113171411E-3" maxValue="1"/>
    </cacheField>
    <cacheField name="CCCM Management" numFmtId="0">
      <sharedItems containsMixedTypes="1" containsNumber="1" containsInteger="1" minValue="0" maxValue="0"/>
    </cacheField>
    <cacheField name="CCCM Focal Agency" numFmtId="0">
      <sharedItems containsMixedTypes="1" containsNumber="1" containsInteger="1" minValue="0" maxValue="0"/>
    </cacheField>
    <cacheField name="Location Type 1" numFmtId="0">
      <sharedItems/>
    </cacheField>
    <cacheField name="Type of accommodation" numFmtId="0">
      <sharedItems containsMixedTypes="1" containsNumber="1" containsInteger="1" minValue="0" maxValue="0" count="5">
        <s v="Planned Camp"/>
        <s v="Host Families"/>
        <s v="Individual House"/>
        <s v="Self Settled Camp"/>
        <n v="0" u="1"/>
      </sharedItems>
    </cacheField>
    <cacheField name="Ethnic or GCA/NGCA" numFmtId="0">
      <sharedItems/>
    </cacheField>
    <cacheField name="Lat" numFmtId="0">
      <sharedItems containsSemiMixedTypes="0" containsString="0" containsNumber="1" minValue="19.424576999999999" maxValue="20.865687000000001"/>
    </cacheField>
    <cacheField name="Long" numFmtId="0">
      <sharedItems containsSemiMixedTypes="0" containsString="0" containsNumber="1" minValue="92.774193999999994" maxValue="93.512326000000002"/>
    </cacheField>
    <cacheField name="Pcode" numFmtId="0">
      <sharedItems/>
    </cacheField>
    <cacheField name="Covered" numFmtId="0">
      <sharedItems containsBlank="1" count="4">
        <s v="Covered"/>
        <s v="Notcovered"/>
        <m u="1"/>
        <e v="#REF!" u="1"/>
      </sharedItems>
    </cacheField>
    <cacheField name="# of Male_People with disabilities" numFmtId="0">
      <sharedItems containsSemiMixedTypes="0" containsString="0" containsNumber="1" containsInteger="1" minValue="0" maxValue="283"/>
    </cacheField>
    <cacheField name="# of Female_People with disabilities" numFmtId="0">
      <sharedItems containsSemiMixedTypes="0" containsString="0" containsNumber="1" containsInteger="1" minValue="0" maxValue="1333"/>
    </cacheField>
    <cacheField name="# of Total_People with disabilities" numFmtId="0">
      <sharedItems containsSemiMixedTypes="0" containsString="0" containsNumber="1" containsInteger="1" minValue="0" maxValue="1547"/>
    </cacheField>
    <cacheField name="Remark" numFmtId="0">
      <sharedItems containsNonDate="0" containsString="0" containsBlank="1"/>
    </cacheField>
    <cacheField name="Total consultations" numFmtId="0">
      <sharedItems containsString="0" containsBlank="1" containsNumber="1" minValue="52" maxValue="3054" count="37">
        <m/>
        <n v="1111"/>
        <n v="2729"/>
        <n v="3054"/>
        <n v="854"/>
        <n v="418"/>
        <n v="912"/>
        <n v="458"/>
        <n v="508.5"/>
        <n v="96"/>
        <n v="1131"/>
        <n v="1303.5"/>
        <n v="525"/>
        <n v="1696"/>
        <n v="1205"/>
        <n v="292"/>
        <n v="52"/>
        <n v="713"/>
        <n v="255"/>
        <n v="420" u="1"/>
        <n v="1052" u="1"/>
        <n v="586" u="1"/>
        <n v="1284" u="1"/>
        <n v="1180" u="1"/>
        <n v="592" u="1"/>
        <n v="1580" u="1"/>
        <n v="701" u="1"/>
        <n v="862" u="1"/>
        <n v="131" u="1"/>
        <n v="306" u="1"/>
        <n v="77" u="1"/>
        <n v="1202" u="1"/>
        <n v="1027" u="1"/>
        <n v="1808" u="1"/>
        <n v="583" u="1"/>
        <n v="2160" u="1"/>
        <n v="263" u="1"/>
      </sharedItems>
    </cacheField>
    <cacheField name="Cases of Acute watery diarrhea" numFmtId="0">
      <sharedItems containsString="0" containsBlank="1" containsNumber="1" containsInteger="1" minValue="0" maxValue="99"/>
    </cacheField>
    <cacheField name="Deaths of Acute watery diarrhea" numFmtId="0">
      <sharedItems containsString="0" containsBlank="1" containsNumber="1" containsInteger="1" minValue="0" maxValue="0"/>
    </cacheField>
    <cacheField name="% Hygiene Gap" numFmtId="0" formula=" 1-'% Hygiene Coverage'" databaseField="0"/>
    <cacheField name="% Hygiene Coverage" numFmtId="0" formula="HRP3/'Total PoP '" databaseField="0"/>
    <cacheField name="% Water Coverage" numFmtId="0" formula="HRP1/'Total PoP '" databaseField="0"/>
    <cacheField name="% Water GAP" numFmtId="0" formula=" 1-'% Water Coverage'" databaseField="0"/>
    <cacheField name="% Sanitation Coverage" numFmtId="0" formula="HRP2/'Total PoP '" databaseField="0"/>
    <cacheField name="% Sanitation GAP" numFmtId="0" formula=" 1-'% Sanitation Coverage'" databaseField="0"/>
    <cacheField name="Proportional mobidity of Acute watery diarrhea " numFmtId="0" formula="'Cases of Acute watery diarrhea'/'Total consultations'" databaseField="0"/>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5">
  <r>
    <x v="0"/>
    <x v="0"/>
    <x v="0"/>
    <s v="ECHO, OFDA, MHF"/>
    <x v="0"/>
    <x v="0"/>
    <x v="0"/>
    <x v="0"/>
    <n v="1249"/>
    <n v="4717"/>
    <s v="28/02/2018 and 28/02/2019, 01/07/2018, 01/10/2018"/>
    <s v="28/02/2019 and 28/02/2020, 30/06/2019, 30/09/2019"/>
    <n v="965"/>
    <m/>
    <m/>
    <s v=" -   "/>
    <s v="Yes"/>
    <n v="13"/>
    <n v="2"/>
    <m/>
    <n v="6"/>
    <n v="756000"/>
    <n v="978530"/>
    <n v="4"/>
    <n v="2"/>
    <n v="4"/>
    <m/>
    <m/>
    <m/>
    <m/>
    <m/>
    <n v="169"/>
    <n v="178"/>
    <n v="7"/>
    <m/>
    <m/>
    <n v="0.37"/>
    <n v="0.34"/>
    <n v="0.37"/>
    <n v="0.34"/>
    <n v="24"/>
    <n v="69"/>
    <n v="4"/>
    <x v="0"/>
    <m/>
    <m/>
    <m/>
    <m/>
    <m/>
    <n v="1244"/>
    <n v="2423"/>
    <m/>
    <m/>
    <m/>
    <n v="1"/>
    <m/>
    <n v="0.71"/>
    <m/>
    <m/>
    <m/>
    <e v="#DIV/0!"/>
    <m/>
    <m/>
    <m/>
    <n v="0.5"/>
    <n v="0"/>
    <x v="0"/>
    <n v="0.11871952512189951"/>
    <n v="560"/>
    <n v="0.15366483719250307"/>
    <n v="724.83703703703702"/>
    <n v="0.27238436231440255"/>
    <n v="1284.8370370370371"/>
    <n v="2.5696740740740744"/>
    <n v="0.72761563768559745"/>
    <n v="3432.1629629629633"/>
    <n v="9"/>
    <n v="6.430325925925926"/>
    <n v="0.87534449862200547"/>
    <n v="4129"/>
    <n v="200"/>
    <n v="236"/>
    <n v="58"/>
    <n v="0.12465550137799453"/>
    <n v="5.0561797752808987E-2"/>
    <n v="0"/>
    <n v="4717"/>
    <n v="2423"/>
    <n v="4717"/>
    <n v="4717"/>
    <n v="1"/>
    <n v="0"/>
    <n v="0"/>
    <n v="0.99599679743795033"/>
    <x v="0"/>
    <m/>
    <s v="Yes"/>
    <s v="LWF"/>
    <s v="Camp"/>
    <x v="0"/>
    <s v="Muslim"/>
    <n v="20.108101999999999"/>
    <n v="92.985095000000001"/>
    <s v="MMR012CMP016"/>
    <x v="0"/>
    <n v="79"/>
    <n v="615"/>
    <n v="694"/>
    <m/>
    <x v="0"/>
    <m/>
    <m/>
  </r>
  <r>
    <x v="0"/>
    <x v="1"/>
    <x v="1"/>
    <s v="DFID/HARP"/>
    <x v="0"/>
    <x v="1"/>
    <x v="0"/>
    <x v="1"/>
    <n v="397"/>
    <n v="2111"/>
    <m/>
    <d v="2020-09-30T00:00:00"/>
    <n v="1642"/>
    <n v="16"/>
    <n v="35"/>
    <n v="0"/>
    <s v="No"/>
    <n v="10"/>
    <n v="5"/>
    <n v="22"/>
    <n v="25"/>
    <m/>
    <m/>
    <n v="25"/>
    <n v="23"/>
    <n v="69"/>
    <n v="43"/>
    <m/>
    <m/>
    <n v="7"/>
    <m/>
    <n v="117"/>
    <n v="120"/>
    <n v="0"/>
    <n v="0.37"/>
    <n v="40"/>
    <n v="1"/>
    <n v="1"/>
    <n v="0.91"/>
    <n v="0.91"/>
    <m/>
    <m/>
    <n v="9"/>
    <x v="0"/>
    <m/>
    <n v="21"/>
    <n v="176"/>
    <n v="197"/>
    <n v="160"/>
    <n v="379"/>
    <n v="882"/>
    <m/>
    <m/>
    <m/>
    <n v="0.78"/>
    <m/>
    <m/>
    <m/>
    <n v="2111"/>
    <n v="0.5"/>
    <m/>
    <m/>
    <m/>
    <m/>
    <n v="0.92"/>
    <n v="0.62318840579710144"/>
    <x v="0"/>
    <n v="1"/>
    <n v="2111"/>
    <n v="0"/>
    <n v="0"/>
    <n v="1"/>
    <n v="2111"/>
    <n v="4.2220000000000004"/>
    <n v="0"/>
    <n v="0"/>
    <n v="4"/>
    <n v="0"/>
    <n v="1"/>
    <n v="2111"/>
    <n v="450"/>
    <n v="106"/>
    <n v="0"/>
    <n v="0"/>
    <n v="2.5000000000000001E-2"/>
    <n v="554"/>
    <n v="1895"/>
    <n v="882"/>
    <n v="1895"/>
    <n v="1895"/>
    <n v="0.89767882520132636"/>
    <n v="0.10232117479867364"/>
    <n v="0.26243486499289437"/>
    <n v="0.95465994962216627"/>
    <x v="0"/>
    <n v="1"/>
    <s v="Yes"/>
    <n v="0"/>
    <s v="Camp"/>
    <x v="0"/>
    <s v="Muslim"/>
    <n v="20.128488999999998"/>
    <n v="92.875814000000005"/>
    <s v="MMR012CMP039"/>
    <x v="0"/>
    <n v="99"/>
    <n v="287"/>
    <n v="386"/>
    <m/>
    <x v="0"/>
    <m/>
    <m/>
  </r>
  <r>
    <x v="0"/>
    <x v="1"/>
    <x v="1"/>
    <s v="DFID/HARP"/>
    <x v="0"/>
    <x v="1"/>
    <x v="0"/>
    <x v="2"/>
    <n v="1016"/>
    <n v="4892"/>
    <m/>
    <d v="2020-09-30T00:00:00"/>
    <n v="3364"/>
    <n v="49"/>
    <n v="223"/>
    <n v="0"/>
    <s v="No"/>
    <n v="16"/>
    <n v="7"/>
    <n v="39"/>
    <n v="50"/>
    <m/>
    <m/>
    <n v="3"/>
    <n v="3"/>
    <m/>
    <m/>
    <m/>
    <m/>
    <n v="6"/>
    <m/>
    <n v="169"/>
    <n v="254"/>
    <n v="150"/>
    <n v="0.8"/>
    <n v="536"/>
    <n v="0.98"/>
    <n v="0.9"/>
    <n v="0.9"/>
    <n v="0.9"/>
    <m/>
    <m/>
    <n v="15"/>
    <x v="0"/>
    <m/>
    <n v="208"/>
    <n v="817"/>
    <n v="1151"/>
    <n v="1169"/>
    <n v="1016"/>
    <n v="1602"/>
    <m/>
    <m/>
    <m/>
    <n v="0.8"/>
    <m/>
    <m/>
    <m/>
    <n v="4794.16"/>
    <n v="0.63"/>
    <e v="#DIV/0!"/>
    <m/>
    <m/>
    <m/>
    <n v="1"/>
    <s v="no test"/>
    <x v="0"/>
    <n v="1"/>
    <n v="4892"/>
    <n v="0"/>
    <n v="0"/>
    <n v="1"/>
    <n v="4892"/>
    <n v="9.7840000000000007"/>
    <n v="0"/>
    <n v="0"/>
    <n v="10"/>
    <n v="0.2159999999999993"/>
    <n v="0.84423548650858549"/>
    <n v="4130"/>
    <n v="750"/>
    <n v="245"/>
    <n v="0"/>
    <n v="0.15576451349141451"/>
    <n v="0.3346456692913386"/>
    <n v="3345"/>
    <n v="4892"/>
    <n v="1602"/>
    <n v="4892"/>
    <n v="4892"/>
    <n v="1"/>
    <n v="0"/>
    <n v="0.68376941946034342"/>
    <n v="1"/>
    <x v="0"/>
    <n v="0.98"/>
    <s v="Yes"/>
    <n v="0"/>
    <s v="Camp"/>
    <x v="0"/>
    <s v="Muslim"/>
    <n v="20.179417000000001"/>
    <n v="92.813028000000003"/>
    <s v="MMR012CMP113"/>
    <x v="0"/>
    <n v="124"/>
    <n v="410"/>
    <n v="534"/>
    <m/>
    <x v="0"/>
    <m/>
    <m/>
  </r>
  <r>
    <x v="0"/>
    <x v="1"/>
    <x v="1"/>
    <s v="DFID/HARP"/>
    <x v="0"/>
    <x v="1"/>
    <x v="0"/>
    <x v="3"/>
    <n v="1311"/>
    <n v="6936"/>
    <m/>
    <d v="2020-09-30T00:00:00"/>
    <n v="3041"/>
    <m/>
    <m/>
    <s v=" -   "/>
    <m/>
    <m/>
    <m/>
    <n v="63"/>
    <n v="80"/>
    <m/>
    <m/>
    <m/>
    <m/>
    <m/>
    <m/>
    <m/>
    <m/>
    <n v="2"/>
    <m/>
    <n v="259"/>
    <n v="328"/>
    <m/>
    <m/>
    <m/>
    <m/>
    <m/>
    <m/>
    <m/>
    <m/>
    <m/>
    <n v="13"/>
    <x v="0"/>
    <m/>
    <m/>
    <m/>
    <m/>
    <m/>
    <n v="1311"/>
    <n v="2133"/>
    <m/>
    <m/>
    <m/>
    <n v="0.85"/>
    <m/>
    <m/>
    <m/>
    <m/>
    <m/>
    <m/>
    <m/>
    <m/>
    <m/>
    <s v="no test"/>
    <s v="no test"/>
    <x v="1"/>
    <n v="1"/>
    <n v="6936"/>
    <n v="0"/>
    <n v="0"/>
    <n v="1"/>
    <n v="6936"/>
    <n v="13.872"/>
    <n v="0"/>
    <n v="0"/>
    <n v="14"/>
    <n v="0.12800000000000011"/>
    <n v="0.84054209919261824"/>
    <n v="5830"/>
    <n v="650"/>
    <n v="347"/>
    <n v="19"/>
    <n v="0.15945790080738176"/>
    <n v="0.21036585365853658"/>
    <n v="0"/>
    <n v="6936"/>
    <n v="2133"/>
    <n v="6936"/>
    <n v="6936"/>
    <n v="1"/>
    <n v="0"/>
    <n v="0"/>
    <n v="1"/>
    <x v="0"/>
    <m/>
    <s v="Yes"/>
    <n v="0"/>
    <s v="Camp"/>
    <x v="0"/>
    <s v="Muslim"/>
    <n v="20.181405999999999"/>
    <n v="92.807552000000001"/>
    <s v="MMR012CMP114"/>
    <x v="0"/>
    <n v="193"/>
    <n v="637"/>
    <n v="830"/>
    <m/>
    <x v="0"/>
    <m/>
    <m/>
  </r>
  <r>
    <x v="0"/>
    <x v="1"/>
    <x v="1"/>
    <m/>
    <x v="0"/>
    <x v="1"/>
    <x v="0"/>
    <x v="4"/>
    <n v="22"/>
    <n v="114"/>
    <m/>
    <m/>
    <n v="211"/>
    <m/>
    <m/>
    <s v=" -   "/>
    <m/>
    <m/>
    <m/>
    <m/>
    <m/>
    <m/>
    <m/>
    <m/>
    <m/>
    <m/>
    <m/>
    <m/>
    <m/>
    <n v="2"/>
    <m/>
    <m/>
    <m/>
    <m/>
    <m/>
    <m/>
    <m/>
    <m/>
    <m/>
    <m/>
    <m/>
    <m/>
    <n v="2"/>
    <x v="1"/>
    <m/>
    <m/>
    <m/>
    <m/>
    <m/>
    <n v="22"/>
    <n v="40"/>
    <m/>
    <m/>
    <m/>
    <n v="0.5"/>
    <m/>
    <m/>
    <m/>
    <m/>
    <m/>
    <m/>
    <m/>
    <m/>
    <m/>
    <s v="no test"/>
    <s v="no test"/>
    <x v="1"/>
    <n v="1"/>
    <n v="114"/>
    <n v="0"/>
    <n v="0"/>
    <n v="1"/>
    <n v="114"/>
    <n v="0.22800000000000001"/>
    <n v="0"/>
    <n v="0"/>
    <n v="1"/>
    <n v="0.77200000000000002"/>
    <n v="0.8771929824561403"/>
    <n v="100"/>
    <n v="100"/>
    <n v="6"/>
    <n v="6"/>
    <n v="0.1228070175438597"/>
    <s v="NA"/>
    <n v="0"/>
    <n v="114"/>
    <n v="40"/>
    <n v="114"/>
    <n v="114"/>
    <n v="1"/>
    <n v="0"/>
    <n v="0"/>
    <n v="1"/>
    <x v="0"/>
    <m/>
    <s v="Yes"/>
    <n v="0"/>
    <s v="Camp"/>
    <x v="1"/>
    <s v="Muslim"/>
    <n v="20.182987000000001"/>
    <n v="92.804803000000007"/>
    <s v="MMR012CMP103"/>
    <x v="0"/>
    <n v="0"/>
    <n v="0"/>
    <n v="0"/>
    <m/>
    <x v="0"/>
    <m/>
    <m/>
  </r>
  <r>
    <x v="0"/>
    <x v="1"/>
    <x v="1"/>
    <s v="DFID/HARP"/>
    <x v="0"/>
    <x v="1"/>
    <x v="0"/>
    <x v="5"/>
    <n v="2009"/>
    <n v="11625"/>
    <m/>
    <d v="2020-09-30T00:00:00"/>
    <n v="232"/>
    <n v="49"/>
    <n v="175"/>
    <n v="0"/>
    <s v="No"/>
    <n v="10"/>
    <n v="7"/>
    <n v="66"/>
    <n v="83"/>
    <m/>
    <m/>
    <m/>
    <m/>
    <m/>
    <m/>
    <m/>
    <m/>
    <n v="0"/>
    <m/>
    <n v="399"/>
    <n v="498"/>
    <n v="112"/>
    <n v="0.96"/>
    <n v="375"/>
    <n v="0.98"/>
    <n v="0.91"/>
    <n v="0.7"/>
    <n v="0.7"/>
    <n v="4"/>
    <m/>
    <n v="2"/>
    <x v="0"/>
    <m/>
    <n v="87"/>
    <n v="538"/>
    <n v="659"/>
    <n v="547"/>
    <n v="2009"/>
    <n v="3699"/>
    <m/>
    <m/>
    <m/>
    <m/>
    <m/>
    <m/>
    <m/>
    <n v="11625"/>
    <n v="0.62"/>
    <e v="#DIV/0!"/>
    <m/>
    <m/>
    <m/>
    <s v="no test"/>
    <s v="no test"/>
    <x v="1"/>
    <n v="1"/>
    <n v="11625"/>
    <n v="0"/>
    <n v="0"/>
    <n v="1"/>
    <n v="11625"/>
    <n v="23.25"/>
    <n v="0"/>
    <n v="0"/>
    <n v="23"/>
    <n v="0"/>
    <n v="0.70193548387096771"/>
    <n v="8160"/>
    <n v="100"/>
    <n v="581"/>
    <n v="83"/>
    <n v="0.29806451612903229"/>
    <n v="0.19879518072289157"/>
    <n v="1831"/>
    <n v="11625"/>
    <n v="3699"/>
    <n v="11625"/>
    <n v="11625"/>
    <n v="1"/>
    <n v="0"/>
    <n v="0.15750537634408601"/>
    <n v="1"/>
    <x v="0"/>
    <n v="1"/>
    <s v="Yes"/>
    <n v="0"/>
    <s v="Camp"/>
    <x v="0"/>
    <s v="Muslim"/>
    <n v="20.16846"/>
    <n v="92.827427"/>
    <s v="MMR012CMP041"/>
    <x v="0"/>
    <n v="92"/>
    <n v="645"/>
    <n v="737"/>
    <m/>
    <x v="0"/>
    <m/>
    <m/>
  </r>
  <r>
    <x v="0"/>
    <x v="1"/>
    <x v="1"/>
    <s v="DFID/HARP"/>
    <x v="0"/>
    <x v="1"/>
    <x v="0"/>
    <x v="6"/>
    <n v="604"/>
    <n v="3360"/>
    <m/>
    <d v="2020-09-30T00:00:00"/>
    <m/>
    <m/>
    <m/>
    <s v=" -   "/>
    <m/>
    <m/>
    <m/>
    <n v="19"/>
    <n v="20"/>
    <m/>
    <m/>
    <n v="5"/>
    <n v="5"/>
    <m/>
    <m/>
    <m/>
    <m/>
    <m/>
    <m/>
    <m/>
    <m/>
    <m/>
    <m/>
    <m/>
    <m/>
    <m/>
    <m/>
    <m/>
    <m/>
    <m/>
    <m/>
    <x v="1"/>
    <m/>
    <n v="120"/>
    <n v="333"/>
    <n v="108"/>
    <n v="102"/>
    <n v="604"/>
    <n v="1170"/>
    <m/>
    <m/>
    <m/>
    <m/>
    <m/>
    <m/>
    <m/>
    <m/>
    <m/>
    <e v="#DIV/0!"/>
    <m/>
    <m/>
    <m/>
    <n v="1"/>
    <s v="no test"/>
    <x v="0"/>
    <n v="1"/>
    <n v="3360"/>
    <n v="0"/>
    <n v="0"/>
    <n v="1"/>
    <n v="3360"/>
    <n v="6.72"/>
    <n v="0"/>
    <n v="0"/>
    <n v="7"/>
    <n v="0.28000000000000025"/>
    <n v="0"/>
    <n v="0"/>
    <n v="0"/>
    <n v="168"/>
    <n v="168"/>
    <n v="1"/>
    <s v="NA"/>
    <n v="663"/>
    <n v="3360"/>
    <n v="1170"/>
    <n v="3360"/>
    <n v="3360"/>
    <n v="1"/>
    <n v="0"/>
    <n v="0.19732142857142856"/>
    <n v="1"/>
    <x v="1"/>
    <m/>
    <s v="Yes"/>
    <n v="0"/>
    <s v="Camp"/>
    <x v="1"/>
    <s v="Muslim"/>
    <n v="20.167421999999998"/>
    <n v="92.830074999999994"/>
    <s v="MMR012CMP097"/>
    <x v="0"/>
    <n v="0"/>
    <n v="0"/>
    <n v="0"/>
    <m/>
    <x v="0"/>
    <m/>
    <m/>
  </r>
  <r>
    <x v="0"/>
    <x v="2"/>
    <x v="2"/>
    <s v="DFID/HARP"/>
    <x v="0"/>
    <x v="1"/>
    <x v="0"/>
    <x v="7"/>
    <n v="400"/>
    <n v="2248"/>
    <m/>
    <d v="2020-09-30T00:00:00"/>
    <n v="444"/>
    <n v="20"/>
    <n v="35"/>
    <n v="0"/>
    <s v="No"/>
    <n v="5"/>
    <n v="6"/>
    <n v="50"/>
    <n v="51"/>
    <m/>
    <m/>
    <n v="3"/>
    <n v="2"/>
    <n v="1"/>
    <n v="1"/>
    <m/>
    <m/>
    <n v="0"/>
    <m/>
    <n v="100"/>
    <n v="106"/>
    <n v="12"/>
    <n v="0.26"/>
    <n v="91"/>
    <n v="1"/>
    <n v="0.36"/>
    <n v="1"/>
    <n v="1"/>
    <m/>
    <m/>
    <n v="4"/>
    <x v="0"/>
    <m/>
    <n v="217"/>
    <n v="3095"/>
    <n v="0"/>
    <n v="535"/>
    <n v="400"/>
    <m/>
    <m/>
    <m/>
    <m/>
    <n v="0.5"/>
    <m/>
    <m/>
    <m/>
    <m/>
    <m/>
    <e v="#DIV/0!"/>
    <m/>
    <m/>
    <m/>
    <n v="0.66666666666666663"/>
    <n v="1"/>
    <x v="0"/>
    <n v="1"/>
    <n v="2248"/>
    <n v="0"/>
    <n v="0"/>
    <n v="1"/>
    <n v="2248"/>
    <n v="4.4960000000000004"/>
    <n v="0"/>
    <n v="0"/>
    <n v="4"/>
    <n v="0"/>
    <n v="0.97864768683274017"/>
    <n v="2200"/>
    <n v="200"/>
    <n v="112"/>
    <n v="6"/>
    <n v="2.1352313167259829E-2"/>
    <n v="5.6603773584905662E-2"/>
    <n v="2248"/>
    <n v="2248"/>
    <n v="0"/>
    <n v="2248"/>
    <n v="2248"/>
    <n v="1"/>
    <n v="0"/>
    <n v="1"/>
    <n v="1"/>
    <x v="0"/>
    <m/>
    <s v="Yes"/>
    <n v="0"/>
    <s v="Camp"/>
    <x v="0"/>
    <s v="Muslim"/>
    <n v="20.181778000000001"/>
    <n v="92.823166999999998"/>
    <s v="MMR012CMP042"/>
    <x v="0"/>
    <n v="47"/>
    <n v="312"/>
    <n v="359"/>
    <m/>
    <x v="0"/>
    <m/>
    <m/>
  </r>
  <r>
    <x v="0"/>
    <x v="1"/>
    <x v="1"/>
    <s v="DFID/HARP"/>
    <x v="0"/>
    <x v="1"/>
    <x v="0"/>
    <x v="8"/>
    <n v="400"/>
    <n v="2186"/>
    <m/>
    <d v="2020-09-30T00:00:00"/>
    <n v="357"/>
    <n v="49"/>
    <n v="169"/>
    <n v="0"/>
    <s v="No"/>
    <n v="3"/>
    <n v="2"/>
    <n v="24"/>
    <n v="28"/>
    <m/>
    <m/>
    <m/>
    <m/>
    <m/>
    <m/>
    <m/>
    <m/>
    <n v="0"/>
    <m/>
    <n v="78"/>
    <n v="104"/>
    <n v="72"/>
    <n v="0.68"/>
    <n v="67"/>
    <n v="1"/>
    <n v="0.91"/>
    <n v="1"/>
    <n v="1"/>
    <m/>
    <m/>
    <n v="3"/>
    <x v="0"/>
    <m/>
    <n v="121"/>
    <n v="438"/>
    <n v="269"/>
    <n v="400"/>
    <n v="400"/>
    <n v="670"/>
    <m/>
    <m/>
    <m/>
    <n v="1"/>
    <m/>
    <m/>
    <m/>
    <n v="2186"/>
    <n v="1"/>
    <e v="#DIV/0!"/>
    <m/>
    <m/>
    <m/>
    <s v="no test"/>
    <s v="no test"/>
    <x v="1"/>
    <n v="1"/>
    <n v="2186"/>
    <n v="0"/>
    <n v="0"/>
    <n v="1"/>
    <n v="2186"/>
    <n v="4.3719999999999999"/>
    <n v="0"/>
    <n v="0"/>
    <n v="4"/>
    <n v="0"/>
    <n v="0.78225068618481242"/>
    <n v="1710"/>
    <n v="150"/>
    <n v="109"/>
    <n v="5"/>
    <n v="0.21774931381518758"/>
    <n v="0.25"/>
    <n v="1228"/>
    <n v="2186"/>
    <n v="670"/>
    <n v="2186"/>
    <n v="2186"/>
    <n v="1"/>
    <n v="0"/>
    <n v="0.56175663311985358"/>
    <n v="1"/>
    <x v="0"/>
    <n v="1"/>
    <n v="0"/>
    <n v="0"/>
    <s v="Camp"/>
    <x v="0"/>
    <s v="Muslim"/>
    <n v="20.180194"/>
    <n v="92.816638999999995"/>
    <s v="MMR012CMP042"/>
    <x v="0"/>
    <n v="68"/>
    <n v="265"/>
    <n v="333"/>
    <m/>
    <x v="0"/>
    <m/>
    <m/>
  </r>
  <r>
    <x v="0"/>
    <x v="3"/>
    <x v="3"/>
    <s v="UNICEF"/>
    <x v="0"/>
    <x v="2"/>
    <x v="0"/>
    <x v="9"/>
    <n v="356"/>
    <n v="979"/>
    <d v="2019-03-15T00:00:00"/>
    <d v="2020-03-14T00:00:00"/>
    <n v="244"/>
    <n v="6"/>
    <n v="23"/>
    <n v="0"/>
    <s v="No"/>
    <n v="24"/>
    <n v="5"/>
    <n v="10"/>
    <n v="22"/>
    <n v="0"/>
    <n v="0"/>
    <n v="18"/>
    <n v="9"/>
    <n v="3"/>
    <n v="1"/>
    <m/>
    <m/>
    <n v="1"/>
    <m/>
    <n v="94"/>
    <n v="94"/>
    <n v="25"/>
    <n v="0"/>
    <n v="3"/>
    <n v="1"/>
    <n v="1"/>
    <n v="1"/>
    <n v="1"/>
    <m/>
    <m/>
    <n v="10"/>
    <x v="0"/>
    <m/>
    <n v="557"/>
    <n v="511"/>
    <n v="0"/>
    <n v="0"/>
    <n v="356"/>
    <n v="360"/>
    <n v="0"/>
    <m/>
    <n v="0.8"/>
    <n v="0.95"/>
    <m/>
    <m/>
    <m/>
    <m/>
    <m/>
    <m/>
    <s v="Yes"/>
    <s v="Hand washing with soap activity, to get safe water from mixing with chlorine tablets, personal grooming and hygiene activities, good practice of waste management system"/>
    <s v="Camp Managemtnt Committee members, some Volunteers will maintain and repair WASH facilities."/>
    <n v="0.5"/>
    <n v="0.33333333333333331"/>
    <x v="0"/>
    <n v="1"/>
    <n v="979"/>
    <n v="0"/>
    <n v="0"/>
    <n v="1"/>
    <n v="979"/>
    <n v="1.958"/>
    <n v="0"/>
    <n v="0"/>
    <n v="2"/>
    <n v="4.2000000000000037E-2"/>
    <n v="1"/>
    <n v="979"/>
    <n v="244"/>
    <n v="49"/>
    <n v="0"/>
    <n v="0"/>
    <n v="0"/>
    <n v="979"/>
    <n v="979"/>
    <n v="360"/>
    <n v="979"/>
    <n v="979"/>
    <n v="1"/>
    <n v="0"/>
    <n v="1"/>
    <n v="1"/>
    <x v="0"/>
    <m/>
    <s v="Yes"/>
    <s v="UNHCR"/>
    <s v="Camp"/>
    <x v="0"/>
    <s v="Muslim"/>
    <n v="19.424576999999999"/>
    <n v="93.512326000000002"/>
    <s v="MMR012CMP035"/>
    <x v="0"/>
    <n v="0"/>
    <n v="0"/>
    <n v="0"/>
    <m/>
    <x v="0"/>
    <m/>
    <m/>
  </r>
  <r>
    <x v="0"/>
    <x v="0"/>
    <x v="0"/>
    <s v="UNICEF"/>
    <x v="0"/>
    <x v="0"/>
    <x v="0"/>
    <x v="10"/>
    <n v="1320"/>
    <n v="6042"/>
    <d v="2018-12-01T00:00:00"/>
    <d v="2019-11-30T00:00:00"/>
    <n v="1412"/>
    <m/>
    <n v="121"/>
    <s v=" -   "/>
    <s v="Yes"/>
    <m/>
    <m/>
    <n v="3"/>
    <n v="3"/>
    <n v="693000"/>
    <n v="22567549"/>
    <m/>
    <m/>
    <m/>
    <m/>
    <m/>
    <m/>
    <m/>
    <m/>
    <n v="184"/>
    <n v="184"/>
    <n v="0"/>
    <m/>
    <m/>
    <m/>
    <m/>
    <m/>
    <m/>
    <n v="0"/>
    <m/>
    <n v="5"/>
    <x v="0"/>
    <m/>
    <n v="76"/>
    <n v="94"/>
    <n v="76"/>
    <n v="94"/>
    <n v="1327"/>
    <n v="3023"/>
    <m/>
    <m/>
    <m/>
    <m/>
    <m/>
    <m/>
    <m/>
    <m/>
    <m/>
    <e v="#DIV/0!"/>
    <m/>
    <m/>
    <m/>
    <s v="no test"/>
    <s v="no test"/>
    <x v="1"/>
    <n v="0.33322299459340177"/>
    <n v="2013.3333333333335"/>
    <n v="1"/>
    <n v="6042"/>
    <n v="1"/>
    <n v="6042"/>
    <n v="12.084"/>
    <n v="0"/>
    <n v="0"/>
    <n v="12"/>
    <n v="0"/>
    <n v="0.6504468718967229"/>
    <n v="3930"/>
    <n v="250"/>
    <n v="302"/>
    <n v="118"/>
    <n v="0.3495531281032771"/>
    <n v="0"/>
    <n v="340"/>
    <n v="6042"/>
    <n v="3023"/>
    <n v="6042"/>
    <n v="6042"/>
    <n v="1"/>
    <n v="0"/>
    <n v="5.6272757365110893E-2"/>
    <n v="1"/>
    <x v="0"/>
    <m/>
    <s v="Yes"/>
    <s v="DRC"/>
    <s v="Camp"/>
    <x v="0"/>
    <s v="Muslim"/>
    <n v="20.090183"/>
    <n v="93.010368999999997"/>
    <s v="MMR012CMP018"/>
    <x v="0"/>
    <n v="116"/>
    <n v="1129"/>
    <n v="1245"/>
    <m/>
    <x v="0"/>
    <m/>
    <m/>
  </r>
  <r>
    <x v="0"/>
    <x v="2"/>
    <x v="2"/>
    <s v="DFID/HARP"/>
    <x v="0"/>
    <x v="1"/>
    <x v="0"/>
    <x v="11"/>
    <n v="656"/>
    <n v="3486"/>
    <m/>
    <d v="2020-09-30T00:00:00"/>
    <n v="1142"/>
    <n v="49"/>
    <n v="115"/>
    <n v="0"/>
    <s v="No"/>
    <n v="8"/>
    <n v="7"/>
    <n v="30"/>
    <n v="36"/>
    <m/>
    <m/>
    <n v="2"/>
    <n v="2"/>
    <m/>
    <m/>
    <m/>
    <m/>
    <n v="1"/>
    <m/>
    <n v="179"/>
    <n v="241"/>
    <n v="81"/>
    <n v="0.28999999999999998"/>
    <n v="108"/>
    <n v="1"/>
    <n v="0.53"/>
    <n v="0.76"/>
    <n v="0.76"/>
    <m/>
    <m/>
    <n v="2"/>
    <x v="0"/>
    <m/>
    <n v="358"/>
    <n v="1571"/>
    <n v="437"/>
    <n v="1138"/>
    <n v="656"/>
    <m/>
    <m/>
    <m/>
    <m/>
    <n v="1"/>
    <m/>
    <m/>
    <m/>
    <m/>
    <m/>
    <e v="#DIV/0!"/>
    <m/>
    <m/>
    <m/>
    <n v="1"/>
    <s v="no test"/>
    <x v="0"/>
    <n v="1"/>
    <n v="3486"/>
    <n v="0"/>
    <n v="0"/>
    <n v="1"/>
    <n v="3486"/>
    <n v="6.9720000000000004"/>
    <n v="0"/>
    <n v="0"/>
    <n v="7"/>
    <n v="2.7999999999999581E-2"/>
    <n v="1"/>
    <n v="3486"/>
    <n v="100"/>
    <n v="174"/>
    <n v="0"/>
    <n v="0"/>
    <n v="0.25726141078838172"/>
    <n v="3486"/>
    <n v="3486"/>
    <n v="0"/>
    <n v="3486"/>
    <n v="3486"/>
    <n v="1"/>
    <n v="0"/>
    <n v="1"/>
    <n v="1"/>
    <x v="0"/>
    <m/>
    <s v="Yes"/>
    <n v="0"/>
    <s v="Camp"/>
    <x v="0"/>
    <s v="Muslim"/>
    <n v="20.185917"/>
    <n v="92.831000000000003"/>
    <s v="MMR012CMP092"/>
    <x v="0"/>
    <n v="62"/>
    <n v="335"/>
    <n v="397"/>
    <m/>
    <x v="0"/>
    <m/>
    <m/>
  </r>
  <r>
    <x v="0"/>
    <x v="0"/>
    <x v="0"/>
    <s v="ECHO, OFDA, MHF"/>
    <x v="0"/>
    <x v="0"/>
    <x v="0"/>
    <x v="12"/>
    <n v="1010"/>
    <n v="4645"/>
    <s v="28/02/2018 and 28/02/2019, 01/07/2018, 01/10/2018"/>
    <s v="28/02/2019 and 28/02/2020, 30/06/2019, 30/09/2019"/>
    <n v="968"/>
    <m/>
    <m/>
    <s v=" -   "/>
    <s v="Yes"/>
    <n v="8"/>
    <n v="3"/>
    <m/>
    <m/>
    <m/>
    <n v="8586779"/>
    <n v="0"/>
    <m/>
    <n v="8"/>
    <n v="4"/>
    <n v="1010"/>
    <m/>
    <m/>
    <m/>
    <n v="86"/>
    <n v="89"/>
    <n v="3"/>
    <m/>
    <m/>
    <n v="0.37"/>
    <n v="0.23"/>
    <n v="0.37"/>
    <n v="0.23"/>
    <n v="5"/>
    <n v="54"/>
    <n v="4"/>
    <x v="0"/>
    <m/>
    <n v="80"/>
    <n v="80"/>
    <n v="80"/>
    <n v="80"/>
    <n v="1010"/>
    <n v="2354"/>
    <m/>
    <m/>
    <m/>
    <m/>
    <m/>
    <n v="0.6"/>
    <m/>
    <m/>
    <m/>
    <e v="#DIV/0!"/>
    <m/>
    <m/>
    <m/>
    <s v="no test"/>
    <n v="0.5"/>
    <x v="0"/>
    <n v="0"/>
    <n v="0"/>
    <n v="1"/>
    <n v="4645"/>
    <n v="1"/>
    <n v="4645"/>
    <n v="9.2899999999999991"/>
    <n v="0"/>
    <n v="0"/>
    <n v="9"/>
    <n v="0"/>
    <n v="0.44650161463939719"/>
    <n v="2074"/>
    <n v="200"/>
    <n v="232"/>
    <n v="143"/>
    <n v="0.55349838536060281"/>
    <n v="3.3707865168539325E-2"/>
    <n v="320"/>
    <n v="4645"/>
    <n v="2354"/>
    <n v="4645"/>
    <n v="4645"/>
    <n v="1"/>
    <n v="0"/>
    <n v="6.8891280947255107E-2"/>
    <n v="1"/>
    <x v="0"/>
    <m/>
    <s v="Yes"/>
    <s v="LWF"/>
    <s v="Camp"/>
    <x v="2"/>
    <s v="Muslim"/>
    <n v="20.073437999999999"/>
    <n v="93.154551999999995"/>
    <s v="MMR012CMP017"/>
    <x v="0"/>
    <n v="194"/>
    <n v="735"/>
    <n v="929"/>
    <m/>
    <x v="0"/>
    <m/>
    <m/>
  </r>
  <r>
    <x v="0"/>
    <x v="0"/>
    <x v="0"/>
    <s v="ECHO, OFDA, MHF"/>
    <x v="0"/>
    <x v="0"/>
    <x v="0"/>
    <x v="13"/>
    <n v="905"/>
    <n v="4104"/>
    <s v="28/02/2018 and 28/02/2019, 01/07/2018, 01/10/2018"/>
    <s v="28/02/2019 and 28/02/2020, 30/06/2019, 30/09/2019"/>
    <n v="1261"/>
    <m/>
    <m/>
    <s v=" -   "/>
    <s v="Yes"/>
    <n v="11"/>
    <n v="2"/>
    <m/>
    <n v="5"/>
    <n v="283500"/>
    <n v="3385336"/>
    <n v="4"/>
    <n v="4"/>
    <n v="4"/>
    <m/>
    <m/>
    <m/>
    <m/>
    <m/>
    <n v="120"/>
    <n v="125"/>
    <n v="5"/>
    <m/>
    <m/>
    <n v="0.28000000000000003"/>
    <n v="0.69"/>
    <n v="0.28000000000000003"/>
    <n v="0.69"/>
    <n v="16"/>
    <n v="103"/>
    <n v="4"/>
    <x v="0"/>
    <m/>
    <n v="7"/>
    <n v="23"/>
    <n v="7"/>
    <n v="23"/>
    <n v="905"/>
    <n v="2067"/>
    <m/>
    <m/>
    <m/>
    <m/>
    <m/>
    <n v="0.97"/>
    <m/>
    <m/>
    <m/>
    <e v="#DIV/0!"/>
    <m/>
    <m/>
    <m/>
    <n v="1"/>
    <n v="0"/>
    <x v="0"/>
    <n v="5.1169590643274851E-2"/>
    <n v="210"/>
    <n v="0.61102736264529645"/>
    <n v="2507.6562962962967"/>
    <n v="0.66219695328857131"/>
    <n v="2717.6562962962967"/>
    <n v="5.4353125925925934"/>
    <n v="0.33780304671142869"/>
    <n v="1386.3437037037033"/>
    <n v="8"/>
    <n v="2.5646874074074066"/>
    <n v="0.73659844054580892"/>
    <n v="3023"/>
    <n v="200"/>
    <n v="205"/>
    <n v="80"/>
    <n v="0.26340155945419108"/>
    <n v="0.04"/>
    <n v="60"/>
    <n v="4104"/>
    <n v="2067"/>
    <n v="4104"/>
    <n v="4104"/>
    <n v="1"/>
    <n v="0"/>
    <n v="1.4619883040935672E-2"/>
    <n v="1"/>
    <x v="0"/>
    <m/>
    <s v="Yes"/>
    <s v="LWF"/>
    <s v="Camp"/>
    <x v="0"/>
    <s v="Muslim"/>
    <n v="20.073437999999999"/>
    <n v="93.154551999999995"/>
    <s v="MMR012CMP017"/>
    <x v="0"/>
    <n v="112"/>
    <n v="643"/>
    <n v="755"/>
    <m/>
    <x v="0"/>
    <m/>
    <m/>
  </r>
  <r>
    <x v="0"/>
    <x v="4"/>
    <x v="4"/>
    <s v="UMCOR"/>
    <x v="0"/>
    <x v="3"/>
    <x v="0"/>
    <x v="14"/>
    <n v="91"/>
    <n v="581"/>
    <m/>
    <d v="2019-03-30T00:00:00"/>
    <m/>
    <m/>
    <m/>
    <m/>
    <m/>
    <m/>
    <m/>
    <m/>
    <m/>
    <m/>
    <m/>
    <m/>
    <m/>
    <m/>
    <m/>
    <m/>
    <m/>
    <m/>
    <m/>
    <n v="91"/>
    <n v="91"/>
    <m/>
    <m/>
    <m/>
    <m/>
    <m/>
    <m/>
    <m/>
    <m/>
    <m/>
    <m/>
    <x v="1"/>
    <m/>
    <m/>
    <m/>
    <m/>
    <m/>
    <m/>
    <m/>
    <m/>
    <m/>
    <m/>
    <m/>
    <m/>
    <m/>
    <m/>
    <m/>
    <m/>
    <m/>
    <m/>
    <m/>
    <m/>
    <s v="no test"/>
    <s v="no test"/>
    <x v="1"/>
    <n v="1"/>
    <n v="581"/>
    <n v="0"/>
    <n v="0"/>
    <n v="1"/>
    <n v="581"/>
    <n v="1.1619999999999999"/>
    <n v="0"/>
    <n v="0"/>
    <n v="1"/>
    <n v="0"/>
    <n v="1"/>
    <n v="581"/>
    <n v="0"/>
    <n v="29"/>
    <n v="0"/>
    <n v="0"/>
    <n v="0"/>
    <n v="0"/>
    <n v="0"/>
    <n v="0"/>
    <n v="0"/>
    <n v="0"/>
    <n v="0"/>
    <n v="1"/>
    <n v="0"/>
    <n v="0"/>
    <x v="1"/>
    <m/>
    <s v="Yes"/>
    <n v="0"/>
    <s v="Camp"/>
    <x v="3"/>
    <s v="Muslim"/>
    <n v="20.865687000000001"/>
    <n v="92.965980999999999"/>
    <s v="MMR012CMP023"/>
    <x v="0"/>
    <n v="0"/>
    <n v="0"/>
    <n v="0"/>
    <m/>
    <x v="0"/>
    <m/>
    <m/>
  </r>
  <r>
    <x v="0"/>
    <x v="2"/>
    <x v="2"/>
    <s v="DFID/HARP"/>
    <x v="0"/>
    <x v="1"/>
    <x v="0"/>
    <x v="15"/>
    <n v="673"/>
    <n v="3095"/>
    <m/>
    <d v="2020-09-30T00:00:00"/>
    <n v="681"/>
    <n v="20"/>
    <n v="35"/>
    <n v="0"/>
    <s v="No"/>
    <n v="7"/>
    <n v="7"/>
    <n v="54"/>
    <n v="68"/>
    <m/>
    <m/>
    <n v="111"/>
    <n v="98"/>
    <n v="150"/>
    <n v="77"/>
    <m/>
    <m/>
    <n v="3"/>
    <m/>
    <n v="170"/>
    <n v="175"/>
    <n v="16"/>
    <n v="0.03"/>
    <n v="138"/>
    <n v="1"/>
    <n v="0.86"/>
    <n v="0.2"/>
    <n v="0.2"/>
    <m/>
    <m/>
    <n v="0"/>
    <x v="0"/>
    <m/>
    <n v="742"/>
    <n v="1684"/>
    <n v="0"/>
    <n v="430"/>
    <n v="779"/>
    <m/>
    <m/>
    <m/>
    <m/>
    <n v="0"/>
    <m/>
    <m/>
    <m/>
    <m/>
    <m/>
    <e v="#DIV/0!"/>
    <m/>
    <m/>
    <m/>
    <n v="0.88288288288288286"/>
    <n v="0.51333333333333331"/>
    <x v="0"/>
    <n v="1"/>
    <n v="3095"/>
    <n v="0"/>
    <n v="0"/>
    <n v="1"/>
    <n v="3095"/>
    <n v="6.19"/>
    <n v="0"/>
    <n v="0"/>
    <n v="6"/>
    <n v="0"/>
    <n v="1"/>
    <n v="3095"/>
    <n v="0"/>
    <n v="155"/>
    <n v="0"/>
    <n v="0"/>
    <n v="2.8571428571428571E-2"/>
    <n v="2856"/>
    <n v="3095"/>
    <n v="0"/>
    <n v="3095"/>
    <n v="3095"/>
    <n v="1"/>
    <n v="0"/>
    <n v="0.92277867528271407"/>
    <n v="1"/>
    <x v="0"/>
    <m/>
    <s v="Yes"/>
    <n v="0"/>
    <s v="Camp"/>
    <x v="0"/>
    <s v="Muslim"/>
    <n v="20.206778"/>
    <n v="92.774193999999994"/>
    <s v="MMR012CMP098"/>
    <x v="0"/>
    <n v="12"/>
    <n v="359"/>
    <n v="371"/>
    <m/>
    <x v="0"/>
    <m/>
    <m/>
  </r>
  <r>
    <x v="0"/>
    <x v="2"/>
    <x v="2"/>
    <s v="DFID/HARP"/>
    <x v="0"/>
    <x v="1"/>
    <x v="0"/>
    <x v="16"/>
    <n v="2428"/>
    <n v="13302"/>
    <m/>
    <d v="2020-09-30T00:00:00"/>
    <n v="500"/>
    <n v="100"/>
    <n v="230"/>
    <n v="0"/>
    <s v="No"/>
    <n v="26"/>
    <n v="37"/>
    <n v="120"/>
    <n v="146"/>
    <m/>
    <m/>
    <n v="177"/>
    <n v="161"/>
    <n v="242"/>
    <n v="151"/>
    <m/>
    <m/>
    <m/>
    <m/>
    <n v="436"/>
    <n v="778"/>
    <n v="50"/>
    <n v="0.12"/>
    <n v="485"/>
    <n v="0.91"/>
    <n v="0.03"/>
    <n v="0.06"/>
    <n v="0.06"/>
    <m/>
    <m/>
    <n v="3"/>
    <x v="0"/>
    <m/>
    <n v="886"/>
    <n v="8330"/>
    <n v="1096"/>
    <n v="2441"/>
    <n v="2728"/>
    <m/>
    <m/>
    <m/>
    <m/>
    <n v="1"/>
    <m/>
    <m/>
    <m/>
    <m/>
    <m/>
    <e v="#DIV/0!"/>
    <m/>
    <m/>
    <m/>
    <n v="0.90960451977401124"/>
    <n v="0.62396694214876036"/>
    <x v="0"/>
    <n v="1"/>
    <n v="13302"/>
    <n v="0"/>
    <n v="0"/>
    <n v="1"/>
    <n v="13302"/>
    <n v="26.603999999999999"/>
    <n v="0"/>
    <n v="0"/>
    <n v="27"/>
    <n v="0.3960000000000008"/>
    <n v="0.66681701999699294"/>
    <n v="8870"/>
    <n v="150"/>
    <n v="665"/>
    <n v="0"/>
    <n v="0.33318298000300706"/>
    <n v="0.43958868894601544"/>
    <n v="12753"/>
    <n v="13302"/>
    <n v="0"/>
    <n v="13302"/>
    <n v="13302"/>
    <n v="1"/>
    <n v="0"/>
    <n v="0.95872801082543979"/>
    <n v="1"/>
    <x v="0"/>
    <m/>
    <s v="Yes"/>
    <n v="0"/>
    <s v="Camp"/>
    <x v="0"/>
    <s v="Muslim"/>
    <n v="20.18994"/>
    <n v="92.798880999999994"/>
    <s v="MMR012CMP115"/>
    <x v="0"/>
    <n v="214"/>
    <n v="1333"/>
    <n v="1547"/>
    <m/>
    <x v="0"/>
    <m/>
    <m/>
  </r>
  <r>
    <x v="0"/>
    <x v="5"/>
    <x v="5"/>
    <s v="MHF,EU"/>
    <x v="0"/>
    <x v="1"/>
    <x v="0"/>
    <x v="17"/>
    <n v="2260"/>
    <n v="11487"/>
    <s v="1-March-2019_x000a_1-March-2019"/>
    <s v="31-July-2019_x000a_31-Oct-2019"/>
    <n v="549"/>
    <n v="9"/>
    <n v="126"/>
    <n v="2"/>
    <s v="Yes"/>
    <n v="78"/>
    <n v="57"/>
    <n v="290"/>
    <n v="324"/>
    <m/>
    <m/>
    <n v="511"/>
    <n v="246"/>
    <n v="89"/>
    <n v="15"/>
    <m/>
    <n v="43"/>
    <n v="0"/>
    <s v="According to the water analysis, _x000a_the contamination of (16%)water source is higher than household level(14%)"/>
    <n v="299"/>
    <n v="523"/>
    <m/>
    <n v="0.5"/>
    <n v="640"/>
    <n v="1"/>
    <n v="0.98"/>
    <n v="0.96"/>
    <n v="0.82"/>
    <n v="32"/>
    <n v="46"/>
    <n v="3"/>
    <x v="0"/>
    <s v="According to the report, 50% of open defecation occurred and emptied of the pits are less than demands. Two of delduging activities were delayed due to the landowner issues faced by partner._x000a_"/>
    <n v="969"/>
    <n v="1216"/>
    <n v="701"/>
    <n v="912"/>
    <n v="4520"/>
    <n v="3427"/>
    <n v="0.46"/>
    <n v="0.99"/>
    <n v="0.82"/>
    <n v="0.67"/>
    <m/>
    <n v="0.95"/>
    <n v="0.93"/>
    <n v="73"/>
    <n v="0.65"/>
    <m/>
    <s v="No"/>
    <s v="Operation and maintenance"/>
    <s v="DRC,CMCs"/>
    <n v="0.48140900195694714"/>
    <n v="0.16853932584269662"/>
    <x v="0"/>
    <n v="1"/>
    <n v="11487"/>
    <n v="0"/>
    <n v="0"/>
    <n v="1"/>
    <n v="11487"/>
    <n v="22.974"/>
    <n v="0"/>
    <n v="0"/>
    <n v="23"/>
    <n v="2.5999999999999801E-2"/>
    <n v="0.5933664142073648"/>
    <n v="6816"/>
    <n v="150"/>
    <n v="574"/>
    <n v="51"/>
    <n v="0.4066335857926352"/>
    <n v="0.42829827915869984"/>
    <n v="3798"/>
    <n v="11487"/>
    <n v="3427"/>
    <n v="11487"/>
    <n v="11487"/>
    <n v="1"/>
    <n v="0"/>
    <n v="0.33063463045181507"/>
    <n v="1"/>
    <x v="0"/>
    <n v="6.3550100113171411E-3"/>
    <s v="Yes"/>
    <n v="0"/>
    <s v="Camp"/>
    <x v="0"/>
    <s v="Muslim"/>
    <n v="20.185092000000001"/>
    <n v="92.802295999999998"/>
    <s v="MMR012CMP116"/>
    <x v="0"/>
    <n v="218"/>
    <n v="1169"/>
    <n v="1387"/>
    <m/>
    <x v="0"/>
    <m/>
    <m/>
  </r>
  <r>
    <x v="0"/>
    <x v="5"/>
    <x v="5"/>
    <s v="MHF,EU"/>
    <x v="0"/>
    <x v="1"/>
    <x v="0"/>
    <x v="18"/>
    <n v="400"/>
    <n v="2285"/>
    <s v="1-March-2019_x000a_1-March-2019"/>
    <s v="31-July-2019_x000a_31-Oct-2019"/>
    <n v="46"/>
    <n v="7"/>
    <n v="34"/>
    <n v="2"/>
    <s v="No"/>
    <n v="25"/>
    <n v="19"/>
    <n v="56"/>
    <n v="58"/>
    <m/>
    <m/>
    <n v="173"/>
    <n v="95"/>
    <n v="127"/>
    <n v="49"/>
    <m/>
    <n v="28"/>
    <m/>
    <s v="According to the water analysis, _x000a_the contamination of (16%)water source is less than household level(33%)"/>
    <n v="124"/>
    <n v="124"/>
    <n v="82"/>
    <n v="0.28000000000000003"/>
    <n v="665.6"/>
    <n v="0.8"/>
    <n v="0.96"/>
    <n v="1"/>
    <n v="0.82"/>
    <n v="0"/>
    <n v="10"/>
    <n v="3"/>
    <x v="0"/>
    <s v="According to the report, assuming that emptied of the pits are met demands._x000a_"/>
    <n v="127"/>
    <n v="293"/>
    <n v="130"/>
    <n v="170"/>
    <n v="800"/>
    <n v="423"/>
    <n v="0.47"/>
    <n v="0.98"/>
    <n v="0.98"/>
    <m/>
    <m/>
    <n v="0.93"/>
    <n v="0.95"/>
    <n v="86"/>
    <n v="0.51"/>
    <e v="#DIV/0!"/>
    <s v="No"/>
    <s v="Operation and maintenance"/>
    <s v="DRC,CMCs"/>
    <n v="0.54913294797687862"/>
    <n v="0.38582677165354329"/>
    <x v="0"/>
    <n v="1"/>
    <n v="2285"/>
    <n v="0"/>
    <n v="0"/>
    <n v="1"/>
    <n v="2285"/>
    <n v="4.57"/>
    <n v="0"/>
    <n v="0"/>
    <n v="5"/>
    <n v="0.42999999999999972"/>
    <n v="1"/>
    <n v="2285"/>
    <n v="46"/>
    <n v="114"/>
    <n v="0"/>
    <n v="0"/>
    <n v="0"/>
    <n v="720"/>
    <n v="2285"/>
    <n v="423"/>
    <n v="2285"/>
    <n v="2285"/>
    <n v="1"/>
    <n v="0"/>
    <n v="0.31509846827133481"/>
    <n v="1"/>
    <x v="0"/>
    <n v="3.7636761487964986E-2"/>
    <n v="0"/>
    <n v="0"/>
    <s v="Camp"/>
    <x v="0"/>
    <s v="Muslim"/>
    <n v="20.207284999999999"/>
    <n v="92.788177000000005"/>
    <s v="MMR012CMP045"/>
    <x v="0"/>
    <n v="0"/>
    <n v="0"/>
    <n v="0"/>
    <m/>
    <x v="0"/>
    <m/>
    <m/>
  </r>
  <r>
    <x v="0"/>
    <x v="2"/>
    <x v="2"/>
    <s v="DFID/HARP"/>
    <x v="0"/>
    <x v="1"/>
    <x v="0"/>
    <x v="19"/>
    <n v="2280"/>
    <n v="11564"/>
    <m/>
    <d v="2020-09-30T00:00:00"/>
    <n v="1444"/>
    <n v="49"/>
    <n v="115"/>
    <n v="0"/>
    <s v="No"/>
    <n v="43"/>
    <n v="29"/>
    <n v="156"/>
    <n v="185"/>
    <m/>
    <m/>
    <m/>
    <m/>
    <m/>
    <m/>
    <m/>
    <m/>
    <n v="13"/>
    <m/>
    <n v="469"/>
    <n v="520"/>
    <n v="76"/>
    <n v="0.39"/>
    <n v="304"/>
    <n v="1"/>
    <n v="0.73"/>
    <n v="0"/>
    <n v="0"/>
    <m/>
    <m/>
    <n v="53"/>
    <x v="0"/>
    <m/>
    <n v="618"/>
    <n v="8179"/>
    <n v="838"/>
    <n v="2947"/>
    <n v="2280"/>
    <m/>
    <m/>
    <m/>
    <m/>
    <n v="1"/>
    <m/>
    <m/>
    <m/>
    <m/>
    <m/>
    <e v="#DIV/0!"/>
    <m/>
    <m/>
    <m/>
    <s v="no test"/>
    <s v="no test"/>
    <x v="1"/>
    <n v="1"/>
    <n v="11564"/>
    <n v="0"/>
    <n v="0"/>
    <n v="1"/>
    <n v="11564"/>
    <n v="23.128"/>
    <n v="0"/>
    <n v="0"/>
    <n v="23"/>
    <n v="0"/>
    <n v="1"/>
    <n v="11564"/>
    <n v="1444"/>
    <n v="578"/>
    <n v="58"/>
    <n v="0"/>
    <n v="9.8076923076923075E-2"/>
    <n v="11564"/>
    <n v="11564"/>
    <n v="0"/>
    <n v="11564"/>
    <n v="11564"/>
    <n v="1"/>
    <n v="0"/>
    <n v="1"/>
    <n v="1"/>
    <x v="0"/>
    <m/>
    <s v="Yes"/>
    <n v="0"/>
    <s v="Camp"/>
    <x v="0"/>
    <s v="Muslim"/>
    <n v="20.202525000000001"/>
    <n v="92.792479999999998"/>
    <s v="MMR012CMP045"/>
    <x v="0"/>
    <n v="116"/>
    <n v="1099"/>
    <n v="1215"/>
    <m/>
    <x v="0"/>
    <m/>
    <m/>
  </r>
  <r>
    <x v="0"/>
    <x v="6"/>
    <x v="6"/>
    <s v="OFDA"/>
    <x v="0"/>
    <x v="0"/>
    <x v="0"/>
    <x v="20"/>
    <n v="744"/>
    <n v="2805"/>
    <d v="2019-04-01T00:00:00"/>
    <d v="2020-03-31T00:00:00"/>
    <n v="209"/>
    <n v="2"/>
    <n v="15"/>
    <n v="0"/>
    <s v="Yes"/>
    <n v="13"/>
    <n v="5"/>
    <n v="23"/>
    <n v="24"/>
    <n v="3703500"/>
    <m/>
    <n v="0"/>
    <m/>
    <n v="79"/>
    <n v="64"/>
    <m/>
    <n v="3"/>
    <n v="2"/>
    <s v="in this days there is no using water point execting there but distribution from water point."/>
    <n v="356"/>
    <n v="358"/>
    <n v="32"/>
    <m/>
    <n v="50"/>
    <m/>
    <m/>
    <m/>
    <m/>
    <m/>
    <m/>
    <n v="3"/>
    <x v="0"/>
    <m/>
    <n v="1223"/>
    <n v="2464"/>
    <n v="1014"/>
    <n v="1120"/>
    <n v="744"/>
    <n v="588"/>
    <m/>
    <m/>
    <m/>
    <n v="1"/>
    <m/>
    <m/>
    <m/>
    <m/>
    <m/>
    <e v="#DIV/0!"/>
    <m/>
    <m/>
    <m/>
    <s v="no test"/>
    <n v="0.810126582278481"/>
    <x v="0"/>
    <n v="1"/>
    <n v="2805"/>
    <n v="0"/>
    <n v="0"/>
    <n v="1"/>
    <n v="2805"/>
    <n v="5.61"/>
    <n v="0"/>
    <n v="0"/>
    <n v="6"/>
    <n v="0.38999999999999968"/>
    <n v="1"/>
    <n v="2805"/>
    <n v="150"/>
    <n v="140"/>
    <n v="0"/>
    <n v="0"/>
    <n v="5.5865921787709499E-3"/>
    <n v="2805"/>
    <n v="2805"/>
    <n v="588"/>
    <n v="2805"/>
    <n v="2805"/>
    <n v="1"/>
    <n v="0"/>
    <n v="1"/>
    <n v="1"/>
    <x v="0"/>
    <m/>
    <s v="Yes"/>
    <s v="DRC"/>
    <s v="Camp"/>
    <x v="0"/>
    <s v="Muslim"/>
    <n v="20.064226000000001"/>
    <n v="92.993758999999997"/>
    <s v="MMR012CMP019"/>
    <x v="0"/>
    <n v="125"/>
    <n v="401"/>
    <n v="526"/>
    <m/>
    <x v="0"/>
    <m/>
    <m/>
  </r>
  <r>
    <x v="0"/>
    <x v="7"/>
    <x v="7"/>
    <s v="UNICEF"/>
    <x v="0"/>
    <x v="4"/>
    <x v="0"/>
    <x v="21"/>
    <n v="716"/>
    <n v="2920"/>
    <d v="2019-03-06T00:00:00"/>
    <d v="2020-03-06T00:00:00"/>
    <n v="920"/>
    <n v="14"/>
    <n v="20"/>
    <s v=" -   "/>
    <s v="Yes"/>
    <n v="9"/>
    <n v="9"/>
    <n v="5"/>
    <n v="6"/>
    <n v="5505156"/>
    <n v="8670000"/>
    <n v="23"/>
    <n v="21"/>
    <n v="24"/>
    <n v="24"/>
    <n v="716"/>
    <m/>
    <n v="5"/>
    <m/>
    <n v="197"/>
    <n v="197"/>
    <n v="62"/>
    <m/>
    <n v="267"/>
    <m/>
    <m/>
    <m/>
    <m/>
    <n v="31"/>
    <n v="114"/>
    <n v="6"/>
    <x v="0"/>
    <m/>
    <n v="248"/>
    <n v="952"/>
    <n v="301"/>
    <n v="641"/>
    <n v="716"/>
    <n v="716"/>
    <n v="0.86"/>
    <n v="0.94"/>
    <n v="0.75"/>
    <n v="0.2"/>
    <m/>
    <n v="0.95"/>
    <n v="0.77"/>
    <n v="287"/>
    <n v="1"/>
    <e v="#DIV/0!"/>
    <s v="No"/>
    <s v="Their main concern is that INGO/NGO would leave from their camp and they would have no more access to humanitarian live-saving aids after camp closure."/>
    <s v="WASH committee and sub-group of skilled workers. They however still need capacities to manage WASH services and facilities."/>
    <n v="0.91304347826086951"/>
    <n v="1"/>
    <x v="0"/>
    <n v="1"/>
    <n v="2920"/>
    <n v="1"/>
    <n v="2920"/>
    <n v="1"/>
    <n v="2920"/>
    <n v="5.84"/>
    <n v="0"/>
    <n v="0"/>
    <n v="6"/>
    <n v="0.16000000000000014"/>
    <n v="1"/>
    <n v="2920"/>
    <n v="300"/>
    <n v="146"/>
    <n v="0"/>
    <n v="0"/>
    <n v="0"/>
    <n v="2142"/>
    <n v="2920"/>
    <n v="716"/>
    <n v="2920"/>
    <n v="2920"/>
    <n v="1"/>
    <n v="0"/>
    <n v="0.73356164383561639"/>
    <n v="1"/>
    <x v="0"/>
    <n v="9.8287671232876711E-2"/>
    <s v="Yes"/>
    <s v="RI"/>
    <s v="Camp"/>
    <x v="0"/>
    <s v="Muslim"/>
    <n v="20.037655000000001"/>
    <n v="93.370037999999994"/>
    <s v="MMR012CMP014"/>
    <x v="0"/>
    <n v="54"/>
    <n v="319"/>
    <n v="373"/>
    <m/>
    <x v="0"/>
    <m/>
    <m/>
  </r>
  <r>
    <x v="0"/>
    <x v="1"/>
    <x v="1"/>
    <s v="DFID/HARP"/>
    <x v="0"/>
    <x v="1"/>
    <x v="0"/>
    <x v="22"/>
    <n v="1139"/>
    <n v="6016"/>
    <m/>
    <d v="2020-09-30T00:00:00"/>
    <n v="1094"/>
    <n v="49"/>
    <n v="175"/>
    <n v="0"/>
    <s v="No"/>
    <n v="9"/>
    <n v="7"/>
    <n v="36"/>
    <n v="45"/>
    <m/>
    <m/>
    <m/>
    <m/>
    <m/>
    <m/>
    <m/>
    <m/>
    <m/>
    <m/>
    <n v="201"/>
    <n v="243"/>
    <n v="17"/>
    <n v="0.86"/>
    <n v="230"/>
    <n v="1"/>
    <n v="0.97"/>
    <n v="0.45"/>
    <n v="0.45"/>
    <m/>
    <m/>
    <m/>
    <x v="0"/>
    <m/>
    <n v="115"/>
    <n v="414"/>
    <n v="321"/>
    <n v="332"/>
    <n v="1139"/>
    <n v="1745"/>
    <m/>
    <m/>
    <m/>
    <m/>
    <m/>
    <m/>
    <m/>
    <n v="97"/>
    <n v="0.57999999999999996"/>
    <e v="#DIV/0!"/>
    <m/>
    <m/>
    <m/>
    <s v="no test"/>
    <s v="no test"/>
    <x v="1"/>
    <n v="1"/>
    <n v="6016"/>
    <n v="0"/>
    <n v="0"/>
    <n v="1"/>
    <n v="6016"/>
    <n v="12.032"/>
    <n v="0"/>
    <n v="0"/>
    <n v="12"/>
    <n v="0"/>
    <n v="0.66821808510638303"/>
    <n v="4020"/>
    <n v="0"/>
    <n v="301"/>
    <n v="58"/>
    <n v="0.33178191489361697"/>
    <n v="0.1728395061728395"/>
    <n v="1182"/>
    <n v="6016"/>
    <n v="1745"/>
    <n v="6016"/>
    <n v="6016"/>
    <n v="1"/>
    <n v="0"/>
    <n v="0.19647606382978725"/>
    <n v="1"/>
    <x v="0"/>
    <n v="1.6123670212765957E-2"/>
    <s v="Yes"/>
    <n v="0"/>
    <s v="Camp"/>
    <x v="3"/>
    <s v="Muslim"/>
    <n v="20.1585"/>
    <n v="92.839416999999997"/>
    <s v="MMR012CMP046"/>
    <x v="0"/>
    <n v="283"/>
    <n v="715"/>
    <n v="998"/>
    <m/>
    <x v="0"/>
    <m/>
    <m/>
  </r>
  <r>
    <x v="0"/>
    <x v="2"/>
    <x v="2"/>
    <s v="DFID/HARP"/>
    <x v="0"/>
    <x v="1"/>
    <x v="0"/>
    <x v="23"/>
    <n v="1013"/>
    <n v="5950"/>
    <m/>
    <d v="2020-09-30T00:00:00"/>
    <n v="1558"/>
    <n v="49"/>
    <n v="115"/>
    <n v="0"/>
    <s v="No"/>
    <n v="9"/>
    <n v="10"/>
    <n v="53"/>
    <n v="67"/>
    <m/>
    <m/>
    <m/>
    <m/>
    <m/>
    <m/>
    <m/>
    <m/>
    <n v="6"/>
    <m/>
    <n v="210"/>
    <n v="360"/>
    <n v="13"/>
    <n v="0.17"/>
    <n v="253"/>
    <n v="0.93"/>
    <n v="0.04"/>
    <n v="0.74"/>
    <n v="0.74"/>
    <n v="4"/>
    <m/>
    <n v="15"/>
    <x v="0"/>
    <m/>
    <n v="472"/>
    <n v="1850"/>
    <n v="570"/>
    <n v="1367"/>
    <n v="1013"/>
    <m/>
    <m/>
    <m/>
    <m/>
    <n v="0.53"/>
    <m/>
    <m/>
    <m/>
    <m/>
    <m/>
    <e v="#DIV/0!"/>
    <m/>
    <m/>
    <m/>
    <s v="no test"/>
    <s v="no test"/>
    <x v="1"/>
    <n v="1"/>
    <n v="5950"/>
    <n v="0"/>
    <n v="0"/>
    <n v="1"/>
    <n v="5950"/>
    <n v="11.9"/>
    <n v="0"/>
    <n v="0"/>
    <n v="12"/>
    <n v="9.9999999999999645E-2"/>
    <n v="0.8453781512605042"/>
    <n v="5030"/>
    <n v="750"/>
    <n v="298"/>
    <n v="0"/>
    <n v="0.1546218487394958"/>
    <n v="0.41666666666666669"/>
    <n v="4259"/>
    <n v="5950"/>
    <n v="0"/>
    <n v="5950"/>
    <n v="5950"/>
    <n v="1"/>
    <n v="0"/>
    <n v="0.71579831932773108"/>
    <n v="1"/>
    <x v="0"/>
    <m/>
    <s v="Yes"/>
    <n v="0"/>
    <s v="Camp"/>
    <x v="0"/>
    <s v="Muslim"/>
    <n v="20.179939999999998"/>
    <n v="92.831879000000001"/>
    <s v="MMR012CMP048"/>
    <x v="0"/>
    <n v="111"/>
    <n v="853"/>
    <n v="964"/>
    <m/>
    <x v="0"/>
    <m/>
    <m/>
  </r>
  <r>
    <x v="0"/>
    <x v="2"/>
    <x v="2"/>
    <s v="DFID/HARP"/>
    <x v="0"/>
    <x v="1"/>
    <x v="0"/>
    <x v="24"/>
    <n v="299"/>
    <n v="1670"/>
    <m/>
    <d v="2020-09-30T00:00:00"/>
    <n v="870"/>
    <m/>
    <m/>
    <s v=" -   "/>
    <m/>
    <n v="2"/>
    <n v="7"/>
    <m/>
    <m/>
    <m/>
    <m/>
    <n v="24"/>
    <n v="22"/>
    <n v="11"/>
    <n v="8"/>
    <m/>
    <m/>
    <n v="6"/>
    <m/>
    <m/>
    <m/>
    <m/>
    <m/>
    <m/>
    <m/>
    <m/>
    <m/>
    <m/>
    <m/>
    <m/>
    <n v="16"/>
    <x v="1"/>
    <m/>
    <n v="51"/>
    <n v="674"/>
    <n v="864"/>
    <n v="1200"/>
    <n v="299"/>
    <m/>
    <m/>
    <m/>
    <m/>
    <n v="0.5"/>
    <m/>
    <m/>
    <m/>
    <m/>
    <m/>
    <e v="#DIV/0!"/>
    <m/>
    <m/>
    <m/>
    <n v="0.91666666666666663"/>
    <n v="0.72727272727272729"/>
    <x v="0"/>
    <n v="1"/>
    <n v="1670"/>
    <n v="0"/>
    <n v="0"/>
    <n v="1"/>
    <n v="1670"/>
    <n v="3.34"/>
    <n v="0"/>
    <n v="0"/>
    <n v="3"/>
    <n v="0"/>
    <n v="0.47904191616766467"/>
    <n v="800"/>
    <n v="800"/>
    <n v="84"/>
    <n v="84"/>
    <n v="0.52095808383233533"/>
    <s v="NA"/>
    <n v="1670"/>
    <n v="1670"/>
    <n v="0"/>
    <n v="1670"/>
    <n v="1670"/>
    <n v="1"/>
    <n v="0"/>
    <n v="1"/>
    <n v="1"/>
    <x v="0"/>
    <m/>
    <s v="Yes"/>
    <n v="0"/>
    <s v="Camp"/>
    <x v="1"/>
    <s v="Muslim"/>
    <n v="20.181742"/>
    <n v="92.842230000000001"/>
    <s v="MMR012CMP091"/>
    <x v="0"/>
    <n v="0"/>
    <n v="0"/>
    <n v="0"/>
    <m/>
    <x v="0"/>
    <m/>
    <m/>
  </r>
  <r>
    <x v="1"/>
    <x v="0"/>
    <x v="0"/>
    <s v="ECHO, OFDA, MHF"/>
    <x v="0"/>
    <x v="0"/>
    <x v="0"/>
    <x v="0"/>
    <n v="1249"/>
    <n v="4859"/>
    <d v="2018-10-01T00:00:00"/>
    <d v="2020-06-30T00:00:00"/>
    <n v="965"/>
    <m/>
    <m/>
    <n v="12"/>
    <s v="Yes"/>
    <n v="13"/>
    <n v="2"/>
    <n v="6"/>
    <n v="6"/>
    <n v="0"/>
    <n v="17293476.800000001"/>
    <m/>
    <m/>
    <n v="4"/>
    <n v="1"/>
    <n v="1249"/>
    <m/>
    <m/>
    <s v="camp rely on ponds water + water treatment chlorination"/>
    <n v="185"/>
    <n v="178"/>
    <m/>
    <m/>
    <m/>
    <m/>
    <m/>
    <m/>
    <m/>
    <n v="26"/>
    <n v="69"/>
    <n v="12"/>
    <x v="0"/>
    <m/>
    <n v="923"/>
    <n v="1118"/>
    <n v="1458"/>
    <n v="1362"/>
    <n v="1249"/>
    <n v="3123"/>
    <m/>
    <n v="0.87"/>
    <m/>
    <n v="1"/>
    <m/>
    <m/>
    <m/>
    <m/>
    <m/>
    <n v="0"/>
    <s v="No"/>
    <m/>
    <m/>
    <s v="no test"/>
    <n v="0.25"/>
    <x v="0"/>
    <n v="0.61741098991562049"/>
    <n v="3000"/>
    <n v="1"/>
    <n v="4859"/>
    <n v="1"/>
    <n v="4859"/>
    <n v="9.718"/>
    <n v="0"/>
    <n v="0"/>
    <n v="10"/>
    <n v="0.28200000000000003"/>
    <n v="1"/>
    <n v="4859"/>
    <n v="600"/>
    <n v="243"/>
    <n v="65"/>
    <n v="0"/>
    <n v="-3.9325842696629212E-2"/>
    <n v="4859"/>
    <n v="4859"/>
    <n v="3123"/>
    <n v="4859"/>
    <n v="4859"/>
    <n v="1"/>
    <n v="0"/>
    <n v="1"/>
    <n v="1"/>
    <x v="0"/>
    <m/>
    <s v="Yes"/>
    <s v="LWF"/>
    <s v="Camp"/>
    <x v="0"/>
    <s v="Muslim"/>
    <n v="20.108101999999999"/>
    <n v="92.985095000000001"/>
    <s v="MMR012CMP016"/>
    <x v="0"/>
    <n v="79"/>
    <n v="615"/>
    <n v="694"/>
    <m/>
    <x v="1"/>
    <n v="0"/>
    <n v="0"/>
  </r>
  <r>
    <x v="1"/>
    <x v="1"/>
    <x v="1"/>
    <s v="DFID/HARP"/>
    <x v="0"/>
    <x v="1"/>
    <x v="0"/>
    <x v="1"/>
    <n v="397"/>
    <n v="2111"/>
    <d v="2017-10-01T00:00:00"/>
    <d v="2020-09-30T00:00:00"/>
    <n v="1642"/>
    <n v="16"/>
    <n v="35"/>
    <n v="0"/>
    <s v="No"/>
    <n v="10"/>
    <n v="5"/>
    <n v="22"/>
    <n v="25"/>
    <m/>
    <m/>
    <m/>
    <m/>
    <m/>
    <m/>
    <n v="0"/>
    <n v="30"/>
    <n v="9"/>
    <m/>
    <n v="108"/>
    <n v="120"/>
    <n v="19"/>
    <n v="0.26"/>
    <n v="26"/>
    <n v="1"/>
    <n v="1"/>
    <n v="0.91"/>
    <n v="0.91"/>
    <n v="0"/>
    <m/>
    <n v="18"/>
    <x v="0"/>
    <m/>
    <m/>
    <n v="87"/>
    <n v="233"/>
    <n v="178"/>
    <n v="397"/>
    <n v="882"/>
    <m/>
    <m/>
    <m/>
    <n v="0.78"/>
    <m/>
    <m/>
    <m/>
    <n v="0.56000000000000005"/>
    <n v="0.46"/>
    <m/>
    <m/>
    <m/>
    <m/>
    <s v="no test"/>
    <s v="no test"/>
    <x v="1"/>
    <n v="1"/>
    <n v="2111"/>
    <n v="0"/>
    <n v="0"/>
    <n v="1"/>
    <n v="2111"/>
    <n v="4.2220000000000004"/>
    <n v="0"/>
    <n v="0"/>
    <n v="4"/>
    <n v="0"/>
    <n v="1"/>
    <n v="2111"/>
    <n v="900"/>
    <n v="106"/>
    <n v="0"/>
    <n v="0"/>
    <n v="0.1"/>
    <n v="498"/>
    <n v="2111"/>
    <n v="882"/>
    <n v="2111"/>
    <n v="2111"/>
    <n v="1"/>
    <n v="0"/>
    <n v="0.23590715300805307"/>
    <n v="1"/>
    <x v="0"/>
    <m/>
    <s v="Yes"/>
    <n v="0"/>
    <s v="Camp"/>
    <x v="0"/>
    <s v="Muslim"/>
    <n v="20.128488999999998"/>
    <n v="92.875814000000005"/>
    <s v="MMR012CMP039"/>
    <x v="0"/>
    <n v="99"/>
    <n v="287"/>
    <n v="386"/>
    <m/>
    <x v="0"/>
    <m/>
    <m/>
  </r>
  <r>
    <x v="1"/>
    <x v="1"/>
    <x v="1"/>
    <s v="DFID/HARP"/>
    <x v="0"/>
    <x v="1"/>
    <x v="0"/>
    <x v="2"/>
    <n v="1016"/>
    <n v="4892"/>
    <d v="2017-10-01T00:00:00"/>
    <d v="2020-09-30T00:00:00"/>
    <n v="3364"/>
    <n v="40"/>
    <n v="180"/>
    <n v="0"/>
    <s v="No"/>
    <n v="16"/>
    <n v="7"/>
    <n v="39"/>
    <n v="50"/>
    <m/>
    <m/>
    <n v="42"/>
    <n v="39"/>
    <n v="108"/>
    <n v="59"/>
    <n v="0"/>
    <n v="30"/>
    <n v="24"/>
    <m/>
    <n v="204"/>
    <n v="250"/>
    <n v="399"/>
    <n v="0.69"/>
    <n v="520"/>
    <n v="0.98"/>
    <n v="0.9"/>
    <n v="0.9"/>
    <n v="0.9"/>
    <n v="4"/>
    <m/>
    <n v="32"/>
    <x v="0"/>
    <m/>
    <n v="208"/>
    <n v="511"/>
    <n v="1138"/>
    <n v="1139"/>
    <n v="1016"/>
    <n v="1602"/>
    <m/>
    <m/>
    <m/>
    <n v="0.8"/>
    <m/>
    <m/>
    <m/>
    <n v="0.3"/>
    <n v="0.94"/>
    <n v="3.6277024551117629E-2"/>
    <m/>
    <m/>
    <m/>
    <n v="0.9285714285714286"/>
    <n v="0.54629629629629628"/>
    <x v="0"/>
    <n v="1"/>
    <n v="4892"/>
    <n v="0"/>
    <n v="0"/>
    <n v="1"/>
    <n v="4892"/>
    <n v="9.7840000000000007"/>
    <n v="0"/>
    <n v="0"/>
    <n v="10"/>
    <n v="0.2159999999999993"/>
    <n v="1"/>
    <n v="4892"/>
    <n v="1600"/>
    <n v="245"/>
    <n v="0"/>
    <n v="0"/>
    <n v="0.184"/>
    <n v="2996"/>
    <n v="4892"/>
    <n v="1602"/>
    <n v="4892"/>
    <n v="4892"/>
    <n v="1"/>
    <n v="0"/>
    <n v="0.61242845461978745"/>
    <n v="1"/>
    <x v="0"/>
    <m/>
    <s v="Yes"/>
    <n v="0"/>
    <s v="Camp"/>
    <x v="0"/>
    <s v="Muslim"/>
    <n v="20.179417000000001"/>
    <n v="92.813028000000003"/>
    <s v="MMR012CMP113"/>
    <x v="0"/>
    <n v="124"/>
    <n v="410"/>
    <n v="534"/>
    <m/>
    <x v="2"/>
    <n v="99"/>
    <n v="0"/>
  </r>
  <r>
    <x v="1"/>
    <x v="1"/>
    <x v="1"/>
    <s v="DFID/HARP"/>
    <x v="0"/>
    <x v="1"/>
    <x v="0"/>
    <x v="3"/>
    <n v="1311"/>
    <n v="6936"/>
    <d v="2017-10-01T00:00:00"/>
    <d v="2020-09-30T00:00:00"/>
    <n v="3041"/>
    <m/>
    <m/>
    <n v="0"/>
    <s v="No"/>
    <m/>
    <m/>
    <n v="64"/>
    <n v="80"/>
    <m/>
    <m/>
    <n v="69"/>
    <n v="57"/>
    <n v="136"/>
    <n v="71"/>
    <n v="0"/>
    <n v="30"/>
    <m/>
    <m/>
    <n v="238"/>
    <n v="328"/>
    <m/>
    <m/>
    <m/>
    <m/>
    <m/>
    <m/>
    <m/>
    <m/>
    <m/>
    <m/>
    <x v="0"/>
    <m/>
    <m/>
    <m/>
    <m/>
    <m/>
    <n v="1311"/>
    <n v="2133"/>
    <m/>
    <m/>
    <m/>
    <n v="0.85"/>
    <m/>
    <m/>
    <m/>
    <m/>
    <m/>
    <m/>
    <m/>
    <m/>
    <m/>
    <n v="0.82608695652173914"/>
    <n v="0.5220588235294118"/>
    <x v="0"/>
    <n v="1"/>
    <n v="6936"/>
    <n v="0"/>
    <n v="0"/>
    <n v="1"/>
    <n v="6936"/>
    <n v="13.872"/>
    <n v="0"/>
    <n v="0"/>
    <n v="14"/>
    <n v="0.12800000000000011"/>
    <n v="0.68627450980392157"/>
    <n v="4760"/>
    <n v="0"/>
    <n v="347"/>
    <n v="19"/>
    <n v="0.31372549019607843"/>
    <n v="0.27439024390243905"/>
    <n v="0"/>
    <n v="6936"/>
    <n v="2133"/>
    <n v="6936"/>
    <n v="6936"/>
    <n v="1"/>
    <n v="0"/>
    <n v="0"/>
    <n v="1"/>
    <x v="0"/>
    <m/>
    <s v="Yes"/>
    <n v="0"/>
    <s v="Camp"/>
    <x v="0"/>
    <s v="Muslim"/>
    <n v="20.181405999999999"/>
    <n v="92.807552000000001"/>
    <s v="MMR012CMP114"/>
    <x v="0"/>
    <n v="193"/>
    <n v="637"/>
    <n v="830"/>
    <m/>
    <x v="0"/>
    <m/>
    <m/>
  </r>
  <r>
    <x v="1"/>
    <x v="1"/>
    <x v="1"/>
    <s v="DFID/HARP"/>
    <x v="0"/>
    <x v="1"/>
    <x v="0"/>
    <x v="4"/>
    <n v="22"/>
    <n v="114"/>
    <d v="2017-10-01T00:00:00"/>
    <d v="2020-09-30T00:00:00"/>
    <n v="211"/>
    <m/>
    <m/>
    <n v="0"/>
    <m/>
    <m/>
    <m/>
    <m/>
    <m/>
    <m/>
    <m/>
    <m/>
    <m/>
    <m/>
    <m/>
    <n v="0"/>
    <n v="30"/>
    <m/>
    <m/>
    <m/>
    <m/>
    <m/>
    <m/>
    <m/>
    <m/>
    <m/>
    <m/>
    <m/>
    <m/>
    <m/>
    <m/>
    <x v="1"/>
    <m/>
    <m/>
    <m/>
    <m/>
    <m/>
    <n v="22"/>
    <n v="40"/>
    <m/>
    <m/>
    <m/>
    <n v="0.5"/>
    <m/>
    <m/>
    <m/>
    <m/>
    <m/>
    <m/>
    <m/>
    <m/>
    <m/>
    <s v="no test"/>
    <s v="no test"/>
    <x v="1"/>
    <n v="0"/>
    <n v="0"/>
    <n v="0"/>
    <n v="0"/>
    <n v="0"/>
    <n v="0"/>
    <n v="0"/>
    <n v="1"/>
    <n v="114"/>
    <n v="1"/>
    <n v="1"/>
    <n v="0"/>
    <n v="0"/>
    <n v="0"/>
    <n v="6"/>
    <n v="6"/>
    <n v="1"/>
    <s v="NA"/>
    <n v="0"/>
    <n v="114"/>
    <n v="40"/>
    <n v="114"/>
    <n v="114"/>
    <n v="1"/>
    <n v="0"/>
    <n v="0"/>
    <n v="1"/>
    <x v="0"/>
    <m/>
    <s v="Yes"/>
    <n v="0"/>
    <s v="Camp"/>
    <x v="1"/>
    <s v="Muslim"/>
    <n v="20.182987000000001"/>
    <n v="92.804803000000007"/>
    <s v="MMR012CMP103"/>
    <x v="0"/>
    <n v="0"/>
    <n v="0"/>
    <n v="0"/>
    <m/>
    <x v="0"/>
    <m/>
    <m/>
  </r>
  <r>
    <x v="1"/>
    <x v="1"/>
    <x v="1"/>
    <s v="DFID/HARP"/>
    <x v="0"/>
    <x v="1"/>
    <x v="0"/>
    <x v="5"/>
    <n v="2009"/>
    <n v="11625"/>
    <d v="2017-10-01T00:00:00"/>
    <d v="2020-09-30T00:00:00"/>
    <n v="232"/>
    <n v="40"/>
    <n v="160"/>
    <n v="0"/>
    <s v="No"/>
    <n v="10"/>
    <n v="7"/>
    <n v="69"/>
    <n v="82"/>
    <m/>
    <m/>
    <n v="60"/>
    <n v="54"/>
    <n v="125"/>
    <n v="76"/>
    <n v="0"/>
    <n v="30"/>
    <n v="21"/>
    <m/>
    <n v="370"/>
    <n v="498"/>
    <n v="215"/>
    <n v="0.73"/>
    <n v="415"/>
    <n v="0.98"/>
    <n v="0.91"/>
    <n v="0.7"/>
    <n v="0.7"/>
    <n v="8"/>
    <m/>
    <n v="7"/>
    <x v="0"/>
    <m/>
    <n v="62"/>
    <n v="134"/>
    <n v="701"/>
    <n v="734"/>
    <n v="2009"/>
    <n v="3699"/>
    <m/>
    <m/>
    <m/>
    <m/>
    <m/>
    <m/>
    <m/>
    <n v="0.42"/>
    <n v="0.92"/>
    <n v="1.2115258677144728E-2"/>
    <m/>
    <m/>
    <m/>
    <n v="0.9"/>
    <n v="0.60799999999999998"/>
    <x v="0"/>
    <n v="1"/>
    <n v="11625"/>
    <n v="0"/>
    <n v="0"/>
    <n v="1"/>
    <n v="11625"/>
    <n v="23.25"/>
    <n v="0"/>
    <n v="0"/>
    <n v="23"/>
    <n v="0"/>
    <n v="0.68043010752688171"/>
    <n v="7910"/>
    <n v="232"/>
    <n v="581"/>
    <n v="83"/>
    <n v="0.31956989247311829"/>
    <n v="0.25702811244979917"/>
    <n v="1631"/>
    <n v="11625"/>
    <n v="3699"/>
    <n v="11625"/>
    <n v="11625"/>
    <n v="1"/>
    <n v="0"/>
    <n v="0.14030107526881722"/>
    <n v="1"/>
    <x v="0"/>
    <m/>
    <s v="Yes"/>
    <n v="0"/>
    <s v="Camp"/>
    <x v="0"/>
    <s v="Muslim"/>
    <n v="20.16846"/>
    <n v="92.827427"/>
    <s v="MMR012CMP041"/>
    <x v="0"/>
    <n v="92"/>
    <n v="645"/>
    <n v="737"/>
    <m/>
    <x v="3"/>
    <n v="37"/>
    <n v="0"/>
  </r>
  <r>
    <x v="1"/>
    <x v="1"/>
    <x v="1"/>
    <s v="DFID/HARP"/>
    <x v="0"/>
    <x v="1"/>
    <x v="0"/>
    <x v="6"/>
    <n v="604"/>
    <n v="3360"/>
    <d v="2017-10-01T00:00:00"/>
    <d v="2020-09-30T00:00:00"/>
    <m/>
    <m/>
    <m/>
    <n v="0"/>
    <m/>
    <m/>
    <m/>
    <n v="19"/>
    <n v="20"/>
    <m/>
    <m/>
    <n v="19"/>
    <n v="16"/>
    <n v="24"/>
    <n v="8"/>
    <n v="0"/>
    <n v="30"/>
    <n v="1"/>
    <m/>
    <m/>
    <m/>
    <m/>
    <m/>
    <m/>
    <m/>
    <m/>
    <m/>
    <m/>
    <m/>
    <m/>
    <n v="10"/>
    <x v="1"/>
    <m/>
    <m/>
    <m/>
    <m/>
    <m/>
    <n v="604"/>
    <n v="1170"/>
    <m/>
    <m/>
    <m/>
    <m/>
    <m/>
    <m/>
    <m/>
    <m/>
    <n v="0.67"/>
    <m/>
    <m/>
    <m/>
    <m/>
    <n v="0.84210526315789469"/>
    <n v="0.33333333333333331"/>
    <x v="0"/>
    <n v="1"/>
    <n v="3360"/>
    <n v="0"/>
    <n v="0"/>
    <n v="1"/>
    <n v="3360"/>
    <n v="6.72"/>
    <n v="0"/>
    <n v="0"/>
    <n v="7"/>
    <n v="0.28000000000000025"/>
    <n v="0.14880952380952381"/>
    <n v="500"/>
    <n v="0"/>
    <n v="168"/>
    <n v="168"/>
    <n v="0.85119047619047616"/>
    <s v="NA"/>
    <n v="0"/>
    <n v="3360"/>
    <n v="1170"/>
    <n v="3360"/>
    <n v="3360"/>
    <n v="1"/>
    <n v="0"/>
    <n v="0"/>
    <n v="1"/>
    <x v="1"/>
    <m/>
    <s v="Yes"/>
    <n v="0"/>
    <s v="Camp"/>
    <x v="1"/>
    <s v="Muslim"/>
    <n v="20.167421999999998"/>
    <n v="92.830074999999994"/>
    <s v="MMR012CMP097"/>
    <x v="0"/>
    <n v="0"/>
    <n v="0"/>
    <n v="0"/>
    <m/>
    <x v="0"/>
    <m/>
    <m/>
  </r>
  <r>
    <x v="1"/>
    <x v="2"/>
    <x v="2"/>
    <s v="DFID/HARP"/>
    <x v="0"/>
    <x v="1"/>
    <x v="0"/>
    <x v="7"/>
    <n v="400"/>
    <n v="2248"/>
    <d v="2017-10-01T00:00:00"/>
    <d v="2020-09-30T00:00:00"/>
    <n v="444"/>
    <n v="20"/>
    <n v="59"/>
    <n v="0"/>
    <s v="No"/>
    <n v="12"/>
    <n v="6"/>
    <n v="50"/>
    <n v="52"/>
    <m/>
    <m/>
    <n v="45"/>
    <n v="38"/>
    <n v="57"/>
    <n v="32"/>
    <n v="0"/>
    <n v="30"/>
    <n v="0"/>
    <m/>
    <n v="106"/>
    <n v="106"/>
    <n v="23"/>
    <n v="0.34"/>
    <n v="113"/>
    <n v="1"/>
    <n v="0.36"/>
    <n v="1"/>
    <n v="1"/>
    <n v="8"/>
    <m/>
    <n v="7"/>
    <x v="0"/>
    <m/>
    <n v="400"/>
    <n v="2800"/>
    <n v="1119"/>
    <n v="1179"/>
    <n v="400"/>
    <n v="846"/>
    <m/>
    <m/>
    <m/>
    <n v="0"/>
    <m/>
    <m/>
    <m/>
    <n v="1"/>
    <n v="0.67"/>
    <n v="0.11241217798594848"/>
    <m/>
    <m/>
    <m/>
    <n v="0.84444444444444444"/>
    <n v="0.56140350877192979"/>
    <x v="0"/>
    <n v="1"/>
    <n v="2248"/>
    <n v="0"/>
    <n v="0"/>
    <n v="1"/>
    <n v="2248"/>
    <n v="4.4960000000000004"/>
    <n v="0"/>
    <n v="0"/>
    <n v="4"/>
    <n v="0"/>
    <n v="1"/>
    <n v="2248"/>
    <n v="350"/>
    <n v="112"/>
    <n v="6"/>
    <n v="0"/>
    <n v="0"/>
    <n v="2248"/>
    <n v="2248"/>
    <n v="846"/>
    <n v="2248"/>
    <n v="2248"/>
    <n v="1"/>
    <n v="0"/>
    <n v="1"/>
    <n v="1"/>
    <x v="0"/>
    <m/>
    <s v="Yes"/>
    <n v="0"/>
    <s v="Camp"/>
    <x v="0"/>
    <s v="Muslim"/>
    <n v="20.181778000000001"/>
    <n v="92.823166999999998"/>
    <s v="MMR012CMP042"/>
    <x v="0"/>
    <n v="47"/>
    <n v="312"/>
    <n v="359"/>
    <m/>
    <x v="4"/>
    <n v="96"/>
    <n v="0"/>
  </r>
  <r>
    <x v="1"/>
    <x v="1"/>
    <x v="1"/>
    <s v="DFID/HARP"/>
    <x v="0"/>
    <x v="1"/>
    <x v="0"/>
    <x v="8"/>
    <n v="400"/>
    <n v="2186"/>
    <d v="2017-10-01T00:00:00"/>
    <d v="2020-09-30T00:00:00"/>
    <n v="357"/>
    <n v="49"/>
    <n v="169"/>
    <n v="0"/>
    <s v="No"/>
    <n v="3"/>
    <n v="2"/>
    <n v="26"/>
    <n v="28"/>
    <m/>
    <m/>
    <n v="25"/>
    <n v="24"/>
    <n v="34"/>
    <n v="24"/>
    <n v="0"/>
    <n v="30"/>
    <n v="8"/>
    <m/>
    <n v="88"/>
    <n v="104"/>
    <n v="64"/>
    <n v="0.67"/>
    <n v="127"/>
    <n v="1"/>
    <n v="0.91"/>
    <n v="1"/>
    <n v="1"/>
    <n v="4"/>
    <m/>
    <n v="9"/>
    <x v="0"/>
    <m/>
    <n v="34"/>
    <n v="107"/>
    <n v="207"/>
    <n v="306"/>
    <n v="400"/>
    <n v="670"/>
    <m/>
    <m/>
    <m/>
    <n v="1"/>
    <m/>
    <m/>
    <m/>
    <n v="0.23"/>
    <n v="1"/>
    <n v="0"/>
    <m/>
    <m/>
    <m/>
    <n v="0.96"/>
    <n v="0.70588235294117652"/>
    <x v="0"/>
    <n v="1"/>
    <n v="2186"/>
    <n v="0"/>
    <n v="0"/>
    <n v="1"/>
    <n v="2186"/>
    <n v="4.3719999999999999"/>
    <n v="0"/>
    <n v="0"/>
    <n v="4"/>
    <n v="0"/>
    <n v="1"/>
    <n v="2186"/>
    <n v="357"/>
    <n v="109"/>
    <n v="5"/>
    <n v="0"/>
    <n v="0.15384615384615385"/>
    <n v="654"/>
    <n v="2186"/>
    <n v="670"/>
    <n v="2186"/>
    <n v="2186"/>
    <n v="1"/>
    <n v="0"/>
    <n v="0.2991765782250686"/>
    <n v="1"/>
    <x v="0"/>
    <m/>
    <n v="0"/>
    <n v="0"/>
    <s v="Camp"/>
    <x v="0"/>
    <s v="Muslim"/>
    <n v="20.180194"/>
    <n v="92.816638999999995"/>
    <s v="MMR012CMP042"/>
    <x v="0"/>
    <n v="68"/>
    <n v="265"/>
    <n v="333"/>
    <m/>
    <x v="5"/>
    <n v="0"/>
    <n v="0"/>
  </r>
  <r>
    <x v="1"/>
    <x v="3"/>
    <x v="3"/>
    <s v="UNICEF"/>
    <x v="0"/>
    <x v="2"/>
    <x v="0"/>
    <x v="9"/>
    <n v="353"/>
    <n v="971"/>
    <d v="2019-03-16T00:00:00"/>
    <d v="2020-03-16T00:00:00"/>
    <n v="244"/>
    <n v="6"/>
    <n v="23"/>
    <m/>
    <s v="No"/>
    <n v="24"/>
    <n v="5"/>
    <n v="10"/>
    <n v="22"/>
    <n v="0"/>
    <n v="0"/>
    <n v="22"/>
    <n v="20"/>
    <n v="4"/>
    <n v="4"/>
    <n v="355"/>
    <n v="30"/>
    <n v="1"/>
    <s v="CDA implemented (1) time water quality testing in this period because of raining season. _x000a_CDA repaired monthly water points and pipe line activity. Some month was 10 days and some months was more or less._x000a__x000a_"/>
    <n v="94"/>
    <n v="94"/>
    <n v="30"/>
    <n v="0"/>
    <n v="3"/>
    <n v="1"/>
    <n v="1"/>
    <n v="1"/>
    <n v="1"/>
    <n v="0"/>
    <n v="0"/>
    <n v="10"/>
    <x v="0"/>
    <s v="Child and disable latrines did not have in Kyauk Talone Camp. All people used common latrines in KTL Camp."/>
    <n v="510"/>
    <n v="553"/>
    <n v="109"/>
    <n v="128"/>
    <n v="355"/>
    <n v="1162"/>
    <n v="0"/>
    <n v="0"/>
    <n v="0.8"/>
    <n v="0.95"/>
    <m/>
    <m/>
    <m/>
    <m/>
    <m/>
    <m/>
    <s v="Yes"/>
    <s v="Hand washing with soap activity, to get safe water from mixing with chlorine tablets, personal grooming and hygiene activities, good practice of waste management system"/>
    <s v="Camp Management Committee members, some Volunteers will maintain and repair WASH facilities."/>
    <n v="0.90909090909090906"/>
    <n v="1"/>
    <x v="0"/>
    <n v="1"/>
    <n v="971"/>
    <n v="0"/>
    <n v="0"/>
    <n v="1"/>
    <n v="971"/>
    <n v="1.9419999999999999"/>
    <n v="0"/>
    <n v="0"/>
    <n v="2"/>
    <n v="5.8000000000000052E-2"/>
    <n v="1"/>
    <n v="971"/>
    <n v="244"/>
    <n v="49"/>
    <n v="0"/>
    <n v="0"/>
    <n v="0"/>
    <n v="971"/>
    <n v="971"/>
    <n v="971"/>
    <n v="971"/>
    <n v="971"/>
    <n v="1"/>
    <n v="0"/>
    <n v="1"/>
    <n v="1"/>
    <x v="0"/>
    <m/>
    <s v="Yes"/>
    <s v="UNHCR"/>
    <s v="Camp"/>
    <x v="0"/>
    <s v="Muslim"/>
    <n v="19.424576999999999"/>
    <n v="93.512326000000002"/>
    <s v="MMR012CMP035"/>
    <x v="0"/>
    <n v="0"/>
    <n v="0"/>
    <n v="0"/>
    <m/>
    <x v="0"/>
    <m/>
    <m/>
  </r>
  <r>
    <x v="1"/>
    <x v="0"/>
    <x v="0"/>
    <s v="UNICEF"/>
    <x v="0"/>
    <x v="0"/>
    <x v="0"/>
    <x v="10"/>
    <n v="1320"/>
    <n v="6042"/>
    <d v="2018-12-11T00:00:00"/>
    <d v="2019-12-10T00:00:00"/>
    <n v="1412"/>
    <m/>
    <m/>
    <n v="12"/>
    <s v="Yes"/>
    <m/>
    <m/>
    <n v="3"/>
    <n v="3"/>
    <n v="0"/>
    <n v="151427618.57931036"/>
    <m/>
    <m/>
    <m/>
    <m/>
    <n v="1320"/>
    <m/>
    <m/>
    <s v="camp rely on ponds water + water treatment chlorination"/>
    <n v="184"/>
    <n v="174"/>
    <m/>
    <m/>
    <m/>
    <m/>
    <m/>
    <m/>
    <m/>
    <n v="0"/>
    <n v="0"/>
    <n v="5"/>
    <x v="0"/>
    <m/>
    <n v="1148"/>
    <n v="1390"/>
    <n v="1813"/>
    <n v="1692"/>
    <n v="1320"/>
    <n v="3300"/>
    <m/>
    <m/>
    <m/>
    <m/>
    <m/>
    <m/>
    <m/>
    <m/>
    <m/>
    <n v="0"/>
    <s v="No"/>
    <m/>
    <m/>
    <s v="no test"/>
    <s v="no test"/>
    <x v="1"/>
    <n v="0.24826216484607747"/>
    <n v="1500"/>
    <n v="1"/>
    <n v="6042"/>
    <n v="1"/>
    <n v="6042"/>
    <n v="12.084"/>
    <n v="0"/>
    <n v="0"/>
    <n v="12"/>
    <n v="0"/>
    <n v="0.6504468718967229"/>
    <n v="3930"/>
    <n v="250"/>
    <n v="302"/>
    <n v="128"/>
    <n v="0.3495531281032771"/>
    <n v="-5.7471264367816091E-2"/>
    <n v="6042"/>
    <n v="6042"/>
    <n v="3300"/>
    <n v="6042"/>
    <n v="6042"/>
    <n v="1"/>
    <n v="0"/>
    <n v="1"/>
    <n v="1"/>
    <x v="0"/>
    <m/>
    <s v="Yes"/>
    <s v="DRC"/>
    <s v="Camp"/>
    <x v="0"/>
    <s v="Muslim"/>
    <n v="20.090183"/>
    <n v="93.010368999999997"/>
    <s v="MMR012CMP018"/>
    <x v="0"/>
    <n v="116"/>
    <n v="1129"/>
    <n v="1245"/>
    <m/>
    <x v="6"/>
    <n v="0"/>
    <n v="0"/>
  </r>
  <r>
    <x v="1"/>
    <x v="2"/>
    <x v="2"/>
    <s v="DFID/HARP"/>
    <x v="0"/>
    <x v="1"/>
    <x v="0"/>
    <x v="11"/>
    <n v="656"/>
    <n v="3486"/>
    <d v="2017-10-01T00:00:00"/>
    <d v="2020-09-30T00:00:00"/>
    <n v="1142"/>
    <n v="49"/>
    <n v="139"/>
    <n v="0"/>
    <s v="No"/>
    <n v="18"/>
    <n v="12"/>
    <n v="33"/>
    <n v="39"/>
    <m/>
    <m/>
    <n v="14"/>
    <n v="10"/>
    <n v="26"/>
    <n v="13"/>
    <n v="0"/>
    <n v="30"/>
    <n v="2"/>
    <m/>
    <n v="212"/>
    <n v="241"/>
    <n v="93"/>
    <n v="0.28999999999999998"/>
    <n v="202"/>
    <n v="1"/>
    <n v="0.53"/>
    <n v="0.76"/>
    <n v="0.76"/>
    <n v="8"/>
    <m/>
    <n v="5"/>
    <x v="0"/>
    <m/>
    <n v="384"/>
    <n v="2609"/>
    <n v="285"/>
    <n v="353"/>
    <n v="656"/>
    <n v="1418"/>
    <m/>
    <m/>
    <m/>
    <n v="0"/>
    <m/>
    <m/>
    <m/>
    <n v="0.81"/>
    <n v="0.84"/>
    <n v="0"/>
    <m/>
    <m/>
    <m/>
    <n v="0.7142857142857143"/>
    <n v="0.5"/>
    <x v="0"/>
    <n v="1"/>
    <n v="3486"/>
    <n v="0"/>
    <n v="0"/>
    <n v="1"/>
    <n v="3486"/>
    <n v="6.9720000000000004"/>
    <n v="0"/>
    <n v="0"/>
    <n v="7"/>
    <n v="2.7999999999999581E-2"/>
    <n v="1"/>
    <n v="3486"/>
    <n v="250"/>
    <n v="174"/>
    <n v="0"/>
    <n v="0"/>
    <n v="0.12033195020746888"/>
    <n v="3486"/>
    <n v="3486"/>
    <n v="1418"/>
    <n v="3486"/>
    <n v="3486"/>
    <n v="1"/>
    <n v="0"/>
    <n v="1"/>
    <n v="1"/>
    <x v="0"/>
    <m/>
    <s v="Yes"/>
    <n v="0"/>
    <s v="Camp"/>
    <x v="0"/>
    <s v="Muslim"/>
    <n v="20.185917"/>
    <n v="92.831000000000003"/>
    <s v="MMR012CMP092"/>
    <x v="0"/>
    <n v="62"/>
    <n v="335"/>
    <n v="397"/>
    <m/>
    <x v="7"/>
    <n v="0"/>
    <n v="0"/>
  </r>
  <r>
    <x v="1"/>
    <x v="0"/>
    <x v="0"/>
    <s v="ECHO, OFDA, MHF"/>
    <x v="0"/>
    <x v="0"/>
    <x v="0"/>
    <x v="12"/>
    <n v="1010"/>
    <n v="4671"/>
    <d v="2018-10-01T00:00:00"/>
    <d v="2020-06-30T00:00:00"/>
    <n v="968"/>
    <m/>
    <m/>
    <n v="12"/>
    <s v="Yes"/>
    <n v="8"/>
    <n v="3"/>
    <n v="3"/>
    <n v="3"/>
    <n v="0"/>
    <n v="81561646.186549678"/>
    <n v="6"/>
    <n v="2"/>
    <n v="8"/>
    <n v="8"/>
    <n v="1010"/>
    <m/>
    <m/>
    <s v="camp rely on ponds water, pond sand filters + all HHs received water purifiers"/>
    <n v="124"/>
    <n v="124"/>
    <m/>
    <m/>
    <m/>
    <m/>
    <m/>
    <m/>
    <m/>
    <n v="14"/>
    <n v="54"/>
    <n v="6"/>
    <x v="0"/>
    <m/>
    <n v="887"/>
    <n v="1074"/>
    <n v="1401"/>
    <n v="1308"/>
    <n v="1010"/>
    <n v="2525"/>
    <m/>
    <n v="0.85"/>
    <m/>
    <m/>
    <m/>
    <m/>
    <m/>
    <m/>
    <m/>
    <n v="0"/>
    <s v="No"/>
    <m/>
    <m/>
    <n v="0.33333333333333331"/>
    <n v="1"/>
    <x v="0"/>
    <n v="0.32113037893384716"/>
    <n v="1500"/>
    <n v="1"/>
    <n v="4671"/>
    <n v="1"/>
    <n v="4671"/>
    <n v="9.3420000000000005"/>
    <n v="0"/>
    <n v="0"/>
    <n v="9"/>
    <n v="0"/>
    <n v="0.66666666666666663"/>
    <n v="3114"/>
    <n v="300"/>
    <n v="234"/>
    <n v="110"/>
    <n v="0.33333333333333337"/>
    <n v="0"/>
    <n v="4670"/>
    <n v="4671"/>
    <n v="2525"/>
    <n v="4671"/>
    <n v="4671"/>
    <n v="1"/>
    <n v="0"/>
    <n v="0.99978591308071074"/>
    <n v="1"/>
    <x v="0"/>
    <m/>
    <s v="Yes"/>
    <s v="LWF"/>
    <s v="Camp"/>
    <x v="2"/>
    <s v="Muslim"/>
    <n v="20.073437999999999"/>
    <n v="93.154551999999995"/>
    <s v="MMR012CMP017"/>
    <x v="0"/>
    <n v="194"/>
    <n v="735"/>
    <n v="929"/>
    <m/>
    <x v="8"/>
    <n v="0"/>
    <n v="0"/>
  </r>
  <r>
    <x v="1"/>
    <x v="0"/>
    <x v="0"/>
    <s v="ECHO, OFDA, MHF"/>
    <x v="0"/>
    <x v="0"/>
    <x v="0"/>
    <x v="13"/>
    <n v="905"/>
    <n v="4676"/>
    <d v="2018-10-01T00:00:00"/>
    <d v="2020-06-30T00:00:00"/>
    <n v="1261"/>
    <m/>
    <m/>
    <n v="12"/>
    <s v="Yes"/>
    <n v="11"/>
    <n v="2"/>
    <n v="0"/>
    <n v="0"/>
    <n v="0"/>
    <n v="37683774.399999999"/>
    <n v="0"/>
    <n v="0"/>
    <n v="4"/>
    <n v="4"/>
    <n v="905"/>
    <m/>
    <m/>
    <s v="camp rely on ponds water, all HHs received water purifiers"/>
    <n v="145"/>
    <n v="117"/>
    <m/>
    <m/>
    <m/>
    <m/>
    <m/>
    <m/>
    <m/>
    <n v="21"/>
    <n v="103"/>
    <n v="8"/>
    <x v="0"/>
    <m/>
    <n v="888"/>
    <n v="1075"/>
    <n v="1403"/>
    <n v="1309"/>
    <n v="905"/>
    <n v="2263"/>
    <m/>
    <n v="0.7"/>
    <m/>
    <m/>
    <m/>
    <m/>
    <m/>
    <m/>
    <m/>
    <n v="0"/>
    <s v="No"/>
    <m/>
    <m/>
    <s v="no test"/>
    <n v="1"/>
    <x v="0"/>
    <n v="0"/>
    <n v="0"/>
    <n v="1"/>
    <n v="4676"/>
    <n v="1"/>
    <n v="4676"/>
    <n v="9.3520000000000003"/>
    <n v="0"/>
    <n v="0"/>
    <n v="9"/>
    <n v="0"/>
    <n v="0.81757912745936701"/>
    <n v="3823"/>
    <n v="400"/>
    <n v="234"/>
    <n v="117"/>
    <n v="0.18242087254063299"/>
    <n v="-0.23931623931623933"/>
    <n v="4675"/>
    <n v="4676"/>
    <n v="2263"/>
    <n v="4676"/>
    <n v="4676"/>
    <n v="1"/>
    <n v="0"/>
    <n v="0.9997861420017109"/>
    <n v="1"/>
    <x v="0"/>
    <m/>
    <s v="Yes"/>
    <s v="LWF"/>
    <s v="Camp"/>
    <x v="0"/>
    <s v="Muslim"/>
    <n v="20.073437999999999"/>
    <n v="93.154551999999995"/>
    <s v="MMR012CMP017"/>
    <x v="0"/>
    <n v="112"/>
    <n v="643"/>
    <n v="755"/>
    <m/>
    <x v="8"/>
    <n v="0"/>
    <n v="0"/>
  </r>
  <r>
    <x v="1"/>
    <x v="4"/>
    <x v="4"/>
    <s v="UMCOR"/>
    <x v="0"/>
    <x v="3"/>
    <x v="0"/>
    <x v="14"/>
    <n v="91"/>
    <n v="581"/>
    <m/>
    <d v="2019-03-30T00:00:00"/>
    <m/>
    <m/>
    <m/>
    <m/>
    <m/>
    <m/>
    <m/>
    <m/>
    <m/>
    <m/>
    <m/>
    <m/>
    <m/>
    <m/>
    <m/>
    <m/>
    <m/>
    <m/>
    <m/>
    <n v="91"/>
    <n v="91"/>
    <m/>
    <m/>
    <m/>
    <m/>
    <m/>
    <m/>
    <m/>
    <m/>
    <m/>
    <m/>
    <x v="1"/>
    <m/>
    <m/>
    <m/>
    <m/>
    <m/>
    <m/>
    <m/>
    <m/>
    <m/>
    <m/>
    <m/>
    <m/>
    <m/>
    <m/>
    <m/>
    <m/>
    <n v="1.0416666666666666E-2"/>
    <m/>
    <m/>
    <m/>
    <s v="no test"/>
    <s v="no test"/>
    <x v="1"/>
    <n v="0"/>
    <n v="0"/>
    <n v="0"/>
    <n v="0"/>
    <n v="0"/>
    <n v="0"/>
    <n v="0"/>
    <n v="1"/>
    <n v="581"/>
    <n v="1"/>
    <n v="1"/>
    <n v="1"/>
    <n v="581"/>
    <n v="0"/>
    <n v="29"/>
    <n v="0"/>
    <n v="0"/>
    <n v="0"/>
    <n v="0"/>
    <n v="0"/>
    <n v="0"/>
    <n v="0"/>
    <n v="0"/>
    <n v="0"/>
    <n v="1"/>
    <n v="0"/>
    <n v="0"/>
    <x v="1"/>
    <m/>
    <s v="Yes"/>
    <n v="0"/>
    <s v="Camp"/>
    <x v="3"/>
    <s v="Muslim"/>
    <n v="20.865687000000001"/>
    <n v="92.965980999999999"/>
    <s v="MMR012CMP023"/>
    <x v="0"/>
    <n v="0"/>
    <n v="0"/>
    <n v="0"/>
    <m/>
    <x v="9"/>
    <n v="1"/>
    <n v="0"/>
  </r>
  <r>
    <x v="1"/>
    <x v="2"/>
    <x v="2"/>
    <s v="DFID/HARP"/>
    <x v="0"/>
    <x v="1"/>
    <x v="0"/>
    <x v="15"/>
    <n v="673"/>
    <n v="3095"/>
    <d v="2017-10-01T00:00:00"/>
    <d v="2020-09-30T00:00:00"/>
    <n v="681"/>
    <n v="20"/>
    <n v="65"/>
    <n v="0"/>
    <s v="No"/>
    <n v="17"/>
    <n v="11"/>
    <n v="75"/>
    <n v="76"/>
    <m/>
    <m/>
    <m/>
    <m/>
    <m/>
    <m/>
    <n v="0"/>
    <n v="30"/>
    <n v="2"/>
    <m/>
    <n v="168"/>
    <n v="175"/>
    <n v="37"/>
    <n v="0"/>
    <n v="54"/>
    <n v="1"/>
    <n v="0.86"/>
    <n v="0.2"/>
    <n v="0.2"/>
    <n v="0"/>
    <m/>
    <n v="6"/>
    <x v="0"/>
    <m/>
    <n v="1056"/>
    <n v="2932"/>
    <n v="119"/>
    <n v="70"/>
    <n v="774"/>
    <n v="1123"/>
    <m/>
    <m/>
    <m/>
    <n v="1"/>
    <m/>
    <m/>
    <m/>
    <n v="1"/>
    <n v="0.55000000000000004"/>
    <n v="4.6861184792219276E-2"/>
    <m/>
    <m/>
    <m/>
    <s v="no test"/>
    <s v="no test"/>
    <x v="1"/>
    <n v="1"/>
    <n v="3095"/>
    <n v="0"/>
    <n v="0"/>
    <n v="1"/>
    <n v="3095"/>
    <n v="6.19"/>
    <n v="0"/>
    <n v="0"/>
    <n v="6"/>
    <n v="0"/>
    <n v="1"/>
    <n v="3095"/>
    <n v="300"/>
    <n v="155"/>
    <n v="0"/>
    <n v="0"/>
    <n v="0.04"/>
    <n v="3095"/>
    <n v="3095"/>
    <n v="1123"/>
    <n v="3095"/>
    <n v="3095"/>
    <n v="1"/>
    <n v="0"/>
    <n v="1"/>
    <n v="1"/>
    <x v="0"/>
    <m/>
    <s v="Yes"/>
    <n v="0"/>
    <s v="Camp"/>
    <x v="0"/>
    <s v="Muslim"/>
    <n v="20.206778"/>
    <n v="92.774193999999994"/>
    <s v="MMR012CMP098"/>
    <x v="0"/>
    <n v="12"/>
    <n v="359"/>
    <n v="371"/>
    <m/>
    <x v="10"/>
    <n v="53"/>
    <n v="0"/>
  </r>
  <r>
    <x v="1"/>
    <x v="2"/>
    <x v="2"/>
    <s v="DFID/HARP"/>
    <x v="0"/>
    <x v="1"/>
    <x v="0"/>
    <x v="16"/>
    <n v="2428"/>
    <n v="13302"/>
    <d v="2017-10-01T00:00:00"/>
    <d v="2020-09-30T00:00:00"/>
    <n v="500"/>
    <n v="100"/>
    <n v="490"/>
    <n v="0"/>
    <s v="No"/>
    <n v="51"/>
    <n v="23"/>
    <n v="153"/>
    <n v="196"/>
    <m/>
    <m/>
    <n v="34"/>
    <n v="31"/>
    <n v="87"/>
    <n v="56"/>
    <n v="0"/>
    <n v="30"/>
    <n v="2"/>
    <m/>
    <n v="499"/>
    <n v="772"/>
    <n v="64"/>
    <n v="0.16"/>
    <n v="491"/>
    <n v="0.91"/>
    <n v="0.08"/>
    <n v="0.18"/>
    <n v="0.18"/>
    <n v="20"/>
    <m/>
    <n v="3"/>
    <x v="0"/>
    <m/>
    <n v="1976"/>
    <n v="11265"/>
    <n v="1418"/>
    <n v="1328"/>
    <n v="2728"/>
    <n v="5397"/>
    <m/>
    <m/>
    <m/>
    <n v="0.1"/>
    <m/>
    <m/>
    <m/>
    <n v="0.23"/>
    <n v="0.56999999999999995"/>
    <n v="2.4549290372075181E-2"/>
    <m/>
    <m/>
    <m/>
    <n v="0.91176470588235292"/>
    <n v="0.64367816091954022"/>
    <x v="0"/>
    <n v="1"/>
    <n v="13302"/>
    <n v="0"/>
    <n v="0"/>
    <n v="1"/>
    <n v="13302"/>
    <n v="26.603999999999999"/>
    <n v="0"/>
    <n v="0"/>
    <n v="27"/>
    <n v="0.3960000000000008"/>
    <n v="0.79161028416779433"/>
    <n v="10530"/>
    <n v="150"/>
    <n v="665"/>
    <n v="0"/>
    <n v="0.20838971583220567"/>
    <n v="0.35362694300518133"/>
    <n v="13302"/>
    <n v="13302"/>
    <n v="5397"/>
    <n v="13302"/>
    <n v="13302"/>
    <n v="1"/>
    <n v="0"/>
    <n v="1"/>
    <n v="1"/>
    <x v="0"/>
    <m/>
    <s v="Yes"/>
    <n v="0"/>
    <s v="Camp"/>
    <x v="0"/>
    <s v="Muslim"/>
    <n v="20.18994"/>
    <n v="92.798880999999994"/>
    <s v="MMR012CMP115"/>
    <x v="0"/>
    <n v="214"/>
    <n v="1333"/>
    <n v="1547"/>
    <m/>
    <x v="11"/>
    <n v="32"/>
    <n v="0"/>
  </r>
  <r>
    <x v="1"/>
    <x v="5"/>
    <x v="5"/>
    <s v="MHF,EU"/>
    <x v="0"/>
    <x v="1"/>
    <x v="0"/>
    <x v="17"/>
    <n v="2260"/>
    <n v="11487"/>
    <s v="1-March-2019_x000a_1-March-2019"/>
    <s v="31-July-2019_x000a_31-Oct-2019"/>
    <n v="549"/>
    <n v="14"/>
    <n v="118"/>
    <m/>
    <s v="Yes"/>
    <n v="79"/>
    <n v="53"/>
    <n v="319"/>
    <n v="341"/>
    <m/>
    <m/>
    <n v="321"/>
    <n v="125"/>
    <n v="279"/>
    <n v="58"/>
    <n v="45"/>
    <s v="within 1 week"/>
    <m/>
    <s v="According to the water testing, the contamination of household level is higher than the water source.According to the KAP surveys showed that their practices were good but in practical were less what we expected.So, we included one of the activities of awarding to the cleanest household by passing through the criteria of household visit observation scores, interview results as well as the result of water testing with No Risk. The awarded HHs are 45. We renovated most of the water points in Ohn Taw Gyi south including government,IRW as well as others. 48 times of chlorination to the water source were done during this reporting period."/>
    <n v="392"/>
    <n v="434"/>
    <n v="243"/>
    <n v="0.52"/>
    <n v="3437"/>
    <m/>
    <m/>
    <m/>
    <m/>
    <n v="32"/>
    <n v="51"/>
    <m/>
    <x v="0"/>
    <s v="Emptying of sludge is under demands and the % of feeling safe to use latrine for the women is less and it can be because most of the latrines were repaired and they have to go and use the other part of latrines during the repairing time. 2 incinerators were repaired during this period and  2 times of mass cleaning campaigns were done during this reporting period._x000a_"/>
    <n v="3242"/>
    <n v="4791"/>
    <n v="4279"/>
    <n v="4095"/>
    <n v="2260"/>
    <n v="2027"/>
    <n v="0.15"/>
    <n v="0.7"/>
    <n v="0.96"/>
    <n v="0.67"/>
    <s v="2pcs of family care soap were distributed to the household during this period to include the PDM's feedback.According to the KAP survey, the knowledge is higher than we expact but in practical is less than what we expacted."/>
    <n v="0.94"/>
    <n v="0.95"/>
    <n v="2482"/>
    <n v="0.16"/>
    <n v="2.4549290372075181E-2"/>
    <m/>
    <m/>
    <s v="73% of the respondents said that DRC"/>
    <n v="0.38940809968847351"/>
    <n v="0.2078853046594982"/>
    <x v="0"/>
    <n v="1"/>
    <n v="11487"/>
    <n v="0"/>
    <n v="0"/>
    <n v="1"/>
    <n v="11487"/>
    <n v="22.974"/>
    <n v="0"/>
    <n v="0"/>
    <n v="23"/>
    <n v="2.5999999999999801E-2"/>
    <n v="0.74266562200748676"/>
    <n v="8531"/>
    <n v="0"/>
    <n v="574"/>
    <n v="140"/>
    <n v="0.25733437799251324"/>
    <n v="9.6774193548387094E-2"/>
    <n v="11487"/>
    <n v="11487"/>
    <n v="2027"/>
    <n v="11487"/>
    <n v="11487"/>
    <n v="1"/>
    <n v="0"/>
    <n v="1"/>
    <n v="1"/>
    <x v="0"/>
    <n v="0.21607034038478279"/>
    <s v="Yes"/>
    <n v="0"/>
    <s v="Camp"/>
    <x v="0"/>
    <s v="Muslim"/>
    <n v="20.185092000000001"/>
    <n v="92.802295999999998"/>
    <s v="MMR012CMP116"/>
    <x v="0"/>
    <n v="218"/>
    <n v="1169"/>
    <n v="1387"/>
    <m/>
    <x v="11"/>
    <n v="32"/>
    <m/>
  </r>
  <r>
    <x v="1"/>
    <x v="5"/>
    <x v="5"/>
    <s v="MHF,EU"/>
    <x v="0"/>
    <x v="1"/>
    <x v="0"/>
    <x v="18"/>
    <n v="400"/>
    <n v="2285"/>
    <s v="1-March-2019_x000a_1-March-2019"/>
    <s v="31-July-2019_x000a_31-Oct-2019"/>
    <n v="46"/>
    <n v="6"/>
    <n v="33"/>
    <m/>
    <s v="No"/>
    <n v="25"/>
    <n v="14"/>
    <n v="55"/>
    <n v="59"/>
    <m/>
    <m/>
    <n v="165"/>
    <n v="102"/>
    <n v="136"/>
    <n v="57"/>
    <n v="13"/>
    <s v="within 1 week"/>
    <m/>
    <s v="According to the water testing, the contamination of household level is higher than the water source.According to the KAP surveys showed that their practices were good but in practical were less what we expected.So, we included one of the activities of awarding to the cleanest household by passing through the criteria of household visit observation scores, interview results as well as the result of water testing with No Risk. The awarded HHs are 13.We renovated all the water points of DRC in Phwe Yar Gone camp.40 times of chlorination at water source were done during this reporting period."/>
    <n v="123"/>
    <n v="1"/>
    <n v="0"/>
    <n v="0.28999999999999998"/>
    <n v="1536"/>
    <n v="1"/>
    <n v="1"/>
    <n v="1"/>
    <n v="1"/>
    <n v="0"/>
    <n v="10"/>
    <m/>
    <x v="0"/>
    <s v="1 incinerator was repaired during the reporting time of period._x000a_2 times of mass cleaning campaigns were done."/>
    <n v="601"/>
    <n v="1025"/>
    <n v="797"/>
    <n v="881"/>
    <n v="399"/>
    <n v="343"/>
    <n v="0.27"/>
    <n v="1"/>
    <n v="0.98"/>
    <m/>
    <s v="2pcs of family care soap were distributed to the household during this period to include the PDM's feedback.According to the KAP survey, the knowledge is higher than we expact but in practical is less than what we expacted."/>
    <n v="1"/>
    <n v="1"/>
    <n v="844"/>
    <n v="0.33"/>
    <n v="0"/>
    <m/>
    <m/>
    <s v="93% of the respondents said that DRC"/>
    <n v="0.61818181818181817"/>
    <n v="0.41911764705882354"/>
    <x v="0"/>
    <n v="1"/>
    <n v="2285"/>
    <n v="0"/>
    <n v="0"/>
    <n v="1"/>
    <n v="2285"/>
    <n v="4.57"/>
    <n v="0"/>
    <n v="0"/>
    <n v="5"/>
    <n v="0.42999999999999972"/>
    <n v="1"/>
    <n v="2285"/>
    <n v="0"/>
    <n v="114"/>
    <n v="113"/>
    <n v="0"/>
    <n v="-122"/>
    <n v="2285"/>
    <n v="1995"/>
    <n v="343"/>
    <n v="1995"/>
    <n v="2285"/>
    <n v="1"/>
    <n v="0"/>
    <n v="1"/>
    <n v="0.99750000000000005"/>
    <x v="0"/>
    <n v="0.36936542669584244"/>
    <n v="0"/>
    <n v="0"/>
    <s v="Camp"/>
    <x v="0"/>
    <s v="Muslim"/>
    <n v="20.207284999999999"/>
    <n v="92.788177000000005"/>
    <s v="MMR012CMP045"/>
    <x v="0"/>
    <n v="0"/>
    <n v="0"/>
    <n v="0"/>
    <m/>
    <x v="12"/>
    <n v="0"/>
    <n v="0"/>
  </r>
  <r>
    <x v="1"/>
    <x v="2"/>
    <x v="2"/>
    <s v="DFID/HARP"/>
    <x v="0"/>
    <x v="1"/>
    <x v="0"/>
    <x v="19"/>
    <n v="2280"/>
    <n v="11564"/>
    <d v="2017-10-01T00:00:00"/>
    <d v="2020-09-30T00:00:00"/>
    <n v="1444"/>
    <n v="49"/>
    <n v="193"/>
    <n v="0"/>
    <s v="No"/>
    <n v="60"/>
    <n v="26"/>
    <n v="171"/>
    <n v="189"/>
    <m/>
    <m/>
    <n v="166"/>
    <n v="155"/>
    <n v="98"/>
    <n v="67"/>
    <n v="0"/>
    <n v="30"/>
    <n v="8"/>
    <m/>
    <n v="500"/>
    <n v="520"/>
    <n v="120"/>
    <n v="0.08"/>
    <n v="390"/>
    <n v="1"/>
    <n v="0.73"/>
    <n v="0"/>
    <n v="0"/>
    <n v="12"/>
    <m/>
    <n v="53"/>
    <x v="0"/>
    <m/>
    <n v="759"/>
    <n v="12710"/>
    <n v="1125"/>
    <n v="1166"/>
    <n v="2280"/>
    <n v="4333"/>
    <m/>
    <m/>
    <m/>
    <n v="0.54"/>
    <m/>
    <m/>
    <m/>
    <n v="0.56000000000000005"/>
    <n v="0.51"/>
    <n v="2.3584905660377358E-3"/>
    <m/>
    <m/>
    <m/>
    <n v="0.9337349397590361"/>
    <n v="0.68367346938775508"/>
    <x v="0"/>
    <n v="1"/>
    <n v="11564"/>
    <n v="0"/>
    <n v="0"/>
    <n v="1"/>
    <n v="11564"/>
    <n v="23.128"/>
    <n v="0"/>
    <n v="0"/>
    <n v="23"/>
    <n v="0"/>
    <n v="1"/>
    <n v="11564"/>
    <n v="1444"/>
    <n v="578"/>
    <n v="58"/>
    <n v="0"/>
    <n v="3.8461538461538464E-2"/>
    <n v="11564"/>
    <n v="11564"/>
    <n v="4333"/>
    <n v="11564"/>
    <n v="11564"/>
    <n v="1"/>
    <n v="0"/>
    <n v="1"/>
    <n v="1"/>
    <x v="0"/>
    <m/>
    <s v="Yes"/>
    <n v="0"/>
    <s v="Camp"/>
    <x v="0"/>
    <s v="Muslim"/>
    <n v="20.202525000000001"/>
    <n v="92.792479999999998"/>
    <s v="MMR012CMP045"/>
    <x v="0"/>
    <n v="116"/>
    <n v="1099"/>
    <n v="1215"/>
    <m/>
    <x v="13"/>
    <n v="4"/>
    <n v="0"/>
  </r>
  <r>
    <x v="1"/>
    <x v="6"/>
    <x v="6"/>
    <s v="OFDA"/>
    <x v="0"/>
    <x v="0"/>
    <x v="0"/>
    <x v="20"/>
    <n v="744"/>
    <n v="2805"/>
    <d v="2019-04-01T00:00:00"/>
    <d v="2020-03-31T00:00:00"/>
    <n v="209"/>
    <n v="3"/>
    <n v="19"/>
    <n v="0"/>
    <s v="Yes"/>
    <n v="17"/>
    <n v="5"/>
    <n v="24"/>
    <n v="24"/>
    <n v="4779000"/>
    <m/>
    <n v="23"/>
    <n v="21"/>
    <n v="148"/>
    <n v="116"/>
    <m/>
    <m/>
    <n v="2"/>
    <m/>
    <n v="357"/>
    <n v="358"/>
    <n v="69"/>
    <m/>
    <m/>
    <m/>
    <m/>
    <m/>
    <m/>
    <m/>
    <m/>
    <n v="3"/>
    <x v="0"/>
    <m/>
    <m/>
    <m/>
    <m/>
    <m/>
    <m/>
    <m/>
    <m/>
    <m/>
    <m/>
    <n v="1"/>
    <m/>
    <m/>
    <m/>
    <m/>
    <m/>
    <n v="0"/>
    <m/>
    <m/>
    <m/>
    <n v="0.91304347826086951"/>
    <n v="0.78378378378378377"/>
    <x v="0"/>
    <n v="1"/>
    <n v="2805"/>
    <n v="0"/>
    <n v="0"/>
    <n v="1"/>
    <n v="2805"/>
    <n v="5.61"/>
    <n v="0"/>
    <n v="0"/>
    <n v="6"/>
    <n v="0.38999999999999968"/>
    <n v="1"/>
    <n v="2805"/>
    <n v="150"/>
    <n v="140"/>
    <n v="0"/>
    <n v="0"/>
    <n v="2.7932960893854749E-3"/>
    <n v="0"/>
    <n v="0"/>
    <n v="0"/>
    <n v="0"/>
    <n v="0"/>
    <n v="0"/>
    <n v="1"/>
    <n v="0"/>
    <n v="0"/>
    <x v="0"/>
    <m/>
    <s v="Yes"/>
    <s v="DRC"/>
    <s v="Camp"/>
    <x v="0"/>
    <s v="Muslim"/>
    <n v="20.064226000000001"/>
    <n v="92.993758999999997"/>
    <s v="MMR012CMP019"/>
    <x v="0"/>
    <n v="125"/>
    <n v="401"/>
    <n v="526"/>
    <m/>
    <x v="14"/>
    <n v="0"/>
    <n v="0"/>
  </r>
  <r>
    <x v="1"/>
    <x v="7"/>
    <x v="7"/>
    <s v="UNICEF"/>
    <x v="0"/>
    <x v="4"/>
    <x v="0"/>
    <x v="21"/>
    <n v="716"/>
    <n v="2920"/>
    <d v="2019-03-06T00:00:00"/>
    <d v="2020-03-06T00:00:00"/>
    <n v="920"/>
    <n v="14"/>
    <n v="20"/>
    <n v="0"/>
    <s v="Yes"/>
    <n v="9"/>
    <n v="9"/>
    <n v="7"/>
    <n v="7"/>
    <m/>
    <n v="8670000"/>
    <n v="24"/>
    <n v="21"/>
    <n v="24"/>
    <n v="24"/>
    <n v="716"/>
    <m/>
    <n v="3"/>
    <m/>
    <n v="197"/>
    <n v="197"/>
    <n v="82"/>
    <m/>
    <m/>
    <n v="1"/>
    <n v="0.87"/>
    <n v="1"/>
    <n v="0.9"/>
    <n v="31"/>
    <n v="114"/>
    <n v="6"/>
    <x v="0"/>
    <m/>
    <n v="186"/>
    <n v="844"/>
    <n v="217"/>
    <n v="302"/>
    <n v="716"/>
    <n v="879"/>
    <n v="1"/>
    <n v="0.94"/>
    <n v="0.91"/>
    <n v="1"/>
    <m/>
    <n v="1"/>
    <n v="1"/>
    <n v="1"/>
    <n v="1"/>
    <n v="1.0273972602739725E-2"/>
    <s v="No"/>
    <m/>
    <m/>
    <n v="0.875"/>
    <n v="1"/>
    <x v="0"/>
    <n v="1"/>
    <n v="2920"/>
    <n v="1"/>
    <n v="2920"/>
    <n v="1"/>
    <n v="2920"/>
    <n v="5.84"/>
    <n v="0"/>
    <n v="0"/>
    <n v="6"/>
    <n v="0.16000000000000014"/>
    <n v="1"/>
    <n v="2920"/>
    <n v="300"/>
    <n v="146"/>
    <n v="0"/>
    <n v="0"/>
    <n v="0"/>
    <n v="1549"/>
    <n v="2920"/>
    <n v="879"/>
    <n v="2920"/>
    <n v="2920"/>
    <n v="1"/>
    <n v="0"/>
    <n v="0.53047945205479452"/>
    <n v="1"/>
    <x v="0"/>
    <m/>
    <s v="Yes"/>
    <s v="RI"/>
    <s v="Camp"/>
    <x v="0"/>
    <s v="Muslim"/>
    <n v="20.037655000000001"/>
    <n v="93.370037999999994"/>
    <s v="MMR012CMP014"/>
    <x v="0"/>
    <n v="54"/>
    <n v="319"/>
    <n v="373"/>
    <m/>
    <x v="15"/>
    <n v="3"/>
    <n v="0"/>
  </r>
  <r>
    <x v="1"/>
    <x v="1"/>
    <x v="1"/>
    <s v="DFID/HARP"/>
    <x v="0"/>
    <x v="1"/>
    <x v="0"/>
    <x v="22"/>
    <n v="1139"/>
    <n v="6016"/>
    <d v="2017-10-01T00:00:00"/>
    <d v="2020-09-30T00:00:00"/>
    <n v="1094"/>
    <n v="49"/>
    <n v="175"/>
    <n v="0"/>
    <s v="No"/>
    <n v="9"/>
    <n v="7"/>
    <n v="41"/>
    <n v="45"/>
    <m/>
    <m/>
    <n v="40"/>
    <n v="36"/>
    <n v="80"/>
    <n v="32"/>
    <n v="0"/>
    <n v="30"/>
    <n v="2"/>
    <m/>
    <n v="181"/>
    <n v="253"/>
    <n v="121"/>
    <n v="0.77"/>
    <n v="282"/>
    <n v="1"/>
    <n v="0.97"/>
    <n v="0.45"/>
    <n v="0.45"/>
    <n v="0"/>
    <m/>
    <n v="3"/>
    <x v="0"/>
    <m/>
    <n v="21"/>
    <n v="100"/>
    <n v="416"/>
    <n v="385"/>
    <n v="1139"/>
    <n v="1745"/>
    <m/>
    <m/>
    <m/>
    <m/>
    <m/>
    <m/>
    <m/>
    <n v="0.46"/>
    <n v="0.55000000000000004"/>
    <n v="0"/>
    <m/>
    <m/>
    <m/>
    <n v="0.9"/>
    <n v="0.4"/>
    <x v="0"/>
    <n v="1"/>
    <n v="6016"/>
    <n v="0"/>
    <n v="0"/>
    <n v="1"/>
    <n v="6016"/>
    <n v="12.032"/>
    <n v="0"/>
    <n v="0"/>
    <n v="12"/>
    <n v="0"/>
    <n v="0.62666223404255317"/>
    <n v="3770"/>
    <n v="150"/>
    <n v="301"/>
    <n v="48"/>
    <n v="0.37333776595744683"/>
    <n v="0.28458498023715417"/>
    <n v="922"/>
    <n v="6016"/>
    <n v="1745"/>
    <n v="6016"/>
    <n v="6016"/>
    <n v="1"/>
    <n v="0"/>
    <n v="0.15325797872340424"/>
    <n v="1"/>
    <x v="0"/>
    <m/>
    <s v="Yes"/>
    <n v="0"/>
    <s v="Camp"/>
    <x v="3"/>
    <s v="Muslim"/>
    <n v="20.1585"/>
    <n v="92.839416999999997"/>
    <s v="MMR012CMP046"/>
    <x v="0"/>
    <n v="283"/>
    <n v="715"/>
    <n v="998"/>
    <m/>
    <x v="16"/>
    <n v="0"/>
    <n v="0"/>
  </r>
  <r>
    <x v="1"/>
    <x v="2"/>
    <x v="2"/>
    <s v="DFID/HARP"/>
    <x v="0"/>
    <x v="1"/>
    <x v="0"/>
    <x v="23"/>
    <n v="1013"/>
    <n v="5950"/>
    <d v="2017-10-01T00:00:00"/>
    <d v="2020-09-30T00:00:00"/>
    <n v="1558"/>
    <n v="70"/>
    <n v="242"/>
    <n v="0"/>
    <s v="No"/>
    <n v="23"/>
    <n v="14"/>
    <n v="56"/>
    <n v="69"/>
    <m/>
    <m/>
    <n v="40"/>
    <n v="33"/>
    <n v="52"/>
    <n v="22"/>
    <n v="0"/>
    <n v="30"/>
    <n v="5"/>
    <m/>
    <n v="263"/>
    <n v="361"/>
    <n v="6"/>
    <n v="0.05"/>
    <n v="332"/>
    <n v="0.93"/>
    <n v="0.04"/>
    <n v="0.74"/>
    <n v="0.74"/>
    <n v="4"/>
    <m/>
    <n v="11"/>
    <x v="0"/>
    <m/>
    <n v="354"/>
    <n v="2672"/>
    <n v="1001"/>
    <n v="798"/>
    <n v="1013"/>
    <n v="2192"/>
    <m/>
    <m/>
    <m/>
    <n v="0.67"/>
    <m/>
    <m/>
    <m/>
    <n v="0.12"/>
    <n v="0.64"/>
    <n v="1.1220196353436185E-2"/>
    <m/>
    <m/>
    <m/>
    <n v="0.82499999999999996"/>
    <n v="0.42307692307692307"/>
    <x v="0"/>
    <n v="1"/>
    <n v="5950"/>
    <n v="0"/>
    <n v="0"/>
    <n v="1"/>
    <n v="5950"/>
    <n v="11.9"/>
    <n v="0"/>
    <n v="0"/>
    <n v="12"/>
    <n v="9.9999999999999645E-2"/>
    <n v="0.98991596638655466"/>
    <n v="5890"/>
    <n v="550"/>
    <n v="298"/>
    <n v="0"/>
    <n v="1.0084033613445342E-2"/>
    <n v="0.27146814404432135"/>
    <n v="4825"/>
    <n v="5950"/>
    <n v="2192"/>
    <n v="5950"/>
    <n v="5950"/>
    <n v="1"/>
    <n v="0"/>
    <n v="0.81092436974789917"/>
    <n v="1"/>
    <x v="0"/>
    <m/>
    <s v="Yes"/>
    <n v="0"/>
    <s v="Camp"/>
    <x v="0"/>
    <s v="Muslim"/>
    <n v="20.179939999999998"/>
    <n v="92.831879000000001"/>
    <s v="MMR012CMP048"/>
    <x v="0"/>
    <n v="111"/>
    <n v="853"/>
    <n v="964"/>
    <m/>
    <x v="17"/>
    <n v="8"/>
    <n v="0"/>
  </r>
  <r>
    <x v="1"/>
    <x v="2"/>
    <x v="2"/>
    <s v="DFID/HARP"/>
    <x v="0"/>
    <x v="1"/>
    <x v="0"/>
    <x v="24"/>
    <n v="299"/>
    <n v="1670"/>
    <d v="2017-10-01T00:00:00"/>
    <d v="2020-09-30T00:00:00"/>
    <n v="870"/>
    <m/>
    <n v="18"/>
    <n v="0"/>
    <s v="No"/>
    <n v="6"/>
    <m/>
    <m/>
    <m/>
    <m/>
    <m/>
    <m/>
    <m/>
    <m/>
    <m/>
    <n v="0"/>
    <n v="30"/>
    <n v="6"/>
    <m/>
    <m/>
    <m/>
    <m/>
    <m/>
    <m/>
    <m/>
    <m/>
    <m/>
    <m/>
    <n v="0"/>
    <m/>
    <m/>
    <x v="1"/>
    <m/>
    <n v="48"/>
    <n v="550"/>
    <n v="616"/>
    <n v="740"/>
    <n v="299"/>
    <n v="738"/>
    <m/>
    <m/>
    <m/>
    <n v="0.5"/>
    <m/>
    <m/>
    <m/>
    <m/>
    <m/>
    <n v="0"/>
    <m/>
    <m/>
    <m/>
    <s v="no test"/>
    <s v="no test"/>
    <x v="1"/>
    <n v="1"/>
    <n v="1670"/>
    <n v="0"/>
    <n v="0"/>
    <n v="1"/>
    <n v="1670"/>
    <n v="3.34"/>
    <n v="0"/>
    <n v="0"/>
    <n v="3"/>
    <n v="0"/>
    <n v="0"/>
    <n v="0"/>
    <n v="0"/>
    <n v="84"/>
    <n v="84"/>
    <n v="1"/>
    <s v="NA"/>
    <n v="1670"/>
    <n v="1670"/>
    <n v="738"/>
    <n v="1670"/>
    <n v="1670"/>
    <n v="1"/>
    <n v="0"/>
    <n v="1"/>
    <n v="1"/>
    <x v="0"/>
    <m/>
    <s v="Yes"/>
    <n v="0"/>
    <s v="Camp"/>
    <x v="1"/>
    <s v="Muslim"/>
    <n v="20.181742"/>
    <n v="92.842230000000001"/>
    <s v="MMR012CMP091"/>
    <x v="0"/>
    <n v="0"/>
    <n v="0"/>
    <n v="0"/>
    <m/>
    <x v="18"/>
    <n v="0"/>
    <n v="0"/>
  </r>
  <r>
    <x v="2"/>
    <x v="0"/>
    <x v="0"/>
    <s v="ECHO, OFDA, MHF"/>
    <x v="0"/>
    <x v="0"/>
    <x v="0"/>
    <x v="0"/>
    <n v="1112"/>
    <n v="4836"/>
    <d v="2018-10-01T00:00:00"/>
    <d v="2020-06-30T00:00:00"/>
    <n v="965"/>
    <m/>
    <m/>
    <n v="45"/>
    <s v="Yes"/>
    <n v="11"/>
    <n v="2"/>
    <n v="5"/>
    <n v="5"/>
    <n v="0"/>
    <n v="15119511"/>
    <n v="184"/>
    <n v="184"/>
    <n v="21"/>
    <n v="15"/>
    <m/>
    <m/>
    <m/>
    <m/>
    <n v="172"/>
    <n v="185"/>
    <m/>
    <m/>
    <m/>
    <m/>
    <m/>
    <m/>
    <m/>
    <n v="26"/>
    <n v="69"/>
    <n v="12"/>
    <x v="0"/>
    <m/>
    <n v="991"/>
    <n v="1139"/>
    <n v="1428"/>
    <n v="1278"/>
    <n v="1112"/>
    <n v="1112"/>
    <m/>
    <n v="0.68"/>
    <n v="0"/>
    <n v="0"/>
    <s v="Data about proctice of handwashing from last KAP done in september 2019"/>
    <m/>
    <m/>
    <m/>
    <m/>
    <e v="#DIV/0!"/>
    <s v="No"/>
    <s v="NA"/>
    <s v="YES"/>
    <n v="1"/>
    <n v="0.7142857142857143"/>
    <x v="0"/>
    <n v="0.51695616211745243"/>
    <n v="2500"/>
    <n v="1"/>
    <n v="4836"/>
    <n v="1"/>
    <n v="4836"/>
    <n v="9.6720000000000006"/>
    <n v="0"/>
    <n v="0"/>
    <n v="10"/>
    <n v="0.3279999999999994"/>
    <n v="0.95719602977667495"/>
    <n v="4629"/>
    <n v="600"/>
    <n v="242"/>
    <n v="57"/>
    <n v="4.280397022332505E-2"/>
    <n v="7.0270270270270274E-2"/>
    <n v="4836"/>
    <n v="4836"/>
    <n v="1112"/>
    <n v="4836"/>
    <n v="4836"/>
    <n v="1"/>
    <n v="0"/>
    <n v="1"/>
    <n v="1"/>
    <x v="0"/>
    <m/>
    <s v="Yes"/>
    <s v="LWF"/>
    <s v="Camp"/>
    <x v="0"/>
    <s v="Muslim"/>
    <n v="20.108101999999999"/>
    <n v="92.985095000000001"/>
    <s v="MMR012CMP016"/>
    <x v="0"/>
    <n v="79"/>
    <n v="615"/>
    <n v="694"/>
    <m/>
    <x v="0"/>
    <m/>
    <m/>
  </r>
  <r>
    <x v="2"/>
    <x v="1"/>
    <x v="1"/>
    <s v="DFID/HARP"/>
    <x v="0"/>
    <x v="1"/>
    <x v="0"/>
    <x v="1"/>
    <n v="397"/>
    <n v="2111"/>
    <d v="2017-10-01T00:00:00"/>
    <d v="2020-09-30T00:00:00"/>
    <n v="1642"/>
    <n v="16"/>
    <n v="35"/>
    <n v="0"/>
    <s v="No"/>
    <n v="5"/>
    <n v="5"/>
    <n v="22"/>
    <n v="25"/>
    <m/>
    <m/>
    <n v="20"/>
    <n v="19"/>
    <n v="38"/>
    <n v="26"/>
    <n v="0"/>
    <n v="395"/>
    <n v="9"/>
    <m/>
    <n v="113"/>
    <n v="120"/>
    <n v="9"/>
    <n v="0"/>
    <n v="106"/>
    <n v="1"/>
    <n v="0.96"/>
    <n v="0.83"/>
    <n v="0.83"/>
    <n v="0"/>
    <m/>
    <n v="18"/>
    <x v="0"/>
    <m/>
    <n v="20"/>
    <n v="143"/>
    <n v="442"/>
    <n v="336"/>
    <n v="382"/>
    <m/>
    <m/>
    <m/>
    <m/>
    <n v="0.67"/>
    <m/>
    <m/>
    <m/>
    <n v="1182.1600000000001"/>
    <n v="0.2"/>
    <e v="#DIV/0!"/>
    <m/>
    <m/>
    <m/>
    <n v="0.95"/>
    <n v="0.68421052631578949"/>
    <x v="0"/>
    <n v="1"/>
    <n v="2111"/>
    <n v="0"/>
    <n v="0"/>
    <n v="1"/>
    <n v="2111"/>
    <n v="4.2220000000000004"/>
    <n v="0"/>
    <n v="0"/>
    <n v="4"/>
    <n v="0"/>
    <n v="1"/>
    <n v="2111"/>
    <n v="900"/>
    <n v="106"/>
    <n v="0"/>
    <n v="0"/>
    <n v="5.8333333333333334E-2"/>
    <n v="941"/>
    <n v="1910"/>
    <n v="0"/>
    <n v="1910"/>
    <n v="1910"/>
    <n v="0.90478446234012322"/>
    <n v="9.5215537659876781E-2"/>
    <n v="0.44576030317385124"/>
    <n v="0.96221662468513858"/>
    <x v="0"/>
    <n v="0.56000000000000005"/>
    <s v="Yes"/>
    <n v="0"/>
    <s v="Camp"/>
    <x v="0"/>
    <s v="Muslim"/>
    <n v="20.128488999999998"/>
    <n v="92.875814000000005"/>
    <s v="MMR012CMP039"/>
    <x v="0"/>
    <n v="99"/>
    <n v="287"/>
    <n v="386"/>
    <m/>
    <x v="0"/>
    <m/>
    <m/>
  </r>
  <r>
    <x v="2"/>
    <x v="1"/>
    <x v="1"/>
    <s v="DFID/HARP"/>
    <x v="0"/>
    <x v="1"/>
    <x v="0"/>
    <x v="2"/>
    <n v="1015"/>
    <n v="4892"/>
    <d v="2017-10-01T00:00:00"/>
    <d v="2020-09-30T00:00:00"/>
    <n v="3364"/>
    <n v="40"/>
    <n v="180"/>
    <n v="0"/>
    <s v="No"/>
    <n v="16"/>
    <n v="15"/>
    <n v="47"/>
    <n v="50"/>
    <m/>
    <m/>
    <n v="45"/>
    <n v="41"/>
    <n v="50"/>
    <n v="34"/>
    <n v="0"/>
    <n v="1016"/>
    <n v="24"/>
    <m/>
    <n v="234"/>
    <n v="254"/>
    <n v="224"/>
    <n v="0.26"/>
    <n v="483"/>
    <n v="0.99"/>
    <n v="0.84"/>
    <n v="0.84"/>
    <n v="0.84"/>
    <n v="4"/>
    <m/>
    <n v="32"/>
    <x v="0"/>
    <m/>
    <n v="154"/>
    <n v="934"/>
    <n v="1427"/>
    <n v="1724"/>
    <n v="1016"/>
    <m/>
    <m/>
    <m/>
    <m/>
    <n v="0.27"/>
    <m/>
    <m/>
    <m/>
    <n v="1467.6"/>
    <n v="0.85"/>
    <e v="#DIV/0!"/>
    <m/>
    <m/>
    <m/>
    <n v="0.91111111111111109"/>
    <n v="0.68"/>
    <x v="0"/>
    <n v="1"/>
    <n v="4892"/>
    <n v="0"/>
    <n v="0"/>
    <n v="1"/>
    <n v="4892"/>
    <n v="9.7840000000000007"/>
    <n v="0"/>
    <n v="0"/>
    <n v="10"/>
    <n v="0.2159999999999993"/>
    <n v="1"/>
    <n v="4892"/>
    <n v="1600"/>
    <n v="245"/>
    <n v="0"/>
    <n v="0"/>
    <n v="7.874015748031496E-2"/>
    <n v="4239"/>
    <n v="4892"/>
    <n v="0"/>
    <n v="4892"/>
    <n v="4892"/>
    <n v="1"/>
    <n v="0"/>
    <n v="0.86651676206050698"/>
    <n v="1"/>
    <x v="0"/>
    <n v="0.3"/>
    <s v="Yes"/>
    <n v="0"/>
    <s v="Camp"/>
    <x v="0"/>
    <s v="Muslim"/>
    <n v="20.179417000000001"/>
    <n v="92.813028000000003"/>
    <s v="MMR012CMP113"/>
    <x v="0"/>
    <n v="124"/>
    <n v="410"/>
    <n v="534"/>
    <m/>
    <x v="0"/>
    <m/>
    <m/>
  </r>
  <r>
    <x v="2"/>
    <x v="1"/>
    <x v="1"/>
    <s v="DFID/HARP"/>
    <x v="0"/>
    <x v="1"/>
    <x v="0"/>
    <x v="3"/>
    <n v="1333"/>
    <n v="6936"/>
    <d v="2017-10-01T00:00:00"/>
    <d v="2020-09-30T00:00:00"/>
    <n v="3041"/>
    <m/>
    <m/>
    <n v="0"/>
    <s v="No"/>
    <m/>
    <m/>
    <n v="67"/>
    <n v="80"/>
    <m/>
    <m/>
    <n v="59"/>
    <n v="57"/>
    <n v="46"/>
    <n v="26"/>
    <n v="0"/>
    <n v="1329"/>
    <m/>
    <m/>
    <n v="253"/>
    <n v="328"/>
    <m/>
    <n v="0.7"/>
    <m/>
    <m/>
    <m/>
    <m/>
    <m/>
    <m/>
    <m/>
    <m/>
    <x v="0"/>
    <m/>
    <m/>
    <m/>
    <m/>
    <m/>
    <n v="1323"/>
    <m/>
    <m/>
    <m/>
    <m/>
    <m/>
    <m/>
    <m/>
    <m/>
    <m/>
    <m/>
    <e v="#DIV/0!"/>
    <m/>
    <m/>
    <m/>
    <n v="0.96610169491525422"/>
    <n v="0.56521739130434778"/>
    <x v="0"/>
    <n v="1"/>
    <n v="6936"/>
    <n v="0"/>
    <n v="0"/>
    <n v="1"/>
    <n v="6936"/>
    <n v="13.872"/>
    <n v="0"/>
    <n v="0"/>
    <n v="14"/>
    <n v="0.12800000000000011"/>
    <n v="0.72952710495963091"/>
    <n v="5060"/>
    <n v="0"/>
    <n v="347"/>
    <n v="19"/>
    <n v="0.27047289504036909"/>
    <n v="0.22865853658536586"/>
    <n v="0"/>
    <n v="6615"/>
    <n v="0"/>
    <n v="6615"/>
    <n v="6615"/>
    <n v="0.95371972318339104"/>
    <n v="4.6280276816608956E-2"/>
    <n v="0"/>
    <n v="0.99249812453113273"/>
    <x v="0"/>
    <m/>
    <s v="Yes"/>
    <n v="0"/>
    <s v="Camp"/>
    <x v="0"/>
    <s v="Muslim"/>
    <n v="20.181405999999999"/>
    <n v="92.807552000000001"/>
    <s v="MMR012CMP114"/>
    <x v="0"/>
    <n v="193"/>
    <n v="637"/>
    <n v="830"/>
    <m/>
    <x v="0"/>
    <m/>
    <m/>
  </r>
  <r>
    <x v="2"/>
    <x v="1"/>
    <x v="1"/>
    <s v="DFID/HARP"/>
    <x v="0"/>
    <x v="1"/>
    <x v="0"/>
    <x v="4"/>
    <n v="22"/>
    <n v="114"/>
    <d v="2017-10-01T00:00:00"/>
    <d v="2020-09-30T00:00:00"/>
    <n v="211"/>
    <m/>
    <m/>
    <n v="0"/>
    <m/>
    <m/>
    <m/>
    <m/>
    <m/>
    <m/>
    <m/>
    <m/>
    <m/>
    <m/>
    <m/>
    <n v="0"/>
    <n v="22"/>
    <m/>
    <m/>
    <m/>
    <m/>
    <m/>
    <m/>
    <m/>
    <m/>
    <m/>
    <m/>
    <m/>
    <m/>
    <m/>
    <m/>
    <x v="1"/>
    <m/>
    <m/>
    <m/>
    <m/>
    <m/>
    <n v="22"/>
    <m/>
    <m/>
    <m/>
    <m/>
    <m/>
    <m/>
    <m/>
    <m/>
    <m/>
    <m/>
    <e v="#DIV/0!"/>
    <m/>
    <m/>
    <m/>
    <s v="no test"/>
    <s v="no test"/>
    <x v="1"/>
    <n v="0"/>
    <n v="0"/>
    <n v="0"/>
    <n v="0"/>
    <n v="0"/>
    <n v="0"/>
    <n v="0"/>
    <n v="1"/>
    <n v="114"/>
    <n v="1"/>
    <n v="1"/>
    <n v="0"/>
    <n v="0"/>
    <n v="0"/>
    <n v="6"/>
    <n v="6"/>
    <n v="1"/>
    <s v="NA"/>
    <n v="0"/>
    <n v="114"/>
    <n v="0"/>
    <n v="114"/>
    <n v="114"/>
    <n v="1"/>
    <n v="0"/>
    <n v="0"/>
    <n v="1"/>
    <x v="0"/>
    <m/>
    <s v="Yes"/>
    <n v="0"/>
    <s v="Camp"/>
    <x v="1"/>
    <s v="Muslim"/>
    <n v="20.182987000000001"/>
    <n v="92.804803000000007"/>
    <s v="MMR012CMP103"/>
    <x v="0"/>
    <n v="0"/>
    <n v="0"/>
    <n v="0"/>
    <m/>
    <x v="0"/>
    <m/>
    <m/>
  </r>
  <r>
    <x v="2"/>
    <x v="1"/>
    <x v="1"/>
    <s v="DFID/HARP"/>
    <x v="0"/>
    <x v="1"/>
    <x v="0"/>
    <x v="5"/>
    <n v="1850"/>
    <n v="11625"/>
    <d v="2017-10-01T00:00:00"/>
    <d v="2020-09-30T00:00:00"/>
    <n v="232"/>
    <n v="40"/>
    <n v="160"/>
    <n v="0"/>
    <s v="No"/>
    <n v="10"/>
    <n v="6"/>
    <n v="75"/>
    <n v="83"/>
    <m/>
    <m/>
    <m/>
    <m/>
    <m/>
    <m/>
    <n v="0"/>
    <n v="1850"/>
    <n v="21"/>
    <m/>
    <n v="413"/>
    <n v="498"/>
    <n v="173"/>
    <n v="0.53"/>
    <n v="374"/>
    <n v="0.99"/>
    <n v="0.87"/>
    <n v="0.71"/>
    <n v="0.71"/>
    <n v="8"/>
    <m/>
    <n v="7"/>
    <x v="0"/>
    <m/>
    <n v="185"/>
    <n v="365"/>
    <n v="558"/>
    <n v="414"/>
    <n v="1849"/>
    <m/>
    <m/>
    <m/>
    <m/>
    <n v="0"/>
    <m/>
    <m/>
    <m/>
    <n v="4882.5"/>
    <n v="0.92"/>
    <e v="#DIV/0!"/>
    <m/>
    <m/>
    <m/>
    <s v="no test"/>
    <s v="no test"/>
    <x v="1"/>
    <n v="1"/>
    <n v="11625"/>
    <n v="0"/>
    <n v="0"/>
    <n v="1"/>
    <n v="11625"/>
    <n v="23.25"/>
    <n v="0"/>
    <n v="0"/>
    <n v="23"/>
    <n v="0"/>
    <n v="0.75440860215053762"/>
    <n v="8770"/>
    <n v="232"/>
    <n v="581"/>
    <n v="83"/>
    <n v="0.24559139784946238"/>
    <n v="0.17068273092369479"/>
    <n v="1522"/>
    <n v="9245"/>
    <n v="0"/>
    <n v="9245"/>
    <n v="9245"/>
    <n v="0.79526881720430109"/>
    <n v="0.20473118279569891"/>
    <n v="0.13092473118279571"/>
    <n v="0.99945945945945946"/>
    <x v="0"/>
    <n v="0.42"/>
    <s v="Yes"/>
    <n v="0"/>
    <s v="Camp"/>
    <x v="0"/>
    <s v="Muslim"/>
    <n v="20.16846"/>
    <n v="92.827427"/>
    <s v="MMR012CMP041"/>
    <x v="0"/>
    <n v="92"/>
    <n v="645"/>
    <n v="737"/>
    <m/>
    <x v="0"/>
    <m/>
    <m/>
  </r>
  <r>
    <x v="2"/>
    <x v="1"/>
    <x v="1"/>
    <s v="DFID/HARP"/>
    <x v="0"/>
    <x v="1"/>
    <x v="0"/>
    <x v="6"/>
    <n v="604"/>
    <n v="3360"/>
    <d v="2017-10-01T00:00:00"/>
    <d v="2020-09-30T00:00:00"/>
    <m/>
    <m/>
    <m/>
    <n v="0"/>
    <m/>
    <n v="8"/>
    <n v="3"/>
    <n v="23"/>
    <n v="23"/>
    <m/>
    <m/>
    <m/>
    <m/>
    <m/>
    <m/>
    <n v="0"/>
    <n v="599"/>
    <n v="1"/>
    <m/>
    <m/>
    <m/>
    <m/>
    <m/>
    <m/>
    <m/>
    <m/>
    <m/>
    <m/>
    <m/>
    <m/>
    <n v="10"/>
    <x v="1"/>
    <m/>
    <n v="52"/>
    <n v="192"/>
    <n v="264"/>
    <n v="354"/>
    <n v="598"/>
    <m/>
    <m/>
    <m/>
    <m/>
    <m/>
    <m/>
    <m/>
    <m/>
    <m/>
    <m/>
    <e v="#DIV/0!"/>
    <m/>
    <m/>
    <m/>
    <s v="no test"/>
    <s v="no test"/>
    <x v="1"/>
    <n v="1"/>
    <n v="3360"/>
    <n v="0"/>
    <n v="0"/>
    <n v="1"/>
    <n v="3360"/>
    <n v="6.72"/>
    <n v="0"/>
    <n v="0"/>
    <n v="7"/>
    <n v="0.28000000000000025"/>
    <n v="0.14880952380952381"/>
    <n v="500"/>
    <n v="0"/>
    <n v="168"/>
    <n v="168"/>
    <n v="0.85119047619047616"/>
    <s v="NA"/>
    <n v="862"/>
    <n v="2990"/>
    <n v="0"/>
    <n v="2990"/>
    <n v="2990"/>
    <n v="0.88988095238095233"/>
    <n v="0.11011904761904767"/>
    <n v="0.25654761904761902"/>
    <n v="0.99006622516556286"/>
    <x v="1"/>
    <m/>
    <s v="Yes"/>
    <n v="0"/>
    <s v="Camp"/>
    <x v="1"/>
    <s v="Muslim"/>
    <n v="20.167421999999998"/>
    <n v="92.830074999999994"/>
    <s v="MMR012CMP097"/>
    <x v="0"/>
    <n v="0"/>
    <n v="0"/>
    <n v="0"/>
    <m/>
    <x v="0"/>
    <m/>
    <m/>
  </r>
  <r>
    <x v="2"/>
    <x v="2"/>
    <x v="2"/>
    <s v="DFID/HARP"/>
    <x v="0"/>
    <x v="1"/>
    <x v="0"/>
    <x v="7"/>
    <n v="400"/>
    <n v="2248"/>
    <d v="2017-10-01T00:00:00"/>
    <d v="2020-09-30T00:00:00"/>
    <n v="444"/>
    <n v="20"/>
    <n v="59"/>
    <n v="0"/>
    <s v="No"/>
    <n v="5"/>
    <n v="2"/>
    <n v="50"/>
    <n v="52"/>
    <m/>
    <m/>
    <n v="4"/>
    <n v="3"/>
    <m/>
    <m/>
    <n v="400"/>
    <n v="30"/>
    <n v="1"/>
    <m/>
    <n v="81"/>
    <n v="106"/>
    <n v="52"/>
    <n v="0.42"/>
    <n v="109"/>
    <n v="1"/>
    <n v="0.36"/>
    <n v="1"/>
    <n v="1"/>
    <n v="8"/>
    <m/>
    <n v="7"/>
    <x v="0"/>
    <m/>
    <n v="481"/>
    <n v="2971"/>
    <n v="2354"/>
    <n v="3191"/>
    <n v="400"/>
    <m/>
    <m/>
    <m/>
    <m/>
    <n v="0"/>
    <m/>
    <m/>
    <m/>
    <n v="2248"/>
    <n v="1"/>
    <e v="#DIV/0!"/>
    <m/>
    <m/>
    <m/>
    <n v="0.75"/>
    <s v="no test"/>
    <x v="0"/>
    <n v="1"/>
    <n v="2248"/>
    <n v="0"/>
    <n v="0"/>
    <n v="1"/>
    <n v="2248"/>
    <n v="4.4960000000000004"/>
    <n v="0"/>
    <n v="0"/>
    <n v="4"/>
    <n v="0"/>
    <n v="0.947508896797153"/>
    <n v="2130"/>
    <n v="350"/>
    <n v="112"/>
    <n v="6"/>
    <n v="5.2491103202847E-2"/>
    <n v="0.23584905660377359"/>
    <n v="2248"/>
    <n v="2248"/>
    <n v="0"/>
    <n v="2248"/>
    <n v="2248"/>
    <n v="1"/>
    <n v="0"/>
    <n v="1"/>
    <n v="1"/>
    <x v="0"/>
    <n v="1"/>
    <s v="Yes"/>
    <n v="0"/>
    <s v="Camp"/>
    <x v="0"/>
    <s v="Muslim"/>
    <n v="20.181778000000001"/>
    <n v="92.823166999999998"/>
    <s v="MMR012CMP042"/>
    <x v="0"/>
    <n v="47"/>
    <n v="312"/>
    <n v="359"/>
    <m/>
    <x v="0"/>
    <m/>
    <m/>
  </r>
  <r>
    <x v="2"/>
    <x v="1"/>
    <x v="1"/>
    <s v="DFID/HARP"/>
    <x v="0"/>
    <x v="1"/>
    <x v="0"/>
    <x v="8"/>
    <n v="400"/>
    <n v="2186"/>
    <d v="2017-10-01T00:00:00"/>
    <d v="2020-09-30T00:00:00"/>
    <n v="357"/>
    <n v="49"/>
    <n v="169"/>
    <n v="0"/>
    <s v="No"/>
    <n v="4"/>
    <n v="2"/>
    <n v="26"/>
    <n v="29"/>
    <m/>
    <m/>
    <n v="1"/>
    <n v="1"/>
    <m/>
    <m/>
    <n v="400"/>
    <n v="30"/>
    <n v="8"/>
    <m/>
    <n v="104"/>
    <n v="104"/>
    <n v="71"/>
    <n v="0.37"/>
    <n v="98"/>
    <n v="1"/>
    <n v="0.81"/>
    <n v="1"/>
    <n v="1"/>
    <n v="4"/>
    <m/>
    <n v="9"/>
    <x v="0"/>
    <m/>
    <n v="159"/>
    <n v="407"/>
    <n v="423"/>
    <n v="520"/>
    <n v="400"/>
    <m/>
    <m/>
    <m/>
    <m/>
    <n v="0"/>
    <m/>
    <m/>
    <m/>
    <n v="502.78000000000003"/>
    <n v="0.67"/>
    <e v="#DIV/0!"/>
    <m/>
    <m/>
    <m/>
    <n v="1"/>
    <s v="no test"/>
    <x v="0"/>
    <n v="1"/>
    <n v="2186"/>
    <n v="0"/>
    <n v="0"/>
    <n v="1"/>
    <n v="2186"/>
    <n v="4.3719999999999999"/>
    <n v="0"/>
    <n v="0"/>
    <n v="4"/>
    <n v="0"/>
    <n v="1"/>
    <n v="2186"/>
    <n v="357"/>
    <n v="109"/>
    <n v="5"/>
    <n v="0"/>
    <n v="0"/>
    <n v="1509"/>
    <n v="2186"/>
    <n v="0"/>
    <n v="2186"/>
    <n v="2186"/>
    <n v="1"/>
    <n v="0"/>
    <n v="0.69030192131747481"/>
    <n v="1"/>
    <x v="0"/>
    <n v="0.23"/>
    <n v="0"/>
    <n v="0"/>
    <s v="Camp"/>
    <x v="0"/>
    <s v="Muslim"/>
    <n v="20.180194"/>
    <n v="92.816638999999995"/>
    <s v="MMR012CMP042"/>
    <x v="0"/>
    <n v="68"/>
    <n v="265"/>
    <n v="333"/>
    <m/>
    <x v="0"/>
    <m/>
    <m/>
  </r>
  <r>
    <x v="2"/>
    <x v="3"/>
    <x v="3"/>
    <s v="UNICEF"/>
    <x v="0"/>
    <x v="2"/>
    <x v="0"/>
    <x v="9"/>
    <n v="351"/>
    <n v="974"/>
    <d v="2019-03-16T00:00:00"/>
    <d v="2020-03-16T00:00:00"/>
    <n v="244"/>
    <n v="6"/>
    <n v="23"/>
    <m/>
    <s v="No"/>
    <n v="24"/>
    <n v="5"/>
    <n v="10"/>
    <n v="22"/>
    <n v="0"/>
    <n v="0"/>
    <n v="20"/>
    <n v="19"/>
    <n v="21"/>
    <n v="21"/>
    <m/>
    <n v="30"/>
    <n v="1"/>
    <s v="CDA repaired monthly water points and pipe line activity. Some month was 10 days and some months was more or less."/>
    <n v="94"/>
    <n v="94"/>
    <n v="30"/>
    <n v="0"/>
    <n v="3"/>
    <n v="1"/>
    <n v="1"/>
    <n v="1"/>
    <n v="1"/>
    <n v="0"/>
    <n v="0"/>
    <n v="10"/>
    <x v="0"/>
    <s v="Child and disable latrines did not have in Kyauk Talone Camp. All people used common latrines in KTL Camp."/>
    <n v="550"/>
    <n v="502"/>
    <m/>
    <m/>
    <n v="1053"/>
    <n v="1161"/>
    <n v="0"/>
    <m/>
    <n v="0.8"/>
    <n v="0.95"/>
    <m/>
    <m/>
    <m/>
    <m/>
    <m/>
    <e v="#DIV/0!"/>
    <s v="Yes"/>
    <s v="Hand washing with soap activity, to get safe water from mixing with chlorine tablets, personal grooming and hygiene activities, good practice of waste management system"/>
    <s v="Camp Management Committee members, some Volunteers will maintain and repair WASH facilities."/>
    <n v="0.95"/>
    <n v="1"/>
    <x v="0"/>
    <n v="1"/>
    <n v="974"/>
    <n v="0"/>
    <n v="0"/>
    <n v="1"/>
    <n v="974"/>
    <n v="1.948"/>
    <n v="0"/>
    <n v="0"/>
    <n v="2"/>
    <n v="5.2000000000000046E-2"/>
    <n v="1"/>
    <n v="974"/>
    <n v="244"/>
    <n v="49"/>
    <n v="0"/>
    <n v="0"/>
    <n v="0"/>
    <n v="974"/>
    <n v="974"/>
    <n v="974"/>
    <n v="974"/>
    <n v="974"/>
    <n v="1"/>
    <n v="0"/>
    <n v="1"/>
    <n v="1"/>
    <x v="0"/>
    <m/>
    <s v="Yes"/>
    <s v="UNHCR"/>
    <s v="Camp"/>
    <x v="0"/>
    <s v="Muslim"/>
    <n v="19.424576999999999"/>
    <n v="93.512326000000002"/>
    <s v="MMR012CMP035"/>
    <x v="0"/>
    <n v="0"/>
    <n v="0"/>
    <n v="0"/>
    <m/>
    <x v="0"/>
    <m/>
    <m/>
  </r>
  <r>
    <x v="2"/>
    <x v="0"/>
    <x v="0"/>
    <s v="UNICEF, OFDA"/>
    <x v="0"/>
    <x v="0"/>
    <x v="0"/>
    <x v="10"/>
    <n v="1309"/>
    <n v="6037"/>
    <d v="2018-12-11T00:00:00"/>
    <d v="2020-06-30T00:00:00"/>
    <n v="1412"/>
    <m/>
    <m/>
    <n v="45"/>
    <s v="Yes"/>
    <n v="13"/>
    <n v="2"/>
    <n v="3"/>
    <n v="3"/>
    <n v="0"/>
    <n v="117396437.8"/>
    <n v="419"/>
    <n v="419"/>
    <n v="24"/>
    <n v="16"/>
    <m/>
    <m/>
    <m/>
    <m/>
    <n v="156"/>
    <n v="184"/>
    <m/>
    <m/>
    <m/>
    <m/>
    <m/>
    <m/>
    <m/>
    <n v="0"/>
    <n v="0"/>
    <n v="5"/>
    <x v="0"/>
    <m/>
    <n v="1219"/>
    <n v="1398"/>
    <n v="1765"/>
    <n v="1655"/>
    <n v="1309"/>
    <n v="1309"/>
    <m/>
    <n v="0.88"/>
    <n v="0"/>
    <n v="0"/>
    <s v="Data about proctice of handwashing from last KAP done in september 2019"/>
    <m/>
    <m/>
    <m/>
    <m/>
    <e v="#DIV/0!"/>
    <s v="No"/>
    <s v="NA"/>
    <s v="YES"/>
    <n v="1"/>
    <n v="0.66666666666666663"/>
    <x v="0"/>
    <n v="0.24846778201093259"/>
    <n v="1500"/>
    <n v="1"/>
    <n v="6037"/>
    <n v="1"/>
    <n v="6037"/>
    <n v="12.074"/>
    <n v="0"/>
    <n v="0"/>
    <n v="12"/>
    <n v="0"/>
    <n v="0.55822428358456189"/>
    <n v="3370"/>
    <n v="250"/>
    <n v="302"/>
    <n v="118"/>
    <n v="0.44177571641543811"/>
    <n v="0.15217391304347827"/>
    <n v="6037"/>
    <n v="6037"/>
    <n v="1309"/>
    <n v="6037"/>
    <n v="6037"/>
    <n v="1"/>
    <n v="0"/>
    <n v="1"/>
    <n v="1"/>
    <x v="0"/>
    <m/>
    <s v="Yes"/>
    <s v="DRC"/>
    <s v="Camp"/>
    <x v="0"/>
    <s v="Muslim"/>
    <n v="20.090183"/>
    <n v="93.010368999999997"/>
    <s v="MMR012CMP018"/>
    <x v="0"/>
    <n v="116"/>
    <n v="1129"/>
    <n v="1245"/>
    <m/>
    <x v="0"/>
    <m/>
    <m/>
  </r>
  <r>
    <x v="2"/>
    <x v="2"/>
    <x v="2"/>
    <s v="DFID/HARP"/>
    <x v="0"/>
    <x v="1"/>
    <x v="0"/>
    <x v="11"/>
    <n v="656"/>
    <n v="3486"/>
    <d v="2017-10-01T00:00:00"/>
    <d v="2020-09-30T00:00:00"/>
    <n v="1142"/>
    <n v="49"/>
    <n v="139"/>
    <n v="0"/>
    <s v="No"/>
    <n v="18"/>
    <n v="12"/>
    <n v="33"/>
    <n v="39"/>
    <m/>
    <m/>
    <m/>
    <m/>
    <m/>
    <m/>
    <n v="0"/>
    <m/>
    <n v="2"/>
    <m/>
    <n v="212"/>
    <n v="241"/>
    <n v="93"/>
    <m/>
    <m/>
    <m/>
    <m/>
    <m/>
    <m/>
    <n v="8"/>
    <m/>
    <n v="5"/>
    <x v="0"/>
    <m/>
    <m/>
    <m/>
    <m/>
    <m/>
    <m/>
    <m/>
    <m/>
    <m/>
    <m/>
    <m/>
    <m/>
    <m/>
    <m/>
    <m/>
    <m/>
    <e v="#DIV/0!"/>
    <m/>
    <m/>
    <m/>
    <s v="no test"/>
    <s v="no test"/>
    <x v="1"/>
    <n v="1"/>
    <n v="3486"/>
    <n v="0"/>
    <n v="0"/>
    <n v="1"/>
    <n v="3486"/>
    <n v="6.9720000000000004"/>
    <n v="0"/>
    <n v="0"/>
    <n v="7"/>
    <n v="2.7999999999999581E-2"/>
    <n v="1"/>
    <n v="3486"/>
    <n v="250"/>
    <n v="174"/>
    <n v="0"/>
    <n v="0"/>
    <n v="0.12033195020746888"/>
    <n v="0"/>
    <n v="0"/>
    <n v="0"/>
    <n v="0"/>
    <n v="0"/>
    <n v="0"/>
    <n v="1"/>
    <n v="0"/>
    <n v="0"/>
    <x v="0"/>
    <m/>
    <s v="Yes"/>
    <n v="0"/>
    <s v="Camp"/>
    <x v="0"/>
    <s v="Muslim"/>
    <n v="20.185917"/>
    <n v="92.831000000000003"/>
    <s v="MMR012CMP092"/>
    <x v="0"/>
    <n v="62"/>
    <n v="335"/>
    <n v="397"/>
    <m/>
    <x v="0"/>
    <m/>
    <m/>
  </r>
  <r>
    <x v="2"/>
    <x v="0"/>
    <x v="0"/>
    <s v="ECHO, OFDA, MHF"/>
    <x v="0"/>
    <x v="0"/>
    <x v="0"/>
    <x v="12"/>
    <n v="1027"/>
    <n v="4671"/>
    <d v="2018-10-01T00:00:00"/>
    <d v="2020-06-30T00:00:00"/>
    <n v="968"/>
    <m/>
    <m/>
    <n v="45"/>
    <s v="Yes"/>
    <n v="8"/>
    <n v="3"/>
    <m/>
    <m/>
    <n v="0"/>
    <n v="72770313"/>
    <n v="0"/>
    <n v="0"/>
    <n v="16"/>
    <n v="4"/>
    <m/>
    <m/>
    <m/>
    <m/>
    <n v="125"/>
    <n v="132"/>
    <m/>
    <m/>
    <m/>
    <m/>
    <m/>
    <m/>
    <m/>
    <n v="14"/>
    <n v="54"/>
    <n v="6"/>
    <x v="0"/>
    <m/>
    <n v="900"/>
    <n v="1014"/>
    <n v="1444"/>
    <n v="1313"/>
    <n v="1027"/>
    <n v="1027"/>
    <m/>
    <n v="0.84"/>
    <n v="0"/>
    <n v="0"/>
    <s v="Data about proctice of handwashing from last KAP done in september 2019"/>
    <m/>
    <m/>
    <m/>
    <m/>
    <e v="#DIV/0!"/>
    <s v="No"/>
    <s v="NA"/>
    <s v="YES"/>
    <s v="no test"/>
    <n v="0.25"/>
    <x v="0"/>
    <n v="0"/>
    <n v="0"/>
    <n v="1"/>
    <n v="4671"/>
    <n v="1"/>
    <n v="4671"/>
    <n v="9.3420000000000005"/>
    <n v="0"/>
    <n v="0"/>
    <n v="9"/>
    <n v="0"/>
    <n v="0.67094840505245135"/>
    <n v="3134"/>
    <n v="300"/>
    <n v="234"/>
    <n v="102"/>
    <n v="0.32905159494754865"/>
    <n v="5.3030303030303032E-2"/>
    <n v="4671"/>
    <n v="4671"/>
    <n v="1027"/>
    <n v="4671"/>
    <n v="4671"/>
    <n v="1"/>
    <n v="0"/>
    <n v="1"/>
    <n v="1"/>
    <x v="0"/>
    <m/>
    <s v="Yes"/>
    <s v="LWF"/>
    <s v="Camp"/>
    <x v="2"/>
    <s v="Muslim"/>
    <n v="20.073437999999999"/>
    <n v="93.154551999999995"/>
    <s v="MMR012CMP017"/>
    <x v="0"/>
    <n v="194"/>
    <n v="735"/>
    <n v="929"/>
    <m/>
    <x v="0"/>
    <m/>
    <m/>
  </r>
  <r>
    <x v="2"/>
    <x v="0"/>
    <x v="0"/>
    <s v="ECHO, OFDA, MHF"/>
    <x v="0"/>
    <x v="0"/>
    <x v="0"/>
    <x v="13"/>
    <n v="984"/>
    <n v="4676"/>
    <d v="2018-10-01T00:00:00"/>
    <d v="2020-06-30T00:00:00"/>
    <n v="1261"/>
    <m/>
    <m/>
    <n v="45"/>
    <s v="Yes"/>
    <n v="10"/>
    <n v="2"/>
    <n v="0"/>
    <n v="0"/>
    <n v="0"/>
    <n v="32544368"/>
    <n v="0"/>
    <n v="0"/>
    <n v="20"/>
    <n v="5"/>
    <m/>
    <m/>
    <m/>
    <m/>
    <n v="128"/>
    <n v="145"/>
    <m/>
    <m/>
    <m/>
    <m/>
    <m/>
    <m/>
    <m/>
    <n v="21"/>
    <n v="103"/>
    <n v="8"/>
    <x v="0"/>
    <m/>
    <n v="995"/>
    <n v="1054"/>
    <n v="1374"/>
    <n v="1253"/>
    <n v="984"/>
    <n v="984"/>
    <m/>
    <n v="0.74"/>
    <n v="0"/>
    <n v="0"/>
    <s v="Data about proctice of handwashing from last KAP done in september 2019"/>
    <m/>
    <m/>
    <m/>
    <m/>
    <e v="#DIV/0!"/>
    <s v="No"/>
    <s v="NA"/>
    <s v="YES"/>
    <s v="no test"/>
    <n v="0.25"/>
    <x v="0"/>
    <n v="0"/>
    <n v="0"/>
    <n v="1"/>
    <n v="4676"/>
    <n v="1"/>
    <n v="4676"/>
    <n v="9.3520000000000003"/>
    <n v="0"/>
    <n v="0"/>
    <n v="9"/>
    <n v="0"/>
    <n v="0.74486740804106077"/>
    <n v="3483"/>
    <n v="400"/>
    <n v="234"/>
    <n v="89"/>
    <n v="0.25513259195893923"/>
    <n v="0.11724137931034483"/>
    <n v="4676"/>
    <n v="4676"/>
    <n v="984"/>
    <n v="4676"/>
    <n v="4676"/>
    <n v="1"/>
    <n v="0"/>
    <n v="1"/>
    <n v="1"/>
    <x v="0"/>
    <m/>
    <s v="Yes"/>
    <s v="LWF"/>
    <s v="Camp"/>
    <x v="0"/>
    <s v="Muslim"/>
    <n v="20.073437999999999"/>
    <n v="93.154551999999995"/>
    <s v="MMR012CMP017"/>
    <x v="0"/>
    <n v="112"/>
    <n v="643"/>
    <n v="755"/>
    <m/>
    <x v="0"/>
    <m/>
    <m/>
  </r>
  <r>
    <x v="2"/>
    <x v="8"/>
    <x v="8"/>
    <m/>
    <x v="0"/>
    <x v="3"/>
    <x v="0"/>
    <x v="14"/>
    <n v="91"/>
    <n v="581"/>
    <m/>
    <m/>
    <m/>
    <m/>
    <m/>
    <m/>
    <m/>
    <m/>
    <m/>
    <m/>
    <m/>
    <m/>
    <m/>
    <m/>
    <m/>
    <m/>
    <m/>
    <m/>
    <m/>
    <m/>
    <m/>
    <n v="91"/>
    <n v="91"/>
    <m/>
    <m/>
    <m/>
    <m/>
    <m/>
    <m/>
    <m/>
    <m/>
    <m/>
    <m/>
    <x v="1"/>
    <m/>
    <m/>
    <m/>
    <m/>
    <m/>
    <m/>
    <m/>
    <m/>
    <m/>
    <m/>
    <m/>
    <m/>
    <m/>
    <m/>
    <m/>
    <m/>
    <e v="#DIV/0!"/>
    <m/>
    <m/>
    <m/>
    <s v="no test"/>
    <s v="no test"/>
    <x v="1"/>
    <n v="0"/>
    <n v="0"/>
    <n v="0"/>
    <n v="0"/>
    <n v="0"/>
    <n v="0"/>
    <n v="0"/>
    <n v="1"/>
    <n v="581"/>
    <n v="1"/>
    <n v="1"/>
    <n v="1"/>
    <n v="581"/>
    <n v="0"/>
    <n v="29"/>
    <n v="0"/>
    <n v="0"/>
    <n v="0"/>
    <n v="0"/>
    <n v="0"/>
    <n v="0"/>
    <n v="0"/>
    <n v="0"/>
    <n v="0"/>
    <n v="1"/>
    <n v="0"/>
    <n v="0"/>
    <x v="1"/>
    <m/>
    <s v="Yes"/>
    <n v="0"/>
    <s v="Camp"/>
    <x v="3"/>
    <s v="Muslim"/>
    <n v="20.865687000000001"/>
    <n v="92.965980999999999"/>
    <s v="MMR012CMP023"/>
    <x v="1"/>
    <n v="0"/>
    <n v="0"/>
    <n v="0"/>
    <m/>
    <x v="0"/>
    <m/>
    <m/>
  </r>
  <r>
    <x v="2"/>
    <x v="2"/>
    <x v="2"/>
    <s v="DFID/HARP"/>
    <x v="0"/>
    <x v="1"/>
    <x v="0"/>
    <x v="15"/>
    <n v="673"/>
    <n v="3095"/>
    <d v="2017-10-01T00:00:00"/>
    <d v="2020-09-30T00:00:00"/>
    <n v="681"/>
    <n v="20"/>
    <n v="65"/>
    <n v="0"/>
    <s v="No"/>
    <n v="8"/>
    <n v="4"/>
    <n v="70"/>
    <n v="76"/>
    <m/>
    <m/>
    <m/>
    <m/>
    <m/>
    <m/>
    <n v="673"/>
    <n v="30"/>
    <n v="2"/>
    <m/>
    <n v="161"/>
    <n v="173"/>
    <n v="52"/>
    <n v="0.54"/>
    <n v="88"/>
    <n v="1"/>
    <n v="0.86"/>
    <n v="0.2"/>
    <n v="0.2"/>
    <n v="0"/>
    <m/>
    <n v="6"/>
    <x v="0"/>
    <m/>
    <n v="632"/>
    <n v="1074"/>
    <n v="211"/>
    <n v="845"/>
    <n v="774"/>
    <m/>
    <m/>
    <m/>
    <m/>
    <n v="1"/>
    <m/>
    <m/>
    <m/>
    <n v="3095"/>
    <m/>
    <e v="#DIV/0!"/>
    <m/>
    <m/>
    <m/>
    <s v="no test"/>
    <s v="no test"/>
    <x v="1"/>
    <n v="1"/>
    <n v="3095"/>
    <n v="0"/>
    <n v="0"/>
    <n v="1"/>
    <n v="3095"/>
    <n v="6.19"/>
    <n v="0"/>
    <n v="0"/>
    <n v="6"/>
    <n v="0"/>
    <n v="1"/>
    <n v="3095"/>
    <n v="300"/>
    <n v="155"/>
    <n v="0"/>
    <n v="0"/>
    <n v="6.9364161849710976E-2"/>
    <n v="2762"/>
    <n v="3095"/>
    <n v="0"/>
    <n v="3095"/>
    <n v="3095"/>
    <n v="1"/>
    <n v="0"/>
    <n v="0.8924071082390953"/>
    <n v="1"/>
    <x v="0"/>
    <n v="1"/>
    <s v="Yes"/>
    <n v="0"/>
    <s v="Camp"/>
    <x v="0"/>
    <s v="Muslim"/>
    <n v="20.206778"/>
    <n v="92.774193999999994"/>
    <s v="MMR012CMP098"/>
    <x v="0"/>
    <n v="12"/>
    <n v="359"/>
    <n v="371"/>
    <m/>
    <x v="0"/>
    <m/>
    <m/>
  </r>
  <r>
    <x v="2"/>
    <x v="2"/>
    <x v="2"/>
    <s v="DFID/HARP"/>
    <x v="0"/>
    <x v="1"/>
    <x v="0"/>
    <x v="16"/>
    <n v="2428"/>
    <n v="13302"/>
    <d v="2017-10-01T00:00:00"/>
    <d v="2020-09-30T00:00:00"/>
    <n v="500"/>
    <n v="100"/>
    <n v="490"/>
    <n v="0"/>
    <s v="No"/>
    <n v="24"/>
    <n v="5"/>
    <n v="217"/>
    <n v="196"/>
    <m/>
    <m/>
    <m/>
    <m/>
    <m/>
    <m/>
    <n v="2728"/>
    <n v="30"/>
    <n v="2"/>
    <m/>
    <n v="477"/>
    <n v="764"/>
    <n v="90"/>
    <n v="0.25"/>
    <n v="352"/>
    <n v="0.8"/>
    <n v="0.15"/>
    <n v="0.15"/>
    <n v="0.15"/>
    <n v="20"/>
    <m/>
    <n v="3"/>
    <x v="0"/>
    <m/>
    <n v="2134"/>
    <n v="8082"/>
    <n v="2210"/>
    <n v="4287"/>
    <n v="2728"/>
    <m/>
    <m/>
    <m/>
    <m/>
    <n v="0.4"/>
    <m/>
    <m/>
    <m/>
    <n v="3059.46"/>
    <n v="0.69"/>
    <e v="#DIV/0!"/>
    <m/>
    <m/>
    <m/>
    <s v="no test"/>
    <s v="no test"/>
    <x v="1"/>
    <n v="1"/>
    <n v="13302"/>
    <n v="0"/>
    <n v="0"/>
    <n v="1"/>
    <n v="13302"/>
    <n v="26.603999999999999"/>
    <n v="0"/>
    <n v="0"/>
    <n v="27"/>
    <n v="0.3960000000000008"/>
    <n v="0.75853255149601562"/>
    <n v="10090"/>
    <n v="150"/>
    <n v="665"/>
    <n v="0"/>
    <n v="0.24146744850398438"/>
    <n v="0.37565445026178013"/>
    <n v="13302"/>
    <n v="13302"/>
    <n v="0"/>
    <n v="13302"/>
    <n v="13302"/>
    <n v="1"/>
    <n v="0"/>
    <n v="1"/>
    <n v="1"/>
    <x v="0"/>
    <n v="0.23"/>
    <s v="Yes"/>
    <n v="0"/>
    <s v="Camp"/>
    <x v="0"/>
    <s v="Muslim"/>
    <n v="20.18994"/>
    <n v="92.798880999999994"/>
    <s v="MMR012CMP115"/>
    <x v="0"/>
    <n v="214"/>
    <n v="1333"/>
    <n v="1547"/>
    <m/>
    <x v="0"/>
    <m/>
    <m/>
  </r>
  <r>
    <x v="2"/>
    <x v="6"/>
    <x v="6"/>
    <s v="OFDA"/>
    <x v="0"/>
    <x v="1"/>
    <x v="0"/>
    <x v="17"/>
    <n v="2260"/>
    <n v="11396"/>
    <d v="2019-10-01T00:00:00"/>
    <d v="2020-03-31T00:00:00"/>
    <n v="549"/>
    <n v="36"/>
    <n v="55"/>
    <m/>
    <s v="Yes"/>
    <n v="23"/>
    <n v="13"/>
    <n v="155"/>
    <n v="206"/>
    <m/>
    <m/>
    <m/>
    <m/>
    <n v="120"/>
    <n v="63"/>
    <m/>
    <n v="20"/>
    <n v="4"/>
    <m/>
    <n v="758"/>
    <n v="758"/>
    <m/>
    <m/>
    <m/>
    <m/>
    <m/>
    <m/>
    <m/>
    <n v="1"/>
    <n v="51"/>
    <n v="7"/>
    <x v="1"/>
    <m/>
    <n v="22"/>
    <n v="28"/>
    <n v="40"/>
    <n v="32"/>
    <n v="2260"/>
    <n v="5897"/>
    <m/>
    <m/>
    <m/>
    <n v="0.21052631578947367"/>
    <s v="no KAP survey conducted during the period"/>
    <m/>
    <m/>
    <m/>
    <m/>
    <e v="#DIV/0!"/>
    <s v="No"/>
    <m/>
    <s v="73% of the respondents said that DRC"/>
    <s v="no test"/>
    <n v="0.52500000000000002"/>
    <x v="0"/>
    <n v="1"/>
    <n v="11396"/>
    <n v="0"/>
    <n v="0"/>
    <n v="1"/>
    <n v="11396"/>
    <n v="22.792000000000002"/>
    <n v="0"/>
    <n v="0"/>
    <n v="23"/>
    <n v="0.20799999999999841"/>
    <n v="1"/>
    <n v="11396"/>
    <n v="350"/>
    <n v="570"/>
    <n v="0"/>
    <n v="0"/>
    <n v="0"/>
    <n v="122"/>
    <n v="11396"/>
    <n v="5897"/>
    <n v="11396"/>
    <n v="11396"/>
    <n v="1"/>
    <n v="0"/>
    <n v="1.0705510705510705E-2"/>
    <n v="1"/>
    <x v="0"/>
    <m/>
    <s v="Yes"/>
    <n v="0"/>
    <s v="Camp"/>
    <x v="0"/>
    <s v="Muslim"/>
    <n v="20.185092000000001"/>
    <n v="92.802295999999998"/>
    <s v="MMR012CMP116"/>
    <x v="0"/>
    <n v="218"/>
    <n v="1169"/>
    <n v="1387"/>
    <m/>
    <x v="0"/>
    <m/>
    <m/>
  </r>
  <r>
    <x v="2"/>
    <x v="6"/>
    <x v="6"/>
    <s v="OFDA"/>
    <x v="0"/>
    <x v="1"/>
    <x v="0"/>
    <x v="18"/>
    <n v="400"/>
    <n v="2285"/>
    <d v="2019-10-01T00:00:00"/>
    <d v="2020-03-31T00:00:00"/>
    <n v="46"/>
    <n v="15"/>
    <n v="12"/>
    <m/>
    <s v="No"/>
    <n v="10"/>
    <n v="5"/>
    <n v="42"/>
    <n v="43"/>
    <m/>
    <m/>
    <n v="38"/>
    <n v="27"/>
    <n v="40"/>
    <n v="22"/>
    <n v="0"/>
    <m/>
    <n v="2"/>
    <m/>
    <n v="123"/>
    <n v="133"/>
    <n v="0"/>
    <m/>
    <m/>
    <m/>
    <m/>
    <m/>
    <m/>
    <n v="3"/>
    <n v="10"/>
    <n v="5"/>
    <x v="1"/>
    <m/>
    <n v="148"/>
    <n v="441"/>
    <n v="96"/>
    <n v="196"/>
    <n v="400"/>
    <n v="1153"/>
    <m/>
    <m/>
    <m/>
    <n v="0"/>
    <s v="no KAP survey conducted during the period"/>
    <m/>
    <m/>
    <m/>
    <m/>
    <e v="#DIV/0!"/>
    <s v="No"/>
    <m/>
    <s v="93% of the respondents said that DRC"/>
    <n v="0.71052631578947367"/>
    <n v="0.55000000000000004"/>
    <x v="0"/>
    <n v="1"/>
    <n v="2285"/>
    <n v="0"/>
    <n v="0"/>
    <n v="1"/>
    <n v="2285"/>
    <n v="4.57"/>
    <n v="0"/>
    <n v="0"/>
    <n v="5"/>
    <n v="0.42999999999999972"/>
    <n v="1"/>
    <n v="2285"/>
    <n v="46"/>
    <n v="114"/>
    <n v="0"/>
    <n v="0"/>
    <n v="7.5187969924812026E-2"/>
    <n v="881"/>
    <n v="2285"/>
    <n v="1153"/>
    <n v="2285"/>
    <n v="2285"/>
    <n v="1"/>
    <n v="0"/>
    <n v="0.38555798687089715"/>
    <n v="1"/>
    <x v="0"/>
    <m/>
    <n v="0"/>
    <n v="0"/>
    <s v="Camp"/>
    <x v="0"/>
    <s v="Muslim"/>
    <n v="20.207284999999999"/>
    <n v="92.788177000000005"/>
    <s v="MMR012CMP045"/>
    <x v="0"/>
    <n v="0"/>
    <n v="0"/>
    <n v="0"/>
    <m/>
    <x v="0"/>
    <m/>
    <m/>
  </r>
  <r>
    <x v="2"/>
    <x v="2"/>
    <x v="2"/>
    <s v="DFID/HARP"/>
    <x v="0"/>
    <x v="1"/>
    <x v="0"/>
    <x v="19"/>
    <n v="2280"/>
    <n v="11564"/>
    <d v="2017-10-01T00:00:00"/>
    <d v="2020-09-30T00:00:00"/>
    <n v="1444"/>
    <n v="49"/>
    <n v="193"/>
    <n v="0"/>
    <s v="No"/>
    <n v="17"/>
    <n v="9"/>
    <n v="183"/>
    <n v="189"/>
    <m/>
    <m/>
    <m/>
    <m/>
    <m/>
    <m/>
    <n v="2280"/>
    <n v="30"/>
    <n v="8"/>
    <m/>
    <n v="517"/>
    <n v="520"/>
    <n v="97"/>
    <n v="0.46"/>
    <n v="473"/>
    <n v="0.96"/>
    <n v="0.49"/>
    <n v="0.15"/>
    <n v="0.15"/>
    <n v="12"/>
    <m/>
    <n v="53"/>
    <x v="0"/>
    <m/>
    <n v="704"/>
    <n v="9607"/>
    <n v="819"/>
    <n v="3266"/>
    <n v="2280"/>
    <m/>
    <m/>
    <m/>
    <m/>
    <n v="1"/>
    <m/>
    <m/>
    <m/>
    <n v="6475.8400000000011"/>
    <n v="0.46"/>
    <e v="#DIV/0!"/>
    <m/>
    <m/>
    <m/>
    <s v="no test"/>
    <s v="no test"/>
    <x v="1"/>
    <n v="1"/>
    <n v="11564"/>
    <n v="0"/>
    <n v="0"/>
    <n v="1"/>
    <n v="11564"/>
    <n v="23.128"/>
    <n v="0"/>
    <n v="0"/>
    <n v="23"/>
    <n v="0"/>
    <n v="1"/>
    <n v="11564"/>
    <n v="1444"/>
    <n v="578"/>
    <n v="58"/>
    <n v="0"/>
    <n v="5.7692307692307696E-3"/>
    <n v="11564"/>
    <n v="11564"/>
    <n v="0"/>
    <n v="11564"/>
    <n v="11564"/>
    <n v="1"/>
    <n v="0"/>
    <n v="1"/>
    <n v="1"/>
    <x v="0"/>
    <n v="0.56000000000000005"/>
    <s v="Yes"/>
    <n v="0"/>
    <s v="Camp"/>
    <x v="0"/>
    <s v="Muslim"/>
    <n v="20.202525000000001"/>
    <n v="92.792479999999998"/>
    <s v="MMR012CMP045"/>
    <x v="0"/>
    <n v="116"/>
    <n v="1099"/>
    <n v="1215"/>
    <m/>
    <x v="0"/>
    <m/>
    <m/>
  </r>
  <r>
    <x v="2"/>
    <x v="6"/>
    <x v="6"/>
    <s v="OFDA"/>
    <x v="0"/>
    <x v="0"/>
    <x v="0"/>
    <x v="20"/>
    <n v="744"/>
    <n v="2805"/>
    <d v="2019-04-01T00:00:00"/>
    <d v="2020-03-31T00:00:00"/>
    <n v="209"/>
    <n v="17"/>
    <n v="19"/>
    <n v="0"/>
    <s v="Yes"/>
    <n v="12"/>
    <n v="5"/>
    <n v="24"/>
    <n v="24"/>
    <n v="6466500"/>
    <m/>
    <m/>
    <m/>
    <n v="225"/>
    <n v="225"/>
    <n v="0"/>
    <n v="5"/>
    <n v="2"/>
    <m/>
    <n v="357"/>
    <n v="358"/>
    <n v="261"/>
    <m/>
    <m/>
    <m/>
    <m/>
    <m/>
    <m/>
    <m/>
    <m/>
    <n v="6"/>
    <x v="0"/>
    <m/>
    <n v="519"/>
    <n v="881"/>
    <n v="313"/>
    <n v="374"/>
    <n v="744"/>
    <n v="1334"/>
    <m/>
    <m/>
    <m/>
    <n v="0.5714285714285714"/>
    <s v="no KAP survey conducted during the period"/>
    <m/>
    <m/>
    <m/>
    <m/>
    <e v="#DIV/0!"/>
    <m/>
    <m/>
    <m/>
    <s v="no test"/>
    <n v="1"/>
    <x v="0"/>
    <n v="1"/>
    <n v="2805"/>
    <n v="0"/>
    <n v="0"/>
    <n v="1"/>
    <n v="2805"/>
    <n v="5.61"/>
    <n v="0"/>
    <n v="0"/>
    <n v="6"/>
    <n v="0.38999999999999968"/>
    <n v="1"/>
    <n v="2805"/>
    <n v="209"/>
    <n v="140"/>
    <n v="0"/>
    <n v="0"/>
    <n v="2.7932960893854749E-3"/>
    <n v="2087"/>
    <n v="2805"/>
    <n v="1334"/>
    <n v="2805"/>
    <n v="2805"/>
    <n v="1"/>
    <n v="0"/>
    <n v="0.74402852049910873"/>
    <n v="1"/>
    <x v="0"/>
    <m/>
    <s v="Yes"/>
    <s v="DRC"/>
    <s v="Camp"/>
    <x v="0"/>
    <s v="Muslim"/>
    <n v="20.064226000000001"/>
    <n v="92.993758999999997"/>
    <s v="MMR012CMP019"/>
    <x v="0"/>
    <n v="125"/>
    <n v="401"/>
    <n v="526"/>
    <m/>
    <x v="0"/>
    <m/>
    <m/>
  </r>
  <r>
    <x v="2"/>
    <x v="7"/>
    <x v="7"/>
    <s v="UNICEF"/>
    <x v="0"/>
    <x v="4"/>
    <x v="0"/>
    <x v="21"/>
    <n v="716"/>
    <n v="2920"/>
    <d v="2019-03-06T00:00:00"/>
    <d v="2020-03-06T00:00:00"/>
    <n v="920"/>
    <n v="14"/>
    <n v="20"/>
    <n v="0"/>
    <s v="Yes"/>
    <n v="9"/>
    <n v="9"/>
    <n v="7"/>
    <n v="7"/>
    <m/>
    <n v="2190000"/>
    <n v="24"/>
    <n v="21"/>
    <n v="18"/>
    <n v="18"/>
    <n v="716"/>
    <n v="2"/>
    <n v="3"/>
    <m/>
    <n v="197"/>
    <n v="197"/>
    <n v="97"/>
    <m/>
    <n v="87"/>
    <n v="1"/>
    <n v="0.89"/>
    <n v="1"/>
    <n v="0.93"/>
    <n v="31"/>
    <n v="114"/>
    <n v="6"/>
    <x v="0"/>
    <m/>
    <n v="94"/>
    <n v="922"/>
    <n v="218"/>
    <n v="283"/>
    <n v="716"/>
    <n v="879"/>
    <n v="1"/>
    <n v="0.96"/>
    <n v="0.91"/>
    <n v="1"/>
    <m/>
    <n v="0.94"/>
    <n v="1"/>
    <n v="1"/>
    <n v="1"/>
    <e v="#DIV/0!"/>
    <s v="No"/>
    <s v="Their primary concerns are all WASH activities will be stopped and no more access to humanitarian aids after the camp is declared closed by the government."/>
    <s v="Camp community and local government authorities will have to take responsibility to maintain and repair WASH facilities. But the camp peoples still have very limited access to livelihood opportunities and markets and they still cannot or dare not to move out of the camp freely. The local authorities also have very limited capacity as well as very low interest to respond WASH needs for the camp community. In this given situation, external humanitarian assistances will continue to be very crucial to support WASH needs for the camp peoples minimum two years depending on the improvements of camp closure procedures made by the government even after the camp is declared as closed.   "/>
    <n v="0.875"/>
    <n v="1"/>
    <x v="0"/>
    <n v="1"/>
    <n v="2920"/>
    <n v="0.55555555555555558"/>
    <n v="1622.2222222222224"/>
    <n v="1"/>
    <n v="2920"/>
    <n v="5.84"/>
    <n v="0"/>
    <n v="0"/>
    <n v="6"/>
    <n v="0.16000000000000014"/>
    <n v="1"/>
    <n v="2920"/>
    <n v="300"/>
    <n v="146"/>
    <n v="0"/>
    <n v="0"/>
    <n v="0"/>
    <n v="1517"/>
    <n v="2920"/>
    <n v="879"/>
    <n v="2920"/>
    <n v="2920"/>
    <n v="1"/>
    <n v="0"/>
    <n v="0.51952054794520552"/>
    <n v="1"/>
    <x v="0"/>
    <m/>
    <s v="Yes"/>
    <s v="RI"/>
    <s v="Camp"/>
    <x v="0"/>
    <s v="Muslim"/>
    <n v="20.037655000000001"/>
    <n v="93.370037999999994"/>
    <s v="MMR012CMP014"/>
    <x v="0"/>
    <n v="54"/>
    <n v="319"/>
    <n v="373"/>
    <m/>
    <x v="0"/>
    <m/>
    <m/>
  </r>
  <r>
    <x v="2"/>
    <x v="1"/>
    <x v="1"/>
    <s v="DFID/HARP"/>
    <x v="0"/>
    <x v="1"/>
    <x v="0"/>
    <x v="22"/>
    <n v="1139"/>
    <n v="6016"/>
    <d v="2017-10-01T00:00:00"/>
    <d v="2020-09-30T00:00:00"/>
    <n v="1094"/>
    <n v="49"/>
    <n v="175"/>
    <n v="0"/>
    <s v="No"/>
    <n v="10"/>
    <n v="8"/>
    <n v="41"/>
    <n v="45"/>
    <m/>
    <m/>
    <m/>
    <m/>
    <m/>
    <m/>
    <n v="1139"/>
    <n v="30"/>
    <n v="2"/>
    <m/>
    <n v="188"/>
    <n v="253"/>
    <n v="176"/>
    <n v="0.62"/>
    <n v="242"/>
    <n v="1"/>
    <n v="0.87"/>
    <n v="0.6"/>
    <n v="0.6"/>
    <n v="0"/>
    <m/>
    <n v="3"/>
    <x v="0"/>
    <m/>
    <n v="82"/>
    <n v="206"/>
    <n v="516"/>
    <n v="540"/>
    <n v="1116"/>
    <m/>
    <m/>
    <m/>
    <m/>
    <n v="0"/>
    <m/>
    <m/>
    <m/>
    <n v="2767.36"/>
    <n v="1"/>
    <e v="#DIV/0!"/>
    <m/>
    <m/>
    <m/>
    <s v="no test"/>
    <s v="no test"/>
    <x v="1"/>
    <n v="1"/>
    <n v="6016"/>
    <n v="0"/>
    <n v="0"/>
    <n v="1"/>
    <n v="6016"/>
    <n v="12.032"/>
    <n v="0"/>
    <n v="0"/>
    <n v="12"/>
    <n v="0"/>
    <n v="0.64993351063829785"/>
    <n v="3910"/>
    <n v="150"/>
    <n v="301"/>
    <n v="48"/>
    <n v="0.35006648936170215"/>
    <n v="0.25691699604743085"/>
    <n v="1344"/>
    <n v="5580"/>
    <n v="0"/>
    <n v="5580"/>
    <n v="5580"/>
    <n v="0.92752659574468088"/>
    <n v="7.2473404255319118E-2"/>
    <n v="0.22340425531914893"/>
    <n v="0.97980684811237928"/>
    <x v="0"/>
    <n v="0.46"/>
    <s v="Yes"/>
    <n v="0"/>
    <s v="Camp"/>
    <x v="3"/>
    <s v="Muslim"/>
    <n v="20.1585"/>
    <n v="92.839416999999997"/>
    <s v="MMR012CMP046"/>
    <x v="0"/>
    <n v="283"/>
    <n v="715"/>
    <n v="998"/>
    <m/>
    <x v="0"/>
    <m/>
    <m/>
  </r>
  <r>
    <x v="2"/>
    <x v="2"/>
    <x v="2"/>
    <s v="DFID/HARP"/>
    <x v="0"/>
    <x v="1"/>
    <x v="0"/>
    <x v="23"/>
    <n v="1013"/>
    <n v="5950"/>
    <d v="2017-10-01T00:00:00"/>
    <d v="2020-09-30T00:00:00"/>
    <n v="1558"/>
    <n v="70"/>
    <n v="242"/>
    <n v="0"/>
    <s v="No"/>
    <n v="11"/>
    <n v="4"/>
    <n v="34"/>
    <n v="69"/>
    <m/>
    <m/>
    <n v="10"/>
    <n v="8"/>
    <m/>
    <m/>
    <n v="1013"/>
    <n v="30"/>
    <n v="5"/>
    <m/>
    <n v="229"/>
    <n v="365"/>
    <n v="27"/>
    <n v="0.57999999999999996"/>
    <n v="259"/>
    <n v="0.93"/>
    <n v="0.19"/>
    <n v="0.67"/>
    <n v="0.67"/>
    <n v="4"/>
    <m/>
    <n v="11"/>
    <x v="0"/>
    <m/>
    <n v="384"/>
    <n v="2655"/>
    <n v="1015"/>
    <n v="1182"/>
    <n v="1013"/>
    <m/>
    <m/>
    <m/>
    <m/>
    <n v="1"/>
    <m/>
    <m/>
    <m/>
    <n v="714"/>
    <n v="0.35"/>
    <e v="#DIV/0!"/>
    <m/>
    <m/>
    <m/>
    <n v="0.8"/>
    <s v="no test"/>
    <x v="0"/>
    <n v="1"/>
    <n v="5950"/>
    <n v="0"/>
    <n v="0"/>
    <n v="1"/>
    <n v="5950"/>
    <n v="11.9"/>
    <n v="0"/>
    <n v="0"/>
    <n v="12"/>
    <n v="9.9999999999999645E-2"/>
    <n v="0.87563025210084033"/>
    <n v="5210"/>
    <n v="550"/>
    <n v="298"/>
    <n v="0"/>
    <n v="0.12436974789915967"/>
    <n v="0.37260273972602742"/>
    <n v="5236"/>
    <n v="5950"/>
    <n v="0"/>
    <n v="5950"/>
    <n v="5950"/>
    <n v="1"/>
    <n v="0"/>
    <n v="0.88"/>
    <n v="1"/>
    <x v="0"/>
    <n v="0.12"/>
    <s v="Yes"/>
    <n v="0"/>
    <s v="Camp"/>
    <x v="0"/>
    <s v="Muslim"/>
    <n v="20.179939999999998"/>
    <n v="92.831879000000001"/>
    <s v="MMR012CMP048"/>
    <x v="0"/>
    <n v="111"/>
    <n v="853"/>
    <n v="964"/>
    <m/>
    <x v="0"/>
    <m/>
    <m/>
  </r>
  <r>
    <x v="2"/>
    <x v="2"/>
    <x v="2"/>
    <s v="DFID/HARP"/>
    <x v="0"/>
    <x v="1"/>
    <x v="0"/>
    <x v="24"/>
    <n v="299"/>
    <n v="1670"/>
    <d v="2017-10-01T00:00:00"/>
    <d v="2020-09-30T00:00:00"/>
    <n v="870"/>
    <m/>
    <n v="18"/>
    <n v="0"/>
    <s v="No"/>
    <n v="2"/>
    <m/>
    <m/>
    <m/>
    <m/>
    <m/>
    <n v="28"/>
    <n v="25"/>
    <n v="23"/>
    <n v="16"/>
    <n v="299"/>
    <n v="30"/>
    <n v="6"/>
    <m/>
    <m/>
    <m/>
    <m/>
    <m/>
    <m/>
    <m/>
    <m/>
    <m/>
    <m/>
    <n v="0"/>
    <m/>
    <m/>
    <x v="1"/>
    <m/>
    <m/>
    <m/>
    <m/>
    <m/>
    <n v="299"/>
    <m/>
    <m/>
    <m/>
    <m/>
    <m/>
    <m/>
    <m/>
    <m/>
    <m/>
    <m/>
    <e v="#DIV/0!"/>
    <m/>
    <m/>
    <m/>
    <n v="0.8928571428571429"/>
    <n v="0.69565217391304346"/>
    <x v="0"/>
    <n v="1"/>
    <n v="1670"/>
    <n v="0"/>
    <n v="0"/>
    <n v="1"/>
    <n v="1670"/>
    <n v="3.34"/>
    <n v="0"/>
    <n v="0"/>
    <n v="3"/>
    <n v="0"/>
    <n v="0"/>
    <n v="0"/>
    <n v="0"/>
    <n v="84"/>
    <n v="84"/>
    <n v="1"/>
    <s v="NA"/>
    <n v="0"/>
    <n v="1670"/>
    <n v="0"/>
    <n v="1670"/>
    <n v="1670"/>
    <n v="1"/>
    <n v="0"/>
    <n v="0"/>
    <n v="1"/>
    <x v="0"/>
    <m/>
    <s v="Yes"/>
    <n v="0"/>
    <s v="Camp"/>
    <x v="1"/>
    <s v="Muslim"/>
    <n v="20.181742"/>
    <n v="92.842230000000001"/>
    <s v="MMR012CMP091"/>
    <x v="0"/>
    <n v="0"/>
    <n v="0"/>
    <n v="0"/>
    <m/>
    <x v="0"/>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3BFB650-FD09-4A47-AF0C-14B2320699E5}" name="PivotTable1"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4:C10" firstHeaderRow="0" firstDataRow="1" firstDataCol="1" rowPageCount="2" colPageCount="1"/>
  <pivotFields count="119">
    <pivotField showAll="0"/>
    <pivotField showAll="0"/>
    <pivotField showAll="0"/>
    <pivotField showAll="0"/>
    <pivotField axis="axisPage" multipleItemSelectionAllowed="1" showAll="0">
      <items count="7">
        <item x="0"/>
        <item h="1" m="1" x="3"/>
        <item m="1" x="4"/>
        <item m="1" x="2"/>
        <item h="1" m="1" x="5"/>
        <item m="1" x="1"/>
        <item t="default"/>
      </items>
    </pivotField>
    <pivotField axis="axisRow" showAll="0">
      <items count="42">
        <item m="1" x="13"/>
        <item m="1" x="16"/>
        <item m="1" x="36"/>
        <item m="1" x="19"/>
        <item m="1" x="30"/>
        <item m="1" x="25"/>
        <item m="1" x="29"/>
        <item m="1" x="22"/>
        <item m="1" x="7"/>
        <item x="2"/>
        <item x="3"/>
        <item m="1" x="12"/>
        <item m="1" x="33"/>
        <item m="1" x="9"/>
        <item m="1" x="15"/>
        <item m="1" x="26"/>
        <item m="1" x="11"/>
        <item m="1" x="20"/>
        <item m="1" x="31"/>
        <item m="1" x="6"/>
        <item m="1" x="23"/>
        <item m="1" x="35"/>
        <item m="1" x="14"/>
        <item x="4"/>
        <item m="1" x="24"/>
        <item m="1" x="17"/>
        <item m="1" x="21"/>
        <item m="1" x="27"/>
        <item m="1" x="8"/>
        <item m="1" x="10"/>
        <item x="0"/>
        <item m="1" x="28"/>
        <item m="1" x="18"/>
        <item m="1" x="38"/>
        <item m="1" x="32"/>
        <item m="1" x="39"/>
        <item x="1"/>
        <item m="1" x="40"/>
        <item m="1" x="37"/>
        <item m="1" x="34"/>
        <item m="1" x="5"/>
        <item t="default"/>
      </items>
    </pivotField>
    <pivotField axis="axisPage" showAll="0">
      <items count="11">
        <item x="0"/>
        <item m="1" x="2"/>
        <item m="1" x="8"/>
        <item m="1" x="9"/>
        <item m="1" x="7"/>
        <item m="1" x="1"/>
        <item m="1" x="4"/>
        <item m="1" x="3"/>
        <item m="1" x="5"/>
        <item m="1" x="6"/>
        <item t="default"/>
      </items>
    </pivotField>
    <pivotField dataField="1" showAll="0"/>
    <pivotField numFmtId="164" showAll="0"/>
    <pivotField dataField="1" numFmtId="164"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9" showAll="0"/>
    <pivotField numFmtId="1" showAll="0"/>
    <pivotField numFmtId="9" showAll="0"/>
    <pivotField numFmtId="1" showAll="0"/>
    <pivotField numFmtId="9" showAll="0"/>
    <pivotField numFmtId="1" showAll="0"/>
    <pivotField numFmtId="1" showAll="0"/>
    <pivotField numFmtId="9" showAll="0"/>
    <pivotField numFmtId="1" showAll="0"/>
    <pivotField numFmtId="1" showAll="0"/>
    <pivotField numFmtId="1" showAll="0"/>
    <pivotField numFmtId="9" showAll="0"/>
    <pivotField numFmtId="1" showAll="0"/>
    <pivotField showAll="0"/>
    <pivotField numFmtId="1" showAll="0"/>
    <pivotField numFmtId="1" showAll="0"/>
    <pivotField numFmtId="9" showAll="0"/>
    <pivotField numFmtId="9" showAll="0"/>
    <pivotField numFmtId="1" showAll="0"/>
    <pivotField numFmtId="1" showAll="0"/>
    <pivotField numFmtId="1" showAll="0"/>
    <pivotField numFmtId="1" showAll="0"/>
    <pivotField numFmtId="1" showAll="0"/>
    <pivotField numFmtId="9" showAll="0"/>
    <pivotField numFmtId="9" showAll="0"/>
    <pivotField numFmtId="9" showAll="0"/>
    <pivotField numFmtId="9"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s>
  <rowFields count="1">
    <field x="5"/>
  </rowFields>
  <rowItems count="6">
    <i>
      <x v="9"/>
    </i>
    <i>
      <x v="10"/>
    </i>
    <i>
      <x v="23"/>
    </i>
    <i>
      <x v="30"/>
    </i>
    <i>
      <x v="36"/>
    </i>
    <i t="grand">
      <x/>
    </i>
  </rowItems>
  <colFields count="1">
    <field x="-2"/>
  </colFields>
  <colItems count="2">
    <i>
      <x/>
    </i>
    <i i="1">
      <x v="1"/>
    </i>
  </colItems>
  <pageFields count="2">
    <pageField fld="4" hier="-1"/>
    <pageField fld="6" item="0" hier="-1"/>
  </pageFields>
  <dataFields count="2">
    <dataField name="Count of Site Name" fld="7" subtotal="count" baseField="0" baseItem="0"/>
    <dataField name="Sum of Total PoP " fld="9"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00000000-0007-0000-0800-000017000000}" name="R_Traffic" cacheId="0" applyNumberFormats="0" applyBorderFormats="0" applyFontFormats="0" applyPatternFormats="0" applyAlignmentFormats="0" applyWidthHeightFormats="1" dataCaption="Values" updatedVersion="6" minRefreshableVersion="3" itemPrintTitles="1" createdVersion="6" indent="0" outline="1" outlineData="1" multipleFieldFilters="0" rowHeaderCaption="Township">
  <location ref="B10:F15" firstHeaderRow="0" firstDataRow="1" firstDataCol="1" rowPageCount="4" colPageCount="1"/>
  <pivotFields count="119">
    <pivotField axis="axisPage" subtotalTop="0" showAll="0">
      <items count="15">
        <item m="1" x="12"/>
        <item m="1" x="5"/>
        <item m="1" x="7"/>
        <item m="1" x="3"/>
        <item m="1" x="13"/>
        <item m="1" x="4"/>
        <item m="1" x="11"/>
        <item m="1" x="8"/>
        <item m="1" x="9"/>
        <item m="1" x="10"/>
        <item m="1" x="6"/>
        <item n="2019 Q2" x="0"/>
        <item x="2"/>
        <item x="1"/>
        <item t="default"/>
      </items>
    </pivotField>
    <pivotField showAll="0" defaultSubtotal="0"/>
    <pivotField showAll="0" defaultSubtotal="0"/>
    <pivotField subtotalTop="0" showAll="0"/>
    <pivotField axis="axisPage" subtotalTop="0" multipleItemSelectionAllowed="1" showAll="0">
      <items count="7">
        <item h="1" m="1" x="3"/>
        <item m="1" x="2"/>
        <item h="1" m="1" x="5"/>
        <item m="1" x="1"/>
        <item x="0"/>
        <item m="1" x="4"/>
        <item t="default"/>
      </items>
    </pivotField>
    <pivotField axis="axisRow" subtotalTop="0" showAll="0" sortType="ascending">
      <items count="42">
        <item m="1" x="13"/>
        <item m="1" x="16"/>
        <item m="1" x="36"/>
        <item m="1" x="19"/>
        <item m="1" x="30"/>
        <item m="1" x="25"/>
        <item m="1" x="29"/>
        <item m="1" x="22"/>
        <item m="1" x="7"/>
        <item x="2"/>
        <item x="3"/>
        <item m="1" x="12"/>
        <item m="1" x="33"/>
        <item m="1" x="9"/>
        <item m="1" x="15"/>
        <item m="1" x="26"/>
        <item m="1" x="11"/>
        <item m="1" x="20"/>
        <item m="1" x="31"/>
        <item m="1" x="6"/>
        <item m="1" x="23"/>
        <item m="1" x="35"/>
        <item m="1" x="14"/>
        <item x="4"/>
        <item m="1" x="24"/>
        <item m="1" x="17"/>
        <item m="1" x="21"/>
        <item m="1" x="27"/>
        <item m="1" x="8"/>
        <item m="1" x="10"/>
        <item x="0"/>
        <item m="1" x="28"/>
        <item m="1" x="18"/>
        <item m="1" x="38"/>
        <item m="1" x="32"/>
        <item m="1" x="39"/>
        <item x="1"/>
        <item m="1" x="40"/>
        <item m="1" x="37"/>
        <item m="1" x="34"/>
        <item m="1" x="5"/>
        <item t="default"/>
      </items>
    </pivotField>
    <pivotField axis="axisPage" multipleItemSelectionAllowed="1" showAll="0" defaultSubtotal="0">
      <items count="10">
        <item x="0"/>
        <item m="1" x="2"/>
        <item m="1" x="8"/>
        <item m="1" x="7"/>
        <item h="1" m="1" x="1"/>
        <item h="1" m="1" x="4"/>
        <item h="1" m="1" x="3"/>
        <item h="1" m="1" x="5"/>
        <item m="1" x="6"/>
        <item h="1" m="1" x="9"/>
      </items>
    </pivotField>
    <pivotField subtotalTop="0" showAll="0"/>
    <pivotField subtotalTop="0" showAll="0"/>
    <pivotField dataField="1" subtotalTop="0" showAll="0"/>
    <pivotField showAll="0" defaultSubtotal="0"/>
    <pivotField showAll="0" defaultSubtotal="0"/>
    <pivotField showAll="0" defaultSubtotal="0"/>
    <pivotField showAll="0" defaultSubtotal="0"/>
    <pivotField showAll="0" defaultSubtotal="0"/>
    <pivotField subtotalTop="0" showAll="0"/>
    <pivotField showAll="0" defaultSubtotal="0"/>
    <pivotField showAll="0" defaultSubtota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numFmtId="9" showAll="0"/>
    <pivotField showAll="0" defaultSubtotal="0"/>
    <pivotField showAll="0"/>
    <pivotField subtotalTop="0" showAll="0"/>
    <pivotField numFmtId="9" showAll="0"/>
    <pivotField showAll="0" defaultSubtotal="0"/>
    <pivotField subtotalTop="0" showAll="0"/>
    <pivotField subtotalTop="0" showAll="0"/>
    <pivotField showAll="0" defaultSubtotal="0"/>
    <pivotField subtotalTop="0" showAll="0"/>
    <pivotField subtotalTop="0" showAll="0"/>
    <pivotField numFmtId="9" showAll="0"/>
    <pivotField numFmtId="1" showAll="0" defaultSubtotal="0"/>
    <pivotField showAll="0" defaultSubtotal="0"/>
    <pivotField subtotalTop="0" showAll="0"/>
    <pivotField subtotalTop="0" showAll="0"/>
    <pivotField subtotalTop="0" showAll="0"/>
    <pivotField numFmtId="9" showAll="0" defaultSubtotal="0"/>
    <pivotField numFmtId="1" showAll="0" defaultSubtotal="0"/>
    <pivotField numFmtId="1" showAll="0" defaultSubtotal="0"/>
    <pivotField numFmtId="1" showAll="0" defaultSubtotal="0"/>
    <pivotField numFmtId="1" showAll="0" defaultSubtotal="0"/>
    <pivotField numFmtId="1" showAll="0" defaultSubtotal="0"/>
    <pivotField subtotalTop="0" showAll="0"/>
    <pivotField subtotalTop="0" showAll="0"/>
    <pivotField subtotalTop="0" showAll="0"/>
    <pivotField subtotalTop="0" showAll="0"/>
    <pivotField showAll="0"/>
    <pivotField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axis="axisPage" subtotalTop="0" multipleItemSelectionAllowed="1" showAll="0">
      <items count="5">
        <item x="0"/>
        <item h="1" x="1"/>
        <item m="1" x="3"/>
        <item m="1" x="2"/>
        <item t="default"/>
      </items>
    </pivotField>
    <pivotField showAll="0"/>
    <pivotField showAll="0"/>
    <pivotField showAll="0"/>
    <pivotField subtotalTop="0" showAll="0"/>
    <pivotField showAll="0"/>
    <pivotField showAll="0"/>
    <pivotField showAll="0"/>
    <pivotField dataField="1" dragToRow="0" dragToCol="0" dragToPage="0" showAll="0" defaultSubtotal="0"/>
    <pivotField dragToRow="0" dragToCol="0" dragToPage="0" showAll="0" defaultSubtotal="0"/>
    <pivotField dragToRow="0" dragToCol="0" dragToPage="0" showAll="0" defaultSubtotal="0"/>
    <pivotField dataField="1" dragToRow="0" dragToCol="0" dragToPage="0" showAll="0" defaultSubtotal="0"/>
    <pivotField dragToRow="0" dragToCol="0" dragToPage="0" showAll="0" defaultSubtotal="0"/>
    <pivotField dataField="1" dragToRow="0" dragToCol="0" dragToPage="0" showAll="0" defaultSubtotal="0"/>
    <pivotField dragToRow="0" dragToCol="0" dragToPage="0" showAll="0" defaultSubtotal="0"/>
  </pivotFields>
  <rowFields count="1">
    <field x="5"/>
  </rowFields>
  <rowItems count="5">
    <i>
      <x v="9"/>
    </i>
    <i>
      <x v="23"/>
    </i>
    <i>
      <x v="30"/>
    </i>
    <i>
      <x v="36"/>
    </i>
    <i t="grand">
      <x/>
    </i>
  </rowItems>
  <colFields count="1">
    <field x="-2"/>
  </colFields>
  <colItems count="4">
    <i>
      <x/>
    </i>
    <i i="1">
      <x v="1"/>
    </i>
    <i i="2">
      <x v="2"/>
    </i>
    <i i="3">
      <x v="3"/>
    </i>
  </colItems>
  <pageFields count="4">
    <pageField fld="0" item="12" hier="-1"/>
    <pageField fld="104" hier="-1"/>
    <pageField fld="4" hier="-1"/>
    <pageField fld="6" hier="-1"/>
  </pageFields>
  <dataFields count="4">
    <dataField name="PoP " fld="9" baseField="0" baseItem="0" numFmtId="164"/>
    <dataField name=" % Water GAP" fld="115" baseField="0" baseItem="0" numFmtId="9"/>
    <dataField name=" % Sanitation GAP" fld="117" baseField="5" baseItem="23" numFmtId="9"/>
    <dataField name=" % Hygiene Gap" fld="112" baseField="0" baseItem="0" numFmtId="9"/>
  </dataFields>
  <formats count="40">
    <format dxfId="325">
      <pivotArea type="all" dataOnly="0" outline="0" fieldPosition="0"/>
    </format>
    <format dxfId="324">
      <pivotArea outline="0" collapsedLevelsAreSubtotals="1" fieldPosition="0"/>
    </format>
    <format dxfId="323">
      <pivotArea field="5" type="button" dataOnly="0" labelOnly="1" outline="0" axis="axisRow" fieldPosition="0"/>
    </format>
    <format dxfId="322">
      <pivotArea dataOnly="0" labelOnly="1" outline="0" axis="axisValues" fieldPosition="0"/>
    </format>
    <format dxfId="321">
      <pivotArea dataOnly="0" labelOnly="1" fieldPosition="0">
        <references count="1">
          <reference field="5" count="0"/>
        </references>
      </pivotArea>
    </format>
    <format dxfId="320">
      <pivotArea dataOnly="0" labelOnly="1" grandRow="1" outline="0" fieldPosition="0"/>
    </format>
    <format dxfId="319">
      <pivotArea dataOnly="0" labelOnly="1" outline="0" axis="axisValues" fieldPosition="0"/>
    </format>
    <format dxfId="318">
      <pivotArea type="all" dataOnly="0" outline="0" fieldPosition="0"/>
    </format>
    <format dxfId="317">
      <pivotArea field="5" type="button" dataOnly="0" labelOnly="1" outline="0" axis="axisRow" fieldPosition="0"/>
    </format>
    <format dxfId="316">
      <pivotArea dataOnly="0" labelOnly="1" outline="0" axis="axisValues" fieldPosition="0"/>
    </format>
    <format dxfId="315">
      <pivotArea dataOnly="0" labelOnly="1" fieldPosition="0">
        <references count="1">
          <reference field="5" count="0"/>
        </references>
      </pivotArea>
    </format>
    <format dxfId="314">
      <pivotArea dataOnly="0" labelOnly="1" outline="0" axis="axisValues" fieldPosition="0"/>
    </format>
    <format dxfId="313">
      <pivotArea field="5" type="button" dataOnly="0" labelOnly="1" outline="0" axis="axisRow" fieldPosition="0"/>
    </format>
    <format dxfId="312">
      <pivotArea type="all" dataOnly="0" outline="0" fieldPosition="0"/>
    </format>
    <format dxfId="311">
      <pivotArea field="5" type="button" dataOnly="0" labelOnly="1" outline="0" axis="axisRow" fieldPosition="0"/>
    </format>
    <format dxfId="310">
      <pivotArea dataOnly="0" labelOnly="1" outline="0" fieldPosition="0">
        <references count="1">
          <reference field="4294967294" count="1">
            <x v="0"/>
          </reference>
        </references>
      </pivotArea>
    </format>
    <format dxfId="309">
      <pivotArea type="all" dataOnly="0" outline="0" fieldPosition="0"/>
    </format>
    <format dxfId="308">
      <pivotArea outline="0" collapsedLevelsAreSubtotals="1" fieldPosition="0"/>
    </format>
    <format dxfId="307">
      <pivotArea field="5" type="button" dataOnly="0" labelOnly="1" outline="0" axis="axisRow" fieldPosition="0"/>
    </format>
    <format dxfId="306">
      <pivotArea dataOnly="0" labelOnly="1" fieldPosition="0">
        <references count="1">
          <reference field="5" count="2">
            <x v="30"/>
            <x v="36"/>
          </reference>
        </references>
      </pivotArea>
    </format>
    <format dxfId="305">
      <pivotArea dataOnly="0" labelOnly="1" outline="0" fieldPosition="0">
        <references count="1">
          <reference field="4294967294" count="1">
            <x v="0"/>
          </reference>
        </references>
      </pivotArea>
    </format>
    <format dxfId="304">
      <pivotArea field="5" type="button" dataOnly="0" labelOnly="1" outline="0" axis="axisRow" fieldPosition="0"/>
    </format>
    <format dxfId="303">
      <pivotArea dataOnly="0" labelOnly="1" outline="0" fieldPosition="0">
        <references count="1">
          <reference field="4294967294" count="1">
            <x v="0"/>
          </reference>
        </references>
      </pivotArea>
    </format>
    <format dxfId="302">
      <pivotArea type="all" dataOnly="0" outline="0" fieldPosition="0"/>
    </format>
    <format dxfId="301">
      <pivotArea outline="0" collapsedLevelsAreSubtotals="1" fieldPosition="0"/>
    </format>
    <format dxfId="300">
      <pivotArea field="5" type="button" dataOnly="0" labelOnly="1" outline="0" axis="axisRow" fieldPosition="0"/>
    </format>
    <format dxfId="299">
      <pivotArea dataOnly="0" labelOnly="1" fieldPosition="0">
        <references count="1">
          <reference field="5" count="5">
            <x v="9"/>
            <x v="10"/>
            <x v="23"/>
            <x v="30"/>
            <x v="36"/>
          </reference>
        </references>
      </pivotArea>
    </format>
    <format dxfId="298">
      <pivotArea dataOnly="0" labelOnly="1" grandRow="1" outline="0" fieldPosition="0"/>
    </format>
    <format dxfId="297">
      <pivotArea dataOnly="0" labelOnly="1" outline="0" fieldPosition="0">
        <references count="1">
          <reference field="4294967294" count="1">
            <x v="0"/>
          </reference>
        </references>
      </pivotArea>
    </format>
    <format dxfId="296">
      <pivotArea field="4" type="button" dataOnly="0" labelOnly="1" outline="0" axis="axisPage" fieldPosition="2"/>
    </format>
    <format dxfId="295">
      <pivotArea dataOnly="0" labelOnly="1" outline="0" fieldPosition="0">
        <references count="2">
          <reference field="0" count="1" selected="0">
            <x v="7"/>
          </reference>
          <reference field="4" count="1">
            <x v="1"/>
          </reference>
        </references>
      </pivotArea>
    </format>
    <format dxfId="294">
      <pivotArea outline="0" collapsedLevelsAreSubtotals="1" fieldPosition="0">
        <references count="1">
          <reference field="4294967294" count="1" selected="0">
            <x v="0"/>
          </reference>
        </references>
      </pivotArea>
    </format>
    <format dxfId="293">
      <pivotArea dataOnly="0" labelOnly="1" outline="0" fieldPosition="0">
        <references count="2">
          <reference field="0" count="1" selected="0">
            <x v="8"/>
          </reference>
          <reference field="4" count="1">
            <x v="1"/>
          </reference>
        </references>
      </pivotArea>
    </format>
    <format dxfId="292">
      <pivotArea dataOnly="0" labelOnly="1" outline="0" fieldPosition="0">
        <references count="2">
          <reference field="0" count="1" selected="0">
            <x v="9"/>
          </reference>
          <reference field="4" count="1">
            <x v="1"/>
          </reference>
        </references>
      </pivotArea>
    </format>
    <format dxfId="291">
      <pivotArea dataOnly="0" labelOnly="1" outline="0" fieldPosition="0">
        <references count="2">
          <reference field="0" count="1" selected="0">
            <x v="10"/>
          </reference>
          <reference field="4" count="0"/>
        </references>
      </pivotArea>
    </format>
    <format dxfId="290">
      <pivotArea outline="0" collapsedLevelsAreSubtotals="1" fieldPosition="0">
        <references count="1">
          <reference field="4294967294" count="2" selected="0">
            <x v="1"/>
            <x v="2"/>
          </reference>
        </references>
      </pivotArea>
    </format>
    <format dxfId="289">
      <pivotArea outline="0" collapsedLevelsAreSubtotals="1" fieldPosition="0">
        <references count="1">
          <reference field="4294967294" count="1" selected="0">
            <x v="3"/>
          </reference>
        </references>
      </pivotArea>
    </format>
    <format dxfId="288">
      <pivotArea dataOnly="0" labelOnly="1" outline="0" fieldPosition="0">
        <references count="2">
          <reference field="0" count="1" selected="0">
            <x v="11"/>
          </reference>
          <reference field="4" count="0"/>
        </references>
      </pivotArea>
    </format>
    <format dxfId="287">
      <pivotArea collapsedLevelsAreSubtotals="1" fieldPosition="0">
        <references count="2">
          <reference field="4294967294" count="1" selected="0">
            <x v="1"/>
          </reference>
          <reference field="5" count="1">
            <x v="36"/>
          </reference>
        </references>
      </pivotArea>
    </format>
    <format dxfId="286">
      <pivotArea field="5" grandRow="1" outline="0" collapsedLevelsAreSubtotals="1" axis="axisRow" fieldPosition="0">
        <references count="1">
          <reference field="4294967294" count="1" selected="0">
            <x v="1"/>
          </reference>
        </references>
      </pivotArea>
    </format>
  </formats>
  <conditionalFormats count="1">
    <conditionalFormat priority="1">
      <pivotAreas count="1">
        <pivotArea type="data" outline="0" collapsedLevelsAreSubtotals="1" fieldPosition="0">
          <references count="1">
            <reference field="4294967294" count="3" selected="0">
              <x v="1"/>
              <x v="2"/>
              <x v="3"/>
            </reference>
          </references>
        </pivotArea>
      </pivotAreas>
    </conditionalFormat>
  </conditionalFormats>
  <pivotTableStyleInfo name="CUSTOM"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1.xml><?xml version="1.0" encoding="utf-8"?>
<pivotTableDefinition xmlns="http://schemas.openxmlformats.org/spreadsheetml/2006/main" xmlns:mc="http://schemas.openxmlformats.org/markup-compatibility/2006" xmlns:xr="http://schemas.microsoft.com/office/spreadsheetml/2014/revision" mc:Ignorable="xr" xr:uid="{3C9FC332-0B74-447D-A073-C186E33D5EDC}" name="PivotTable23" cacheId="0" dataOnRows="1" applyNumberFormats="0" applyBorderFormats="0" applyFontFormats="0" applyPatternFormats="0" applyAlignmentFormats="0" applyWidthHeightFormats="1" dataCaption="Values" updatedVersion="6" minRefreshableVersion="3" rowGrandTotals="0" itemPrintTitles="1" createdVersion="6" indent="0" outline="1" outlineData="1" multipleFieldFilters="0" chartFormat="11">
  <location ref="B231:C236" firstHeaderRow="1" firstDataRow="1" firstDataCol="1" rowPageCount="2" colPageCount="1"/>
  <pivotFields count="119">
    <pivotField axis="axisPage" subtotalTop="0" multipleItemSelectionAllowed="1" showAll="0">
      <items count="15">
        <item h="1" m="1" x="12"/>
        <item m="1" x="5"/>
        <item m="1" x="13"/>
        <item h="1" m="1" x="7"/>
        <item m="1" x="4"/>
        <item h="1" m="1" x="3"/>
        <item h="1" m="1" x="11"/>
        <item h="1" m="1" x="8"/>
        <item h="1" m="1" x="9"/>
        <item m="1" x="10"/>
        <item m="1" x="6"/>
        <item h="1" x="0"/>
        <item x="2"/>
        <item h="1" x="1"/>
        <item t="default"/>
      </items>
    </pivotField>
    <pivotField subtotalTop="0" showAll="0"/>
    <pivotField subtotalTop="0" showAll="0"/>
    <pivotField subtotalTop="0" showAll="0"/>
    <pivotField subtotalTop="0" showAll="0">
      <items count="7">
        <item m="1" x="3"/>
        <item m="1" x="2"/>
        <item m="1" x="5"/>
        <item m="1" x="1"/>
        <item x="0"/>
        <item m="1" x="4"/>
        <item t="default"/>
      </items>
    </pivotField>
    <pivotField subtotalTop="0" showAll="0"/>
    <pivotField subtotalTop="0" multipleItemSelectionAllowed="1" showAll="0"/>
    <pivotField subtotalTop="0" showAll="0"/>
    <pivotField subtotalTop="0" showAll="0"/>
    <pivotField dataField="1"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dataField="1" subtotalTop="0" showAll="0"/>
    <pivotField dataField="1" subtotalTop="0" showAll="0"/>
    <pivotField dataField="1" subtotalTop="0" showAll="0"/>
    <pivotField dataField="1"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numFmtId="9" subtotalTop="0" showAll="0"/>
    <pivotField subtotalTop="0" showAll="0"/>
    <pivotField subtotalTop="0" showAll="0"/>
    <pivotField numFmtId="1" subtotalTop="0" showAll="0"/>
    <pivotField numFmtId="9" subtotalTop="0" showAll="0"/>
    <pivotField subtotalTop="0" showAll="0"/>
    <pivotField subtotalTop="0" showAll="0"/>
    <pivotField subtotalTop="0" showAll="0"/>
    <pivotField subtotalTop="0" showAll="0"/>
    <pivotField numFmtId="1" subtotalTop="0" showAll="0"/>
    <pivotField numFmtId="1" subtotalTop="0" showAll="0"/>
    <pivotField numFmtId="9" subtotalTop="0" showAll="0"/>
    <pivotField numFmtId="1" subtotalTop="0" showAll="0"/>
    <pivotField subtotalTop="0" showAll="0"/>
    <pivotField subtotalTop="0" showAll="0"/>
    <pivotField subtotalTop="0" showAll="0"/>
    <pivotField subtotalTop="0" showAll="0"/>
    <pivotField numFmtId="9" subtotalTop="0" showAll="0"/>
    <pivotField numFmtId="1" subtotalTop="0" showAll="0"/>
    <pivotField numFmtId="1" subtotalTop="0" showAll="0"/>
    <pivotField numFmtId="1" subtotalTop="0" showAll="0"/>
    <pivotField numFmtId="1" subtotalTop="0" showAll="0"/>
    <pivotField numFmtId="1" subtotalTop="0" showAll="0"/>
    <pivotField numFmtId="9" subtotalTop="0" showAll="0"/>
    <pivotField numFmtId="9" subtotalTop="0" showAll="0"/>
    <pivotField numFmtId="9" subtotalTop="0" showAll="0"/>
    <pivotField numFmtId="9"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axis="axisPage" subtotalTop="0" showAll="0">
      <items count="5">
        <item x="0"/>
        <item x="1"/>
        <item m="1" x="3"/>
        <item m="1" x="2"/>
        <item t="default"/>
      </items>
    </pivotField>
    <pivotField subtotalTop="0" showAll="0"/>
    <pivotField subtotalTop="0" showAll="0"/>
    <pivotField subtotalTop="0" showAll="0"/>
    <pivotField subtotalTop="0" showAll="0"/>
    <pivotField subtotalTop="0" showAll="0"/>
    <pivotField subtotalTop="0" showAll="0"/>
    <pivotField subtotalTop="0" showAll="0"/>
    <pivotField subtotalTop="0" dragToRow="0" dragToCol="0" dragToPage="0" showAll="0" defaultSubtotal="0"/>
    <pivotField subtotalTop="0" dragToRow="0" dragToCol="0" dragToPage="0" showAll="0" defaultSubtotal="0"/>
    <pivotField subtotalTop="0" dragToRow="0" dragToCol="0" dragToPage="0" showAll="0" defaultSubtotal="0"/>
    <pivotField subtotalTop="0" dragToRow="0" dragToCol="0" dragToPage="0" showAll="0" defaultSubtotal="0"/>
    <pivotField subtotalTop="0" dragToRow="0" dragToCol="0" dragToPage="0" showAll="0" defaultSubtotal="0"/>
    <pivotField subtotalTop="0" dragToRow="0" dragToCol="0" dragToPage="0" showAll="0" defaultSubtotal="0"/>
    <pivotField subtotalTop="0" dragToRow="0" dragToCol="0" dragToPage="0" showAll="0" defaultSubtotal="0"/>
  </pivotFields>
  <rowFields count="1">
    <field x="-2"/>
  </rowFields>
  <rowItems count="5">
    <i>
      <x/>
    </i>
    <i i="1">
      <x v="1"/>
    </i>
    <i i="2">
      <x v="2"/>
    </i>
    <i i="3">
      <x v="3"/>
    </i>
    <i i="4">
      <x v="4"/>
    </i>
  </rowItems>
  <colItems count="1">
    <i/>
  </colItems>
  <pageFields count="2">
    <pageField fld="0" hier="-1"/>
    <pageField fld="104" item="0" hier="-1"/>
  </pageFields>
  <dataFields count="5">
    <dataField name=" Total PoP " fld="9" baseField="0" baseItem="0"/>
    <dataField name="Men" fld="45" baseField="0" baseItem="0"/>
    <dataField name="Women" fld="46" baseField="0" baseItem="0"/>
    <dataField name="Boys" fld="47" baseField="0" baseItem="0"/>
    <dataField name="Girls" fld="48" baseField="0" baseItem="0"/>
  </dataFields>
  <formats count="10">
    <format dxfId="335">
      <pivotArea type="all" dataOnly="0" outline="0" fieldPosition="0"/>
    </format>
    <format dxfId="334">
      <pivotArea type="all" dataOnly="0" outline="0" fieldPosition="0"/>
    </format>
    <format dxfId="333">
      <pivotArea outline="0" collapsedLevelsAreSubtotals="1" fieldPosition="0"/>
    </format>
    <format dxfId="332">
      <pivotArea field="4" type="button" dataOnly="0" labelOnly="1" outline="0"/>
    </format>
    <format dxfId="331">
      <pivotArea dataOnly="0" labelOnly="1" grandRow="1" outline="0" fieldPosition="0"/>
    </format>
    <format dxfId="330">
      <pivotArea type="all" dataOnly="0" outline="0" fieldPosition="0"/>
    </format>
    <format dxfId="329">
      <pivotArea outline="0" collapsedLevelsAreSubtotals="1" fieldPosition="0"/>
    </format>
    <format dxfId="328">
      <pivotArea field="4" type="button" dataOnly="0" labelOnly="1" outline="0"/>
    </format>
    <format dxfId="327">
      <pivotArea dataOnly="0" labelOnly="1" grandRow="1" outline="0" fieldPosition="0"/>
    </format>
    <format dxfId="326">
      <pivotArea outline="0" collapsedLevelsAreSubtotals="1" fieldPosition="0"/>
    </format>
  </formats>
  <pivotTableStyleInfo name="PivotStyleLight14 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SubtotalsOnTopDefault="0"/>
    </ext>
  </extLst>
</pivotTableDefinition>
</file>

<file path=xl/pivotTables/pivotTable12.xml><?xml version="1.0" encoding="utf-8"?>
<pivotTableDefinition xmlns="http://schemas.openxmlformats.org/spreadsheetml/2006/main" xmlns:mc="http://schemas.openxmlformats.org/markup-compatibility/2006" xmlns:xr="http://schemas.microsoft.com/office/spreadsheetml/2014/revision" mc:Ignorable="xr" xr:uid="{00000000-0007-0000-0800-00000D000000}" name="PivotTable10" cacheId="0" applyNumberFormats="0" applyBorderFormats="0" applyFontFormats="0" applyPatternFormats="0" applyAlignmentFormats="0" applyWidthHeightFormats="1" dataCaption="Values" updatedVersion="6" minRefreshableVersion="3" rowGrandTotals="0" colGrandTotals="0" itemPrintTitles="1" createdVersion="6" indent="0" outline="1" outlineData="1" multipleFieldFilters="0" chartFormat="25" rowHeaderCaption="State" colHeaderCaption=" ">
  <location ref="B54:D56" firstHeaderRow="1" firstDataRow="2" firstDataCol="1" rowPageCount="3" colPageCount="1"/>
  <pivotFields count="119">
    <pivotField axis="axisPage" subtotalTop="0" multipleItemSelectionAllowed="1" showAll="0">
      <items count="15">
        <item m="1" x="12"/>
        <item m="1" x="5"/>
        <item h="1" m="1" x="7"/>
        <item h="1" m="1" x="3"/>
        <item m="1" x="13"/>
        <item m="1" x="4"/>
        <item h="1" m="1" x="11"/>
        <item h="1" m="1" x="8"/>
        <item h="1" m="1" x="9"/>
        <item m="1" x="10"/>
        <item m="1" x="6"/>
        <item h="1" x="0"/>
        <item x="2"/>
        <item h="1" x="1"/>
        <item t="default"/>
      </items>
    </pivotField>
    <pivotField showAll="0" defaultSubtotal="0"/>
    <pivotField showAll="0" defaultSubtotal="0"/>
    <pivotField subtotalTop="0" showAll="0"/>
    <pivotField axis="axisRow" subtotalTop="0" showAll="0">
      <items count="7">
        <item m="1" x="3"/>
        <item m="1" x="2"/>
        <item m="1" x="5"/>
        <item m="1" x="1"/>
        <item x="0"/>
        <item m="1" x="4"/>
        <item t="default"/>
      </items>
    </pivotField>
    <pivotField subtotalTop="0" showAll="0"/>
    <pivotField axis="axisPage" multipleItemSelectionAllowed="1" showAll="0" defaultSubtotal="0">
      <items count="10">
        <item x="0"/>
        <item m="1" x="2"/>
        <item m="1" x="8"/>
        <item h="1" m="1" x="9"/>
        <item m="1" x="7"/>
        <item m="1" x="1"/>
        <item h="1" m="1" x="4"/>
        <item m="1" x="3"/>
        <item h="1" m="1" x="5"/>
        <item m="1" x="6"/>
      </items>
    </pivotField>
    <pivotField subtotalTop="0" showAll="0"/>
    <pivotField subtotalTop="0" showAll="0"/>
    <pivotField subtotalTop="0" showAll="0"/>
    <pivotField showAll="0" defaultSubtotal="0"/>
    <pivotField showAll="0" defaultSubtotal="0"/>
    <pivotField showAll="0" defaultSubtotal="0"/>
    <pivotField showAll="0" defaultSubtotal="0"/>
    <pivotField showAll="0" defaultSubtotal="0"/>
    <pivotField subtotalTop="0" showAll="0"/>
    <pivotField showAll="0" defaultSubtotal="0"/>
    <pivotField showAll="0" defaultSubtota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dataField="1" showAll="0" defaultSubtotal="0">
      <items count="3">
        <item x="1"/>
        <item x="0"/>
        <item m="1" x="2"/>
      </items>
    </pivotField>
    <pivotField numFmtId="9" showAll="0"/>
    <pivotField showAll="0" defaultSubtotal="0"/>
    <pivotField showAll="0"/>
    <pivotField subtotalTop="0" showAll="0"/>
    <pivotField numFmtId="9" showAll="0"/>
    <pivotField showAll="0" defaultSubtotal="0"/>
    <pivotField subtotalTop="0" showAll="0"/>
    <pivotField numFmtId="9" subtotalTop="0" showAll="0"/>
    <pivotField showAll="0" defaultSubtotal="0"/>
    <pivotField subtotalTop="0" showAll="0"/>
    <pivotField subtotalTop="0" showAll="0"/>
    <pivotField numFmtId="9" showAll="0"/>
    <pivotField numFmtId="1" showAll="0" defaultSubtotal="0"/>
    <pivotField showAll="0" defaultSubtotal="0"/>
    <pivotField subtotalTop="0" showAll="0"/>
    <pivotField numFmtId="1" subtotalTop="0" showAll="0"/>
    <pivotField numFmtId="9" subtotalTop="0" showAll="0"/>
    <pivotField numFmtId="9" showAll="0" defaultSubtotal="0"/>
    <pivotField numFmtId="1" showAll="0" defaultSubtotal="0"/>
    <pivotField numFmtId="1" showAll="0" defaultSubtotal="0"/>
    <pivotField numFmtId="1" showAll="0" defaultSubtotal="0"/>
    <pivotField numFmtId="1" showAll="0" defaultSubtotal="0"/>
    <pivotField numFmtId="1" showAll="0" defaultSubtotal="0"/>
    <pivotField numFmtId="9" subtotalTop="0" showAll="0"/>
    <pivotField subtotalTop="0" showAll="0"/>
    <pivotField subtotalTop="0" showAll="0"/>
    <pivotField numFmtId="9" subtotalTop="0" showAll="0"/>
    <pivotField showAll="0"/>
    <pivotField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axis="axisPage" subtotalTop="0" showAll="0">
      <items count="5">
        <item x="0"/>
        <item x="1"/>
        <item m="1" x="3"/>
        <item m="1" x="2"/>
        <item t="default"/>
      </items>
    </pivotField>
    <pivotField showAll="0"/>
    <pivotField showAll="0"/>
    <pivotField showAll="0"/>
    <pivotField subtotalTop="0" showAll="0"/>
    <pivotField showAll="0"/>
    <pivotField showAll="0"/>
    <pivotField showAl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s>
  <rowFields count="1">
    <field x="4"/>
  </rowFields>
  <rowItems count="1">
    <i>
      <x v="4"/>
    </i>
  </rowItems>
  <colFields count="1">
    <field x="66"/>
  </colFields>
  <colItems count="2">
    <i>
      <x/>
    </i>
    <i>
      <x v="1"/>
    </i>
  </colItems>
  <pageFields count="3">
    <pageField fld="0" hier="-1"/>
    <pageField fld="104" item="0" hier="-1"/>
    <pageField fld="6" hier="-1"/>
  </pageFields>
  <dataFields count="1">
    <dataField name="Count of Warter quality test done" fld="66" subtotal="count" baseField="0" baseItem="0"/>
  </dataFields>
  <formats count="8">
    <format dxfId="343">
      <pivotArea field="4" type="button" dataOnly="0" labelOnly="1" outline="0" axis="axisRow" fieldPosition="0"/>
    </format>
    <format dxfId="342">
      <pivotArea type="all" dataOnly="0" outline="0" fieldPosition="0"/>
    </format>
    <format dxfId="341">
      <pivotArea outline="0" collapsedLevelsAreSubtotals="1" fieldPosition="0"/>
    </format>
    <format dxfId="340">
      <pivotArea field="4" type="button" dataOnly="0" labelOnly="1" outline="0" axis="axisRow" fieldPosition="0"/>
    </format>
    <format dxfId="339">
      <pivotArea dataOnly="0" labelOnly="1" fieldPosition="0">
        <references count="1">
          <reference field="4" count="0"/>
        </references>
      </pivotArea>
    </format>
    <format dxfId="338">
      <pivotArea type="all" dataOnly="0" outline="0" fieldPosition="0"/>
    </format>
    <format dxfId="337">
      <pivotArea outline="0" collapsedLevelsAreSubtotals="1" fieldPosition="0"/>
    </format>
    <format dxfId="336">
      <pivotArea dataOnly="0" labelOnly="1" fieldPosition="0">
        <references count="1">
          <reference field="4" count="0"/>
        </references>
      </pivotArea>
    </format>
  </formats>
  <pivotTableStyleInfo name="CUSTOM" showRowHeaders="1" showColHeaders="1" showRowStripes="1" showColStripes="1"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3.xml><?xml version="1.0" encoding="utf-8"?>
<pivotTableDefinition xmlns="http://schemas.openxmlformats.org/spreadsheetml/2006/main" xmlns:mc="http://schemas.openxmlformats.org/markup-compatibility/2006" xmlns:xr="http://schemas.microsoft.com/office/spreadsheetml/2014/revision" mc:Ignorable="xr" xr:uid="{BABC0F69-F87D-48D3-8B25-BCA75C1B2588}" name="PivotTable21" cacheId="0" applyNumberFormats="0" applyBorderFormats="0" applyFontFormats="0" applyPatternFormats="0" applyAlignmentFormats="0" applyWidthHeightFormats="1" dataCaption="Values" updatedVersion="6" minRefreshableVersion="3" rowGrandTotals="0" colGrandTotals="0" itemPrintTitles="1" createdVersion="6" indent="0" outline="1" outlineData="1" multipleFieldFilters="0" chartFormat="41">
  <location ref="I28:I29" firstHeaderRow="1" firstDataRow="1" firstDataCol="0" rowPageCount="3" colPageCount="1"/>
  <pivotFields count="119">
    <pivotField axis="axisPage" subtotalTop="0" multipleItemSelectionAllowed="1" showAll="0">
      <items count="15">
        <item m="1" x="12"/>
        <item m="1" x="5"/>
        <item h="1" m="1" x="7"/>
        <item h="1" m="1" x="3"/>
        <item m="1" x="13"/>
        <item m="1" x="4"/>
        <item h="1" m="1" x="11"/>
        <item h="1" m="1" x="8"/>
        <item h="1" m="1" x="9"/>
        <item m="1" x="10"/>
        <item m="1" x="6"/>
        <item h="1" x="0"/>
        <item x="2"/>
        <item h="1" x="1"/>
        <item t="default"/>
      </items>
    </pivotField>
    <pivotField showAll="0" defaultSubtotal="0"/>
    <pivotField showAll="0" defaultSubtotal="0"/>
    <pivotField subtotalTop="0" showAll="0"/>
    <pivotField axis="axisPage" subtotalTop="0" multipleItemSelectionAllowed="1" showAll="0">
      <items count="7">
        <item h="1" m="1" x="3"/>
        <item m="1" x="2"/>
        <item h="1" m="1" x="5"/>
        <item m="1" x="1"/>
        <item x="0"/>
        <item m="1" x="4"/>
        <item t="default"/>
      </items>
    </pivotField>
    <pivotField subtotalTop="0" showAll="0"/>
    <pivotField multipleItemSelectionAllowed="1" showAll="0" defaultSubtotal="0"/>
    <pivotField subtotalTop="0" showAll="0"/>
    <pivotField subtotalTop="0" showAll="0"/>
    <pivotField subtotalTop="0" showAll="0"/>
    <pivotField showAll="0" defaultSubtotal="0"/>
    <pivotField showAll="0" defaultSubtotal="0"/>
    <pivotField showAll="0" defaultSubtotal="0"/>
    <pivotField showAll="0" defaultSubtotal="0"/>
    <pivotField showAll="0" defaultSubtotal="0"/>
    <pivotField subtotalTop="0" showAll="0"/>
    <pivotField showAll="0" defaultSubtotal="0"/>
    <pivotField showAll="0" defaultSubtotal="0"/>
    <pivotField showAll="0" defaultSubtota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numFmtId="9" showAll="0"/>
    <pivotField showAll="0" defaultSubtotal="0"/>
    <pivotField showAll="0"/>
    <pivotField subtotalTop="0" showAll="0"/>
    <pivotField numFmtId="9" showAll="0"/>
    <pivotField showAll="0" defaultSubtotal="0"/>
    <pivotField subtotalTop="0" showAll="0"/>
    <pivotField numFmtId="9" subtotalTop="0" showAll="0"/>
    <pivotField showAll="0" defaultSubtotal="0"/>
    <pivotField subtotalTop="0" showAll="0"/>
    <pivotField subtotalTop="0" showAll="0"/>
    <pivotField numFmtId="9" showAll="0"/>
    <pivotField numFmtId="1" showAll="0" defaultSubtotal="0"/>
    <pivotField showAll="0" defaultSubtotal="0"/>
    <pivotField subtotalTop="0" showAll="0"/>
    <pivotField numFmtId="1" subtotalTop="0" showAll="0"/>
    <pivotField numFmtId="9" subtotalTop="0" showAll="0"/>
    <pivotField numFmtId="9" showAll="0" defaultSubtotal="0"/>
    <pivotField numFmtId="1" showAll="0" defaultSubtotal="0"/>
    <pivotField numFmtId="1" showAll="0" defaultSubtotal="0"/>
    <pivotField numFmtId="1" showAll="0" defaultSubtotal="0"/>
    <pivotField numFmtId="1" showAll="0" defaultSubtotal="0"/>
    <pivotField numFmtId="1" showAll="0" defaultSubtotal="0"/>
    <pivotField numFmtId="9" subtotalTop="0" showAll="0"/>
    <pivotField subtotalTop="0" showAll="0"/>
    <pivotField subtotalTop="0" showAll="0"/>
    <pivotField numFmtId="9" subtotalTop="0" showAll="0"/>
    <pivotField showAll="0"/>
    <pivotField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axis="axisPage" subtotalTop="0" multipleItemSelectionAllowed="1" showAll="0">
      <items count="5">
        <item x="0"/>
        <item h="1" x="1"/>
        <item m="1" x="3"/>
        <item m="1" x="2"/>
        <item t="default"/>
      </items>
    </pivotField>
    <pivotField showAll="0"/>
    <pivotField showAll="0"/>
    <pivotField showAll="0"/>
    <pivotField subtotalTop="0" showAll="0"/>
    <pivotField showAll="0"/>
    <pivotField showAll="0"/>
    <pivotField showAl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s>
  <rowItems count="1">
    <i/>
  </rowItems>
  <colItems count="1">
    <i/>
  </colItems>
  <pageFields count="3">
    <pageField fld="0" hier="-1"/>
    <pageField fld="4" hier="-1"/>
    <pageField fld="104" hier="-1"/>
  </pageFields>
  <dataFields count="1">
    <dataField name="Average of Avg_repair_time for_water_points_# days" fld="28" subtotal="average" baseField="10" baseItem="1633672800" numFmtId="164"/>
  </dataFields>
  <formats count="8">
    <format dxfId="351">
      <pivotArea type="all" dataOnly="0" outline="0" fieldPosition="0"/>
    </format>
    <format dxfId="350">
      <pivotArea outline="0" collapsedLevelsAreSubtotals="1" fieldPosition="0"/>
    </format>
    <format dxfId="349">
      <pivotArea type="all" dataOnly="0" outline="0" fieldPosition="0"/>
    </format>
    <format dxfId="348">
      <pivotArea type="all" dataOnly="0" outline="0" fieldPosition="0"/>
    </format>
    <format dxfId="347">
      <pivotArea outline="0" collapsedLevelsAreSubtotals="1" fieldPosition="0"/>
    </format>
    <format dxfId="346">
      <pivotArea field="4" type="button" dataOnly="0" labelOnly="1" outline="0" axis="axisPage" fieldPosition="1"/>
    </format>
    <format dxfId="345">
      <pivotArea dataOnly="0" labelOnly="1" outline="0" fieldPosition="0">
        <references count="1">
          <reference field="4" count="1">
            <x v="1"/>
          </reference>
        </references>
      </pivotArea>
    </format>
    <format dxfId="344">
      <pivotArea outline="0" collapsedLevelsAreSubtotals="1" fieldPosition="0"/>
    </format>
  </formats>
  <pivotTableStyleInfo name="CUSTOM" showRowHeaders="1" showColHeaders="1" showRowStripes="1" showColStripes="1"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4.xml><?xml version="1.0" encoding="utf-8"?>
<pivotTableDefinition xmlns="http://schemas.openxmlformats.org/spreadsheetml/2006/main" xmlns:mc="http://schemas.openxmlformats.org/markup-compatibility/2006" xmlns:xr="http://schemas.microsoft.com/office/spreadsheetml/2014/revision" mc:Ignorable="xr" xr:uid="{5677D7C2-8F2F-45B5-912E-66BB993C7826}" name="PivotTable25" cacheId="0" dataOnRows="1" applyNumberFormats="0" applyBorderFormats="0" applyFontFormats="0" applyPatternFormats="0" applyAlignmentFormats="0" applyWidthHeightFormats="1" dataCaption="Values" updatedVersion="6" minRefreshableVersion="3" rowGrandTotals="0" colGrandTotals="0" itemPrintTitles="1" createdVersion="6" indent="0" outline="1" outlineData="1" multipleFieldFilters="0" chartFormat="24">
  <location ref="L249:M253" firstHeaderRow="1" firstDataRow="1" firstDataCol="1" rowPageCount="2" colPageCount="1"/>
  <pivotFields count="119">
    <pivotField axis="axisPage" subtotalTop="0" showAll="0">
      <items count="15">
        <item m="1" x="12"/>
        <item m="1" x="5"/>
        <item m="1" x="13"/>
        <item m="1" x="7"/>
        <item m="1" x="4"/>
        <item m="1" x="3"/>
        <item m="1" x="11"/>
        <item m="1" x="8"/>
        <item m="1" x="9"/>
        <item m="1" x="10"/>
        <item m="1" x="6"/>
        <item x="0"/>
        <item x="2"/>
        <item x="1"/>
        <item t="default"/>
      </items>
    </pivotField>
    <pivotField showAll="0" defaultSubtotal="0"/>
    <pivotField showAll="0" defaultSubtotal="0"/>
    <pivotField subtotalTop="0" showAll="0"/>
    <pivotField subtotalTop="0" multipleItemSelectionAllowed="1" showAll="0">
      <items count="7">
        <item h="1" m="1" x="3"/>
        <item m="1" x="2"/>
        <item h="1" m="1" x="5"/>
        <item m="1" x="1"/>
        <item x="0"/>
        <item m="1" x="4"/>
        <item t="default"/>
      </items>
    </pivotField>
    <pivotField subtotalTop="0" showAll="0"/>
    <pivotField showAll="0" defaultSubtotal="0"/>
    <pivotField subtotalTop="0" showAll="0"/>
    <pivotField subtotalTop="0" showAll="0"/>
    <pivotField subtotalTop="0" showAll="0"/>
    <pivotField showAll="0" defaultSubtotal="0"/>
    <pivotField showAll="0" defaultSubtotal="0"/>
    <pivotField showAll="0" defaultSubtotal="0"/>
    <pivotField dataField="1" showAll="0" defaultSubtotal="0"/>
    <pivotField dataField="1" showAll="0" defaultSubtotal="0"/>
    <pivotField subtotalTop="0" showAll="0"/>
    <pivotField showAll="0" defaultSubtotal="0"/>
    <pivotField dataField="1" showAll="0" defaultSubtotal="0"/>
    <pivotField dataField="1"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numFmtId="9" showAll="0"/>
    <pivotField showAll="0" defaultSubtotal="0"/>
    <pivotField showAll="0"/>
    <pivotField numFmtId="1" subtotalTop="0" showAll="0"/>
    <pivotField numFmtId="9" showAll="0"/>
    <pivotField showAll="0" defaultSubtotal="0"/>
    <pivotField subtotalTop="0" showAll="0"/>
    <pivotField subtotalTop="0" showAll="0"/>
    <pivotField showAll="0" defaultSubtotal="0"/>
    <pivotField numFmtId="1" subtotalTop="0" showAll="0"/>
    <pivotField numFmtId="1" subtotalTop="0" showAll="0"/>
    <pivotField numFmtId="9" showAll="0"/>
    <pivotField numFmtId="1" showAll="0" defaultSubtotal="0"/>
    <pivotField showAll="0" defaultSubtotal="0"/>
    <pivotField subtotalTop="0" showAll="0"/>
    <pivotField subtotalTop="0" showAll="0"/>
    <pivotField subtotalTop="0" showAll="0"/>
    <pivotField numFmtId="9" showAll="0" defaultSubtotal="0"/>
    <pivotField numFmtId="1" showAll="0" defaultSubtotal="0"/>
    <pivotField numFmtId="1" showAll="0" defaultSubtotal="0"/>
    <pivotField numFmtId="1" showAll="0" defaultSubtotal="0"/>
    <pivotField numFmtId="1" showAll="0" defaultSubtotal="0"/>
    <pivotField numFmtId="1" showAll="0" defaultSubtotal="0"/>
    <pivotField numFmtId="9" subtotalTop="0" showAll="0"/>
    <pivotField numFmtId="9" subtotalTop="0" showAll="0"/>
    <pivotField numFmtId="9" subtotalTop="0" showAll="0"/>
    <pivotField numFmtId="9" subtotalTop="0" showAll="0"/>
    <pivotField showAll="0"/>
    <pivotField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axis="axisPage" subtotalTop="0" multipleItemSelectionAllowed="1" showAll="0">
      <items count="5">
        <item x="0"/>
        <item n="Gap" h="1" x="1"/>
        <item h="1" m="1" x="3"/>
        <item h="1" m="1" x="2"/>
        <item t="default"/>
      </items>
    </pivotField>
    <pivotField showAll="0"/>
    <pivotField showAll="0"/>
    <pivotField showAll="0"/>
    <pivotField subtotalTop="0" showAll="0"/>
    <pivotField showAll="0"/>
    <pivotField showAll="0"/>
    <pivotField showAl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s>
  <rowFields count="1">
    <field x="-2"/>
  </rowFields>
  <rowItems count="4">
    <i>
      <x/>
    </i>
    <i i="1">
      <x v="1"/>
    </i>
    <i i="2">
      <x v="2"/>
    </i>
    <i i="3">
      <x v="3"/>
    </i>
  </rowItems>
  <colItems count="1">
    <i/>
  </colItems>
  <pageFields count="2">
    <pageField fld="0" item="12" hier="-1"/>
    <pageField fld="104" hier="-1"/>
  </pageFields>
  <dataFields count="4">
    <dataField name="Sum of #_ paid camp based WASH skilled labor" fld="13" baseField="0" baseItem="0"/>
    <dataField name="Sum of #_paid camp based unskilled WASH unskilled labor" fld="14" baseField="0" baseItem="0"/>
    <dataField name="Sum of #_men on camp WASH team" fld="17" baseField="0" baseItem="0"/>
    <dataField name="Sum of #_women on camp WASH team" fld="18" baseField="0" baseItem="0"/>
  </dataFields>
  <formats count="14">
    <format dxfId="365">
      <pivotArea type="all" dataOnly="0" outline="0" fieldPosition="0"/>
    </format>
    <format dxfId="364">
      <pivotArea outline="0" collapsedLevelsAreSubtotals="1" fieldPosition="0"/>
    </format>
    <format dxfId="363">
      <pivotArea field="4" type="button" dataOnly="0" labelOnly="1" outline="0"/>
    </format>
    <format dxfId="362">
      <pivotArea dataOnly="0" labelOnly="1" grandRow="1" outline="0" fieldPosition="0"/>
    </format>
    <format dxfId="361">
      <pivotArea type="all" dataOnly="0" outline="0" fieldPosition="0"/>
    </format>
    <format dxfId="360">
      <pivotArea outline="0" collapsedLevelsAreSubtotals="1" fieldPosition="0"/>
    </format>
    <format dxfId="359">
      <pivotArea type="origin" dataOnly="0" labelOnly="1" outline="0" fieldPosition="0"/>
    </format>
    <format dxfId="358">
      <pivotArea field="104" type="button" dataOnly="0" labelOnly="1" outline="0" axis="axisPage" fieldPosition="1"/>
    </format>
    <format dxfId="357">
      <pivotArea type="topRight" dataOnly="0" labelOnly="1" outline="0" fieldPosition="0"/>
    </format>
    <format dxfId="356">
      <pivotArea dataOnly="0" labelOnly="1" fieldPosition="0">
        <references count="1">
          <reference field="104" count="0"/>
        </references>
      </pivotArea>
    </format>
    <format dxfId="355">
      <pivotArea type="all" dataOnly="0" outline="0" fieldPosition="0"/>
    </format>
    <format dxfId="354">
      <pivotArea outline="0" collapsedLevelsAreSubtotals="1" fieldPosition="0"/>
    </format>
    <format dxfId="353">
      <pivotArea dataOnly="0" labelOnly="1" fieldPosition="0">
        <references count="1">
          <reference field="104" count="0"/>
        </references>
      </pivotArea>
    </format>
    <format dxfId="352">
      <pivotArea field="4" type="button" dataOnly="0" labelOnly="1" outline="0"/>
    </format>
  </formats>
  <pivotTableStyleInfo name="PivotStyleMedium6" showRowHeaders="1" showColHeaders="1" showRowStripes="1" showColStripes="1"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5.xml><?xml version="1.0" encoding="utf-8"?>
<pivotTableDefinition xmlns="http://schemas.openxmlformats.org/spreadsheetml/2006/main" xmlns:mc="http://schemas.openxmlformats.org/markup-compatibility/2006" xmlns:xr="http://schemas.microsoft.com/office/spreadsheetml/2014/revision" mc:Ignorable="xr" xr:uid="{2337F7A2-6700-40A4-89D7-0D7B17A9A50F}" name="PivotTable6" cacheId="0" dataOnRows="1" applyNumberFormats="0" applyBorderFormats="0" applyFontFormats="0" applyPatternFormats="0" applyAlignmentFormats="0" applyWidthHeightFormats="1" dataCaption="Values" updatedVersion="6" minRefreshableVersion="3" rowGrandTotals="0" colGrandTotals="0" itemPrintTitles="1" createdVersion="6" indent="0" outline="1" outlineData="1" multipleFieldFilters="0" chartFormat="16">
  <location ref="C111:D115" firstHeaderRow="1" firstDataRow="1" firstDataCol="1" rowPageCount="3" colPageCount="1"/>
  <pivotFields count="119">
    <pivotField axis="axisPage" subtotalTop="0" multipleItemSelectionAllowed="1" showAll="0">
      <items count="15">
        <item m="1" x="12"/>
        <item m="1" x="5"/>
        <item m="1" x="13"/>
        <item h="1" m="1" x="7"/>
        <item m="1" x="4"/>
        <item h="1" m="1" x="3"/>
        <item h="1" m="1" x="11"/>
        <item h="1" m="1" x="8"/>
        <item h="1" m="1" x="9"/>
        <item m="1" x="10"/>
        <item m="1" x="6"/>
        <item h="1" x="0"/>
        <item x="2"/>
        <item h="1" x="1"/>
        <item t="default"/>
      </items>
    </pivotField>
    <pivotField showAll="0" defaultSubtotal="0"/>
    <pivotField showAll="0" defaultSubtotal="0"/>
    <pivotField subtotalTop="0" showAll="0"/>
    <pivotField axis="axisPage" subtotalTop="0" multipleItemSelectionAllowed="1" showAll="0">
      <items count="7">
        <item h="1" m="1" x="3"/>
        <item m="1" x="2"/>
        <item h="1" m="1" x="5"/>
        <item m="1" x="1"/>
        <item x="0"/>
        <item m="1" x="4"/>
        <item t="default"/>
      </items>
    </pivotField>
    <pivotField subtotalTop="0" showAll="0"/>
    <pivotField multipleItemSelectionAllowed="1" showAll="0" defaultSubtotal="0"/>
    <pivotField subtotalTop="0" showAll="0"/>
    <pivotField subtotalTop="0" showAll="0"/>
    <pivotField subtotalTop="0" showAll="0"/>
    <pivotField showAll="0" defaultSubtotal="0"/>
    <pivotField showAll="0" defaultSubtotal="0"/>
    <pivotField showAll="0" defaultSubtotal="0"/>
    <pivotField showAll="0" defaultSubtotal="0"/>
    <pivotField showAll="0" defaultSubtotal="0"/>
    <pivotField subtotalTop="0" showAll="0"/>
    <pivotField showAll="0" defaultSubtotal="0"/>
    <pivotField showAll="0" defaultSubtota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numFmtId="9" showAll="0"/>
    <pivotField showAll="0" defaultSubtotal="0"/>
    <pivotField showAll="0"/>
    <pivotField subtotalTop="0" showAll="0"/>
    <pivotField numFmtId="9" showAll="0"/>
    <pivotField showAll="0" defaultSubtotal="0"/>
    <pivotField subtotalTop="0" showAll="0"/>
    <pivotField numFmtId="9" subtotalTop="0" showAll="0"/>
    <pivotField showAll="0" defaultSubtotal="0"/>
    <pivotField subtotalTop="0" showAll="0"/>
    <pivotField subtotalTop="0" showAll="0"/>
    <pivotField numFmtId="9" showAll="0"/>
    <pivotField numFmtId="1" showAll="0" defaultSubtotal="0"/>
    <pivotField showAll="0" defaultSubtotal="0"/>
    <pivotField subtotalTop="0" showAll="0"/>
    <pivotField numFmtId="1" subtotalTop="0" showAll="0"/>
    <pivotField numFmtId="9" subtotalTop="0" showAll="0"/>
    <pivotField numFmtId="9" showAll="0" defaultSubtotal="0"/>
    <pivotField numFmtId="1" showAll="0" defaultSubtotal="0"/>
    <pivotField numFmtId="1" showAll="0" defaultSubtotal="0"/>
    <pivotField numFmtId="1" showAll="0" defaultSubtotal="0"/>
    <pivotField numFmtId="1" showAll="0" defaultSubtotal="0"/>
    <pivotField numFmtId="1" showAll="0" defaultSubtotal="0"/>
    <pivotField numFmtId="9" subtotalTop="0" showAll="0"/>
    <pivotField subtotalTop="0" showAll="0"/>
    <pivotField subtotalTop="0" showAll="0"/>
    <pivotField numFmtId="9" subtotalTop="0" showAll="0"/>
    <pivotField showAll="0"/>
    <pivotField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axis="axisPage" subtotalTop="0" multipleItemSelectionAllowed="1" showAll="0">
      <items count="5">
        <item x="0"/>
        <item h="1" x="1"/>
        <item m="1" x="3"/>
        <item m="1" x="2"/>
        <item t="default"/>
      </items>
    </pivotField>
    <pivotField showAll="0"/>
    <pivotField showAll="0"/>
    <pivotField showAll="0"/>
    <pivotField subtotalTop="0" showAll="0"/>
    <pivotField showAll="0"/>
    <pivotField showAll="0"/>
    <pivotField showAl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s>
  <rowFields count="1">
    <field x="-2"/>
  </rowFields>
  <rowItems count="4">
    <i>
      <x/>
    </i>
    <i i="1">
      <x v="1"/>
    </i>
    <i i="2">
      <x v="2"/>
    </i>
    <i i="3">
      <x v="3"/>
    </i>
  </rowItems>
  <colItems count="1">
    <i/>
  </colItems>
  <pageFields count="3">
    <pageField fld="0" hier="-1"/>
    <pageField fld="4" hier="-1"/>
    <pageField fld="104" hier="-1"/>
  </pageFields>
  <dataFields count="4">
    <dataField name="Average of %_of_Men_that_feel_safe_to_use_latrines_when_they_need_to_(or_at_day/night)'?" fld="36" subtotal="average" baseField="0" baseItem="1" numFmtId="9"/>
    <dataField name="Average of %_of_Women_that_feel_safe_to_use_latrines_when_they_need_to_(or_at_day/night)?" fld="37" subtotal="average" baseField="0" baseItem="1" numFmtId="9"/>
    <dataField name="Average of %_of_Boys_that_feel_safe_to_use_latrines_when_they_need_to_(or_at_day/night)?" fld="38" subtotal="average" baseField="0" baseItem="2" numFmtId="9"/>
    <dataField name="Average of %_of_Girlss_that_feel_safe_to_use_latrines_when_they_need_to_(or_at_day/night)?" fld="39" subtotal="average" baseField="0" baseItem="2" numFmtId="9"/>
  </dataFields>
  <formats count="13">
    <format dxfId="378">
      <pivotArea field="4" type="button" dataOnly="0" labelOnly="1" outline="0" axis="axisPage" fieldPosition="1"/>
    </format>
    <format dxfId="377">
      <pivotArea type="all" dataOnly="0" outline="0" fieldPosition="0"/>
    </format>
    <format dxfId="376">
      <pivotArea outline="0" collapsedLevelsAreSubtotals="1" fieldPosition="0"/>
    </format>
    <format dxfId="375">
      <pivotArea type="origin" dataOnly="0" labelOnly="1" outline="0" fieldPosition="0"/>
    </format>
    <format dxfId="374">
      <pivotArea type="topRight" dataOnly="0" labelOnly="1" outline="0" fieldPosition="0"/>
    </format>
    <format dxfId="373">
      <pivotArea field="-2" type="button" dataOnly="0" labelOnly="1" outline="0" axis="axisRow" fieldPosition="0"/>
    </format>
    <format dxfId="372">
      <pivotArea type="all" dataOnly="0" outline="0" fieldPosition="0"/>
    </format>
    <format dxfId="371">
      <pivotArea outline="0" collapsedLevelsAreSubtotals="1" fieldPosition="0"/>
    </format>
    <format dxfId="370">
      <pivotArea field="4" type="button" dataOnly="0" labelOnly="1" outline="0" axis="axisPage" fieldPosition="1"/>
    </format>
    <format dxfId="369">
      <pivotArea dataOnly="0" labelOnly="1" outline="0" fieldPosition="0">
        <references count="1">
          <reference field="4" count="1">
            <x v="1"/>
          </reference>
        </references>
      </pivotArea>
    </format>
    <format dxfId="368">
      <pivotArea outline="0" collapsedLevelsAreSubtotals="1" fieldPosition="0">
        <references count="1">
          <reference field="4294967294" count="1" selected="0">
            <x v="1"/>
          </reference>
        </references>
      </pivotArea>
    </format>
    <format dxfId="367">
      <pivotArea outline="0" collapsedLevelsAreSubtotals="1" fieldPosition="0">
        <references count="1">
          <reference field="4294967294" count="1" selected="0">
            <x v="0"/>
          </reference>
        </references>
      </pivotArea>
    </format>
    <format dxfId="366">
      <pivotArea outline="0" collapsedLevelsAreSubtotals="1" fieldPosition="0">
        <references count="1">
          <reference field="4294967294" count="2" selected="0">
            <x v="2"/>
            <x v="3"/>
          </reference>
        </references>
      </pivotArea>
    </format>
  </formats>
  <pivotTableStyleInfo name="PivotStyleLight2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6.xml><?xml version="1.0" encoding="utf-8"?>
<pivotTableDefinition xmlns="http://schemas.openxmlformats.org/spreadsheetml/2006/main" xmlns:mc="http://schemas.openxmlformats.org/markup-compatibility/2006" xmlns:xr="http://schemas.microsoft.com/office/spreadsheetml/2014/revision" mc:Ignorable="xr" xr:uid="{00000000-0007-0000-0800-00000A000000}" name="latrine_Rak" cacheId="0" dataOnRows="1" applyNumberFormats="0" applyBorderFormats="0" applyFontFormats="0" applyPatternFormats="0" applyAlignmentFormats="0" applyWidthHeightFormats="1" dataCaption="Values" updatedVersion="6" minRefreshableVersion="3" rowGrandTotals="0" colGrandTotals="0" itemPrintTitles="1" createdVersion="6" indent="0" outline="1" outlineData="1" multipleFieldFilters="0" chartFormat="16">
  <location ref="C97:D104" firstHeaderRow="1" firstDataRow="2" firstDataCol="1" rowPageCount="3" colPageCount="1"/>
  <pivotFields count="119">
    <pivotField axis="axisPage" subtotalTop="0" multipleItemSelectionAllowed="1" showAll="0">
      <items count="15">
        <item m="1" x="12"/>
        <item m="1" x="5"/>
        <item m="1" x="13"/>
        <item h="1" m="1" x="7"/>
        <item m="1" x="4"/>
        <item h="1" m="1" x="3"/>
        <item h="1" m="1" x="11"/>
        <item h="1" m="1" x="8"/>
        <item h="1" m="1" x="9"/>
        <item m="1" x="10"/>
        <item m="1" x="6"/>
        <item h="1" x="0"/>
        <item x="2"/>
        <item h="1" x="1"/>
        <item t="default"/>
      </items>
    </pivotField>
    <pivotField showAll="0" defaultSubtotal="0"/>
    <pivotField showAll="0" defaultSubtotal="0"/>
    <pivotField subtotalTop="0" showAll="0"/>
    <pivotField axis="axisPage" subtotalTop="0" multipleItemSelectionAllowed="1" showAll="0">
      <items count="7">
        <item h="1" m="1" x="3"/>
        <item m="1" x="2"/>
        <item h="1" m="1" x="5"/>
        <item m="1" x="1"/>
        <item x="0"/>
        <item m="1" x="4"/>
        <item t="default"/>
      </items>
    </pivotField>
    <pivotField subtotalTop="0" showAll="0"/>
    <pivotField axis="axisCol" multipleItemSelectionAllowed="1" showAll="0" defaultSubtotal="0">
      <items count="10">
        <item n="# in active camps (20:1)" x="0"/>
        <item m="1" x="2"/>
        <item m="1" x="8"/>
        <item h="1" m="1" x="9"/>
        <item m="1" x="7"/>
        <item m="1" x="1"/>
        <item n="# in villages (6:1)" m="1" x="4"/>
        <item m="1" x="3"/>
        <item h="1" m="1" x="5"/>
        <item m="1" x="6"/>
      </items>
    </pivotField>
    <pivotField subtotalTop="0" showAll="0"/>
    <pivotField subtotalTop="0" showAll="0"/>
    <pivotField subtotalTop="0" showAll="0"/>
    <pivotField showAll="0" defaultSubtotal="0"/>
    <pivotField showAll="0" defaultSubtotal="0"/>
    <pivotField showAll="0" defaultSubtotal="0"/>
    <pivotField showAll="0" defaultSubtotal="0"/>
    <pivotField showAll="0" defaultSubtotal="0"/>
    <pivotField subtotalTop="0" showAll="0"/>
    <pivotField showAll="0" defaultSubtotal="0"/>
    <pivotField showAll="0" defaultSubtota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showAll="0"/>
    <pivotField showAll="0"/>
    <pivotField showAll="0"/>
    <pivotField showAll="0"/>
    <pivotField showAll="0"/>
    <pivotField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numFmtId="9" showAll="0"/>
    <pivotField showAll="0" defaultSubtotal="0"/>
    <pivotField showAll="0"/>
    <pivotField subtotalTop="0" showAll="0"/>
    <pivotField numFmtId="9" showAll="0"/>
    <pivotField showAll="0" defaultSubtotal="0"/>
    <pivotField subtotalTop="0" showAll="0"/>
    <pivotField numFmtId="9" subtotalTop="0" showAll="0"/>
    <pivotField showAll="0" defaultSubtotal="0"/>
    <pivotField subtotalTop="0" showAll="0"/>
    <pivotField subtotalTop="0" showAll="0"/>
    <pivotField numFmtId="9" showAll="0"/>
    <pivotField numFmtId="1" showAll="0" defaultSubtotal="0"/>
    <pivotField showAll="0" defaultSubtotal="0"/>
    <pivotField dataField="1" subtotalTop="0" showAll="0"/>
    <pivotField numFmtId="1" subtotalTop="0" showAll="0"/>
    <pivotField numFmtId="9" subtotalTop="0" showAll="0"/>
    <pivotField numFmtId="9" showAll="0" defaultSubtotal="0"/>
    <pivotField numFmtId="1" showAll="0" defaultSubtotal="0"/>
    <pivotField numFmtId="1" showAll="0" defaultSubtotal="0"/>
    <pivotField numFmtId="1" showAll="0" defaultSubtotal="0"/>
    <pivotField numFmtId="1" showAll="0" defaultSubtotal="0"/>
    <pivotField numFmtId="1" showAll="0" defaultSubtotal="0"/>
    <pivotField numFmtId="9" subtotalTop="0" showAll="0"/>
    <pivotField subtotalTop="0" showAll="0"/>
    <pivotField subtotalTop="0" showAll="0"/>
    <pivotField numFmtId="9" subtotalTop="0" showAll="0"/>
    <pivotField showAll="0"/>
    <pivotField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axis="axisPage" subtotalTop="0" multipleItemSelectionAllowed="1" showAll="0">
      <items count="5">
        <item x="0"/>
        <item h="1" x="1"/>
        <item m="1" x="3"/>
        <item m="1" x="2"/>
        <item t="default"/>
      </items>
    </pivotField>
    <pivotField showAll="0"/>
    <pivotField showAll="0"/>
    <pivotField showAll="0"/>
    <pivotField subtotalTop="0" showAll="0"/>
    <pivotField showAll="0"/>
    <pivotField showAll="0"/>
    <pivotField showAl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s>
  <rowFields count="1">
    <field x="-2"/>
  </rowFields>
  <rowItems count="6">
    <i>
      <x/>
    </i>
    <i i="1">
      <x v="1"/>
    </i>
    <i i="2">
      <x v="2"/>
    </i>
    <i i="3">
      <x v="3"/>
    </i>
    <i i="4">
      <x v="4"/>
    </i>
    <i i="5">
      <x v="5"/>
    </i>
  </rowItems>
  <colFields count="1">
    <field x="6"/>
  </colFields>
  <colItems count="1">
    <i>
      <x/>
    </i>
  </colItems>
  <pageFields count="3">
    <pageField fld="0" hier="-1"/>
    <pageField fld="4" hier="-1"/>
    <pageField fld="104" hier="-1"/>
  </pageFields>
  <dataFields count="6">
    <dataField name="# latrines (target)" fld="81" baseField="0" baseItem="0"/>
    <dataField name="Sum of #_latrines_repaired" fld="33" baseField="6" baseItem="0"/>
    <dataField name="Sum of #_Existing_latrines" fld="32" baseField="0" baseItem="0"/>
    <dataField name="Sum of #_Functional_adult_latrines" fld="31" baseField="6" baseItem="0"/>
    <dataField name="Sum of #_of_PWD_with_adapted_sanitation_option" fld="41" baseField="6" baseItem="0"/>
    <dataField name="Sum of #_of_functional_children_latrines" fld="40" baseField="6" baseItem="0"/>
  </dataFields>
  <formats count="12">
    <format dxfId="390">
      <pivotArea field="4" type="button" dataOnly="0" labelOnly="1" outline="0" axis="axisPage" fieldPosition="1"/>
    </format>
    <format dxfId="389">
      <pivotArea type="all" dataOnly="0" outline="0" fieldPosition="0"/>
    </format>
    <format dxfId="388">
      <pivotArea outline="0" collapsedLevelsAreSubtotals="1" fieldPosition="0"/>
    </format>
    <format dxfId="387">
      <pivotArea type="origin" dataOnly="0" labelOnly="1" outline="0" fieldPosition="0"/>
    </format>
    <format dxfId="386">
      <pivotArea type="topRight" dataOnly="0" labelOnly="1" outline="0" fieldPosition="0"/>
    </format>
    <format dxfId="385">
      <pivotArea field="-2" type="button" dataOnly="0" labelOnly="1" outline="0" axis="axisRow" fieldPosition="0"/>
    </format>
    <format dxfId="384">
      <pivotArea type="all" dataOnly="0" outline="0" fieldPosition="0"/>
    </format>
    <format dxfId="383">
      <pivotArea outline="0" collapsedLevelsAreSubtotals="1" fieldPosition="0"/>
    </format>
    <format dxfId="382">
      <pivotArea dataOnly="0" labelOnly="1" outline="0" fieldPosition="0">
        <references count="1">
          <reference field="4294967294" count="1">
            <x v="0"/>
          </reference>
        </references>
      </pivotArea>
    </format>
    <format dxfId="381">
      <pivotArea field="4" type="button" dataOnly="0" labelOnly="1" outline="0" axis="axisPage" fieldPosition="1"/>
    </format>
    <format dxfId="380">
      <pivotArea dataOnly="0" labelOnly="1" outline="0" fieldPosition="0">
        <references count="1">
          <reference field="4" count="1">
            <x v="1"/>
          </reference>
        </references>
      </pivotArea>
    </format>
    <format dxfId="379">
      <pivotArea outline="0" collapsedLevelsAreSubtotals="1" fieldPosition="0"/>
    </format>
  </formats>
  <pivotTableStyleInfo name="PivotStyleLight2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7.xml><?xml version="1.0" encoding="utf-8"?>
<pivotTableDefinition xmlns="http://schemas.openxmlformats.org/spreadsheetml/2006/main" xmlns:mc="http://schemas.openxmlformats.org/markup-compatibility/2006" xmlns:xr="http://schemas.microsoft.com/office/spreadsheetml/2014/revision" mc:Ignorable="xr" xr:uid="{00000000-0007-0000-0800-000025000000}" name="water_test" cacheId="0" applyNumberFormats="0" applyBorderFormats="0" applyFontFormats="0" applyPatternFormats="0" applyAlignmentFormats="0" applyWidthHeightFormats="1" dataCaption="Values" updatedVersion="6" minRefreshableVersion="3" itemPrintTitles="1" createdVersion="6" indent="0" outline="1" outlineData="1" multipleFieldFilters="0" chartFormat="21" rowHeaderCaption="State">
  <location ref="B44:F46" firstHeaderRow="0" firstDataRow="1" firstDataCol="1" rowPageCount="3" colPageCount="1"/>
  <pivotFields count="119">
    <pivotField axis="axisPage" subtotalTop="0" multipleItemSelectionAllowed="1" showAll="0">
      <items count="15">
        <item m="1" x="12"/>
        <item m="1" x="5"/>
        <item h="1" m="1" x="7"/>
        <item h="1" m="1" x="3"/>
        <item m="1" x="13"/>
        <item m="1" x="4"/>
        <item h="1" m="1" x="11"/>
        <item h="1" m="1" x="8"/>
        <item h="1" m="1" x="9"/>
        <item m="1" x="10"/>
        <item m="1" x="6"/>
        <item h="1" x="0"/>
        <item x="2"/>
        <item h="1" x="1"/>
        <item t="default"/>
      </items>
    </pivotField>
    <pivotField showAll="0" defaultSubtotal="0"/>
    <pivotField showAll="0" defaultSubtotal="0"/>
    <pivotField subtotalTop="0" showAll="0"/>
    <pivotField axis="axisRow" subtotalTop="0" showAll="0">
      <items count="7">
        <item m="1" x="3"/>
        <item m="1" x="2"/>
        <item m="1" x="5"/>
        <item m="1" x="1"/>
        <item x="0"/>
        <item m="1" x="4"/>
        <item t="default"/>
      </items>
    </pivotField>
    <pivotField subtotalTop="0" showAll="0"/>
    <pivotField axis="axisPage" multipleItemSelectionAllowed="1" showAll="0" defaultSubtotal="0">
      <items count="10">
        <item x="0"/>
        <item m="1" x="2"/>
        <item m="1" x="8"/>
        <item m="1" x="7"/>
        <item m="1" x="1"/>
        <item h="1" m="1" x="4"/>
        <item m="1" x="3"/>
        <item h="1" m="1" x="5"/>
        <item m="1" x="6"/>
        <item h="1" m="1" x="9"/>
      </items>
    </pivotField>
    <pivotField dataField="1" subtotalTop="0" showAll="0"/>
    <pivotField subtotalTop="0" showAll="0"/>
    <pivotField subtotalTop="0" showAll="0"/>
    <pivotField showAll="0" defaultSubtotal="0"/>
    <pivotField showAll="0" defaultSubtotal="0"/>
    <pivotField showAll="0" defaultSubtotal="0"/>
    <pivotField showAll="0" defaultSubtotal="0"/>
    <pivotField showAll="0" defaultSubtotal="0"/>
    <pivotField subtotalTop="0" showAll="0"/>
    <pivotField showAll="0" defaultSubtotal="0"/>
    <pivotField showAll="0" defaultSubtotal="0"/>
    <pivotField showAll="0" defaultSubtotal="0"/>
    <pivotField showAll="0"/>
    <pivotField showAll="0"/>
    <pivotField showAll="0"/>
    <pivotField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numFmtId="9" showAll="0"/>
    <pivotField showAll="0" defaultSubtotal="0"/>
    <pivotField showAll="0"/>
    <pivotField subtotalTop="0" showAll="0"/>
    <pivotField numFmtId="9" showAll="0"/>
    <pivotField showAll="0" defaultSubtotal="0"/>
    <pivotField subtotalTop="0" showAll="0"/>
    <pivotField numFmtId="9" subtotalTop="0" showAll="0"/>
    <pivotField showAll="0" defaultSubtotal="0"/>
    <pivotField subtotalTop="0" showAll="0"/>
    <pivotField subtotalTop="0" showAll="0"/>
    <pivotField numFmtId="9" showAll="0"/>
    <pivotField numFmtId="1" showAll="0" defaultSubtotal="0"/>
    <pivotField showAll="0" defaultSubtotal="0"/>
    <pivotField subtotalTop="0" showAll="0"/>
    <pivotField numFmtId="1" subtotalTop="0" showAll="0"/>
    <pivotField numFmtId="9" subtotalTop="0" showAll="0"/>
    <pivotField numFmtId="9" showAll="0" defaultSubtotal="0"/>
    <pivotField numFmtId="1" showAll="0" defaultSubtotal="0"/>
    <pivotField numFmtId="1" showAll="0" defaultSubtotal="0"/>
    <pivotField numFmtId="1" showAll="0" defaultSubtotal="0"/>
    <pivotField numFmtId="1" showAll="0" defaultSubtotal="0"/>
    <pivotField numFmtId="1" showAll="0" defaultSubtotal="0"/>
    <pivotField numFmtId="9" subtotalTop="0" showAll="0"/>
    <pivotField subtotalTop="0" showAll="0"/>
    <pivotField subtotalTop="0" showAll="0"/>
    <pivotField numFmtId="9" subtotalTop="0" showAll="0"/>
    <pivotField showAll="0"/>
    <pivotField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axis="axisPage" subtotalTop="0" multipleItemSelectionAllowed="1" showAll="0">
      <items count="5">
        <item x="0"/>
        <item h="1" x="1"/>
        <item m="1" x="3"/>
        <item m="1" x="2"/>
        <item t="default"/>
      </items>
    </pivotField>
    <pivotField showAll="0"/>
    <pivotField showAll="0"/>
    <pivotField showAll="0"/>
    <pivotField subtotalTop="0" showAll="0"/>
    <pivotField showAll="0"/>
    <pivotField showAll="0"/>
    <pivotField showAl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s>
  <rowFields count="1">
    <field x="4"/>
  </rowFields>
  <rowItems count="2">
    <i>
      <x v="4"/>
    </i>
    <i t="grand">
      <x/>
    </i>
  </rowItems>
  <colFields count="1">
    <field x="-2"/>
  </colFields>
  <colItems count="4">
    <i>
      <x/>
    </i>
    <i i="1">
      <x v="1"/>
    </i>
    <i i="2">
      <x v="2"/>
    </i>
    <i i="3">
      <x v="3"/>
    </i>
  </colItems>
  <pageFields count="3">
    <pageField fld="0" hier="-1"/>
    <pageField fld="104" hier="-1"/>
    <pageField fld="6" hier="-1"/>
  </pageFields>
  <dataFields count="4">
    <dataField name="Count of Site Name" fld="7" subtotal="count" baseField="0" baseItem="0"/>
    <dataField name="Count of #_Water samples_Tested_at_water_source" fld="23" subtotal="count" baseField="0" baseItem="0"/>
    <dataField name="Sum of #_Water samples_Tested_at_water_source2" fld="23" baseField="4" baseItem="4"/>
    <dataField name="Sum of #_Water samples _passed_at_water source" fld="24" baseField="4" baseItem="4"/>
  </dataFields>
  <formats count="14">
    <format dxfId="404">
      <pivotArea field="4" type="button" dataOnly="0" labelOnly="1" outline="0" axis="axisRow" fieldPosition="0"/>
    </format>
    <format dxfId="403">
      <pivotArea dataOnly="0" labelOnly="1" outline="0" fieldPosition="0">
        <references count="1">
          <reference field="4294967294" count="1">
            <x v="0"/>
          </reference>
        </references>
      </pivotArea>
    </format>
    <format dxfId="402">
      <pivotArea type="all" dataOnly="0" outline="0" fieldPosition="0"/>
    </format>
    <format dxfId="401">
      <pivotArea outline="0" collapsedLevelsAreSubtotals="1" fieldPosition="0"/>
    </format>
    <format dxfId="400">
      <pivotArea field="4" type="button" dataOnly="0" labelOnly="1" outline="0" axis="axisRow" fieldPosition="0"/>
    </format>
    <format dxfId="399">
      <pivotArea dataOnly="0" labelOnly="1" fieldPosition="0">
        <references count="1">
          <reference field="4" count="0"/>
        </references>
      </pivotArea>
    </format>
    <format dxfId="398">
      <pivotArea dataOnly="0" labelOnly="1" outline="0" fieldPosition="0">
        <references count="1">
          <reference field="4294967294" count="1">
            <x v="0"/>
          </reference>
        </references>
      </pivotArea>
    </format>
    <format dxfId="397">
      <pivotArea type="all" dataOnly="0" outline="0" fieldPosition="0"/>
    </format>
    <format dxfId="396">
      <pivotArea type="all" dataOnly="0" outline="0" fieldPosition="0"/>
    </format>
    <format dxfId="395">
      <pivotArea outline="0" collapsedLevelsAreSubtotals="1" fieldPosition="0"/>
    </format>
    <format dxfId="394">
      <pivotArea field="4" type="button" dataOnly="0" labelOnly="1" outline="0" axis="axisRow" fieldPosition="0"/>
    </format>
    <format dxfId="393">
      <pivotArea dataOnly="0" labelOnly="1" fieldPosition="0">
        <references count="1">
          <reference field="4" count="0"/>
        </references>
      </pivotArea>
    </format>
    <format dxfId="392">
      <pivotArea dataOnly="0" labelOnly="1" outline="0" fieldPosition="0">
        <references count="1">
          <reference field="4294967294" count="1">
            <x v="0"/>
          </reference>
        </references>
      </pivotArea>
    </format>
    <format dxfId="391">
      <pivotArea dataOnly="0" labelOnly="1" outline="0" fieldPosition="0">
        <references count="1">
          <reference field="4294967294" count="1">
            <x v="0"/>
          </reference>
        </references>
      </pivotArea>
    </format>
  </formats>
  <chartFormats count="2">
    <chartFormat chart="11" format="2" series="1">
      <pivotArea type="data" outline="0" fieldPosition="0">
        <references count="1">
          <reference field="4294967294" count="1" selected="0">
            <x v="0"/>
          </reference>
        </references>
      </pivotArea>
    </chartFormat>
    <chartFormat chart="20" format="2" series="1">
      <pivotArea type="data" outline="0" fieldPosition="0">
        <references count="1">
          <reference field="4294967294" count="1" selected="0">
            <x v="0"/>
          </reference>
        </references>
      </pivotArea>
    </chartFormat>
  </chartFormats>
  <pivotTableStyleInfo name="CUSTOM"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8.xml><?xml version="1.0" encoding="utf-8"?>
<pivotTableDefinition xmlns="http://schemas.openxmlformats.org/spreadsheetml/2006/main" xmlns:mc="http://schemas.openxmlformats.org/markup-compatibility/2006" xmlns:xr="http://schemas.microsoft.com/office/spreadsheetml/2014/revision" mc:Ignorable="xr" xr:uid="{00000000-0007-0000-0800-000012000000}" name="R_Geo" cacheId="0" dataOnRows="1" applyNumberFormats="0" applyBorderFormats="0" applyFontFormats="0" applyPatternFormats="0" applyAlignmentFormats="0" applyWidthHeightFormats="1" dataCaption="Values" updatedVersion="6" minRefreshableVersion="3" rowGrandTotals="0" colGrandTotals="0" itemPrintTitles="1" createdVersion="6" indent="0" outline="1" outlineData="1" multipleFieldFilters="0" chartFormat="28">
  <location ref="H249:J251" firstHeaderRow="1" firstDataRow="2" firstDataCol="1" rowPageCount="2" colPageCount="1"/>
  <pivotFields count="119">
    <pivotField axis="axisPage" subtotalTop="0" showAll="0">
      <items count="15">
        <item m="1" x="12"/>
        <item m="1" x="5"/>
        <item m="1" x="13"/>
        <item m="1" x="7"/>
        <item m="1" x="4"/>
        <item m="1" x="3"/>
        <item m="1" x="11"/>
        <item m="1" x="8"/>
        <item m="1" x="9"/>
        <item m="1" x="10"/>
        <item m="1" x="6"/>
        <item x="0"/>
        <item x="2"/>
        <item x="1"/>
        <item t="default"/>
      </items>
    </pivotField>
    <pivotField showAll="0" defaultSubtotal="0"/>
    <pivotField showAll="0" defaultSubtotal="0"/>
    <pivotField subtotalTop="0" showAll="0"/>
    <pivotField axis="axisPage" subtotalTop="0" multipleItemSelectionAllowed="1" showAll="0">
      <items count="7">
        <item h="1" m="1" x="3"/>
        <item m="1" x="2"/>
        <item h="1" m="1" x="5"/>
        <item m="1" x="1"/>
        <item x="0"/>
        <item m="1" x="4"/>
        <item t="default"/>
      </items>
    </pivotField>
    <pivotField subtotalTop="0" showAll="0"/>
    <pivotField axis="axisRow" showAll="0" defaultSubtotal="0">
      <items count="10">
        <item x="0"/>
        <item m="1" x="2"/>
        <item m="1" x="8"/>
        <item m="1" x="7"/>
        <item m="1" x="1"/>
        <item m="1" x="4"/>
        <item m="1" x="3"/>
        <item m="1" x="5"/>
        <item m="1" x="6"/>
        <item m="1" x="9"/>
      </items>
    </pivotField>
    <pivotField dataField="1" subtotalTop="0" showAll="0"/>
    <pivotField subtotalTop="0" showAll="0"/>
    <pivotField subtotalTop="0" showAll="0"/>
    <pivotField showAll="0" defaultSubtotal="0"/>
    <pivotField showAll="0" defaultSubtotal="0"/>
    <pivotField showAll="0" defaultSubtotal="0"/>
    <pivotField showAll="0" defaultSubtotal="0"/>
    <pivotField showAll="0" defaultSubtotal="0"/>
    <pivotField subtotalTop="0" showAll="0"/>
    <pivotField showAll="0" defaultSubtotal="0"/>
    <pivotField showAll="0" defaultSubtota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numFmtId="9" showAll="0"/>
    <pivotField showAll="0" defaultSubtotal="0"/>
    <pivotField showAll="0"/>
    <pivotField numFmtId="1" subtotalTop="0" showAll="0"/>
    <pivotField numFmtId="9" showAll="0"/>
    <pivotField showAll="0" defaultSubtotal="0"/>
    <pivotField subtotalTop="0" showAll="0"/>
    <pivotField subtotalTop="0" showAll="0"/>
    <pivotField showAll="0" defaultSubtotal="0"/>
    <pivotField numFmtId="1" subtotalTop="0" showAll="0"/>
    <pivotField numFmtId="1" subtotalTop="0" showAll="0"/>
    <pivotField numFmtId="9" showAll="0"/>
    <pivotField numFmtId="1" showAll="0" defaultSubtotal="0"/>
    <pivotField showAll="0" defaultSubtotal="0"/>
    <pivotField subtotalTop="0" showAll="0"/>
    <pivotField subtotalTop="0" showAll="0"/>
    <pivotField subtotalTop="0" showAll="0"/>
    <pivotField numFmtId="9" showAll="0" defaultSubtotal="0"/>
    <pivotField numFmtId="1" showAll="0" defaultSubtotal="0"/>
    <pivotField numFmtId="1" showAll="0" defaultSubtotal="0"/>
    <pivotField numFmtId="1" showAll="0" defaultSubtotal="0"/>
    <pivotField numFmtId="1" showAll="0" defaultSubtotal="0"/>
    <pivotField numFmtId="1" showAll="0" defaultSubtotal="0"/>
    <pivotField numFmtId="9" subtotalTop="0" showAll="0"/>
    <pivotField numFmtId="9" subtotalTop="0" showAll="0"/>
    <pivotField numFmtId="9" subtotalTop="0" showAll="0"/>
    <pivotField numFmtId="9" subtotalTop="0" showAll="0"/>
    <pivotField showAll="0"/>
    <pivotField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axis="axisCol" subtotalTop="0" showAll="0">
      <items count="5">
        <item x="0"/>
        <item n="Gap" x="1"/>
        <item h="1" m="1" x="3"/>
        <item h="1" m="1" x="2"/>
        <item t="default"/>
      </items>
    </pivotField>
    <pivotField showAll="0"/>
    <pivotField showAll="0"/>
    <pivotField showAll="0"/>
    <pivotField subtotalTop="0" showAll="0"/>
    <pivotField showAll="0"/>
    <pivotField showAll="0"/>
    <pivotField showAl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s>
  <rowFields count="1">
    <field x="6"/>
  </rowFields>
  <rowItems count="1">
    <i>
      <x/>
    </i>
  </rowItems>
  <colFields count="1">
    <field x="104"/>
  </colFields>
  <colItems count="2">
    <i>
      <x/>
    </i>
    <i>
      <x v="1"/>
    </i>
  </colItems>
  <pageFields count="2">
    <pageField fld="0" item="12" hier="-1"/>
    <pageField fld="4" hier="-1"/>
  </pageFields>
  <dataFields count="1">
    <dataField name="Count of Site Name" fld="7" subtotal="count" baseField="0" baseItem="0"/>
  </dataFields>
  <formats count="19">
    <format dxfId="423">
      <pivotArea type="all" dataOnly="0" outline="0" fieldPosition="0"/>
    </format>
    <format dxfId="422">
      <pivotArea outline="0" collapsedLevelsAreSubtotals="1" fieldPosition="0"/>
    </format>
    <format dxfId="421">
      <pivotArea field="4" type="button" dataOnly="0" labelOnly="1" outline="0" axis="axisPage" fieldPosition="1"/>
    </format>
    <format dxfId="420">
      <pivotArea dataOnly="0" labelOnly="1" fieldPosition="0">
        <references count="1">
          <reference field="4" count="0"/>
        </references>
      </pivotArea>
    </format>
    <format dxfId="419">
      <pivotArea dataOnly="0" labelOnly="1" grandRow="1" outline="0" fieldPosition="0"/>
    </format>
    <format dxfId="418">
      <pivotArea dataOnly="0" labelOnly="1" outline="0" fieldPosition="0">
        <references count="1">
          <reference field="4294967294" count="1">
            <x v="0"/>
          </reference>
        </references>
      </pivotArea>
    </format>
    <format dxfId="417">
      <pivotArea type="all" dataOnly="0" outline="0" fieldPosition="0"/>
    </format>
    <format dxfId="416">
      <pivotArea outline="0" collapsedLevelsAreSubtotals="1" fieldPosition="0"/>
    </format>
    <format dxfId="415">
      <pivotArea type="origin" dataOnly="0" labelOnly="1" outline="0" fieldPosition="0"/>
    </format>
    <format dxfId="414">
      <pivotArea field="104" type="button" dataOnly="0" labelOnly="1" outline="0" axis="axisCol" fieldPosition="0"/>
    </format>
    <format dxfId="413">
      <pivotArea type="topRight" dataOnly="0" labelOnly="1" outline="0" fieldPosition="0"/>
    </format>
    <format dxfId="412">
      <pivotArea dataOnly="0" labelOnly="1" fieldPosition="0">
        <references count="1">
          <reference field="104" count="0"/>
        </references>
      </pivotArea>
    </format>
    <format dxfId="411">
      <pivotArea type="all" dataOnly="0" outline="0" fieldPosition="0"/>
    </format>
    <format dxfId="410">
      <pivotArea outline="0" collapsedLevelsAreSubtotals="1" fieldPosition="0"/>
    </format>
    <format dxfId="409">
      <pivotArea dataOnly="0" labelOnly="1" fieldPosition="0">
        <references count="1">
          <reference field="104" count="0"/>
        </references>
      </pivotArea>
    </format>
    <format dxfId="408">
      <pivotArea field="4" type="button" dataOnly="0" labelOnly="1" outline="0" axis="axisPage" fieldPosition="1"/>
    </format>
    <format dxfId="407">
      <pivotArea dataOnly="0" labelOnly="1" outline="0" fieldPosition="0">
        <references count="2">
          <reference field="0" count="1" selected="0">
            <x v="7"/>
          </reference>
          <reference field="4" count="0"/>
        </references>
      </pivotArea>
    </format>
    <format dxfId="406">
      <pivotArea dataOnly="0" labelOnly="1" outline="0" fieldPosition="0">
        <references count="2">
          <reference field="0" count="1" selected="0">
            <x v="8"/>
          </reference>
          <reference field="4" count="0"/>
        </references>
      </pivotArea>
    </format>
    <format dxfId="405">
      <pivotArea dataOnly="0" labelOnly="1" outline="0" fieldPosition="0">
        <references count="2">
          <reference field="0" count="1" selected="0">
            <x v="9"/>
          </reference>
          <reference field="4" count="0"/>
        </references>
      </pivotArea>
    </format>
  </formats>
  <chartFormats count="8">
    <chartFormat chart="1" format="0" series="1">
      <pivotArea type="data" outline="0" fieldPosition="0">
        <references count="2">
          <reference field="4294967294" count="1" selected="0">
            <x v="0"/>
          </reference>
          <reference field="104" count="1" selected="0">
            <x v="0"/>
          </reference>
        </references>
      </pivotArea>
    </chartFormat>
    <chartFormat chart="1" format="1" series="1">
      <pivotArea type="data" outline="0" fieldPosition="0">
        <references count="2">
          <reference field="4294967294" count="1" selected="0">
            <x v="0"/>
          </reference>
          <reference field="104" count="1" selected="0">
            <x v="1"/>
          </reference>
        </references>
      </pivotArea>
    </chartFormat>
    <chartFormat chart="9" format="8" series="1">
      <pivotArea type="data" outline="0" fieldPosition="0">
        <references count="2">
          <reference field="4294967294" count="1" selected="0">
            <x v="0"/>
          </reference>
          <reference field="104" count="1" selected="0">
            <x v="0"/>
          </reference>
        </references>
      </pivotArea>
    </chartFormat>
    <chartFormat chart="9" format="9" series="1">
      <pivotArea type="data" outline="0" fieldPosition="0">
        <references count="2">
          <reference field="4294967294" count="1" selected="0">
            <x v="0"/>
          </reference>
          <reference field="104" count="1" selected="0">
            <x v="1"/>
          </reference>
        </references>
      </pivotArea>
    </chartFormat>
    <chartFormat chart="16" format="8" series="1">
      <pivotArea type="data" outline="0" fieldPosition="0">
        <references count="2">
          <reference field="4294967294" count="1" selected="0">
            <x v="0"/>
          </reference>
          <reference field="104" count="1" selected="0">
            <x v="0"/>
          </reference>
        </references>
      </pivotArea>
    </chartFormat>
    <chartFormat chart="16" format="9" series="1">
      <pivotArea type="data" outline="0" fieldPosition="0">
        <references count="2">
          <reference field="4294967294" count="1" selected="0">
            <x v="0"/>
          </reference>
          <reference field="104" count="1" selected="0">
            <x v="1"/>
          </reference>
        </references>
      </pivotArea>
    </chartFormat>
    <chartFormat chart="9" format="10" series="1">
      <pivotArea type="data" outline="0" fieldPosition="0">
        <references count="1">
          <reference field="4294967294" count="1" selected="0">
            <x v="0"/>
          </reference>
        </references>
      </pivotArea>
    </chartFormat>
    <chartFormat chart="16" format="10" series="1">
      <pivotArea type="data" outline="0" fieldPosition="0">
        <references count="1">
          <reference field="4294967294" count="1" selected="0">
            <x v="0"/>
          </reference>
        </references>
      </pivotArea>
    </chartFormat>
  </chartFormats>
  <pivotTableStyleInfo name="PivotStyleMedium6" showRowHeaders="1" showColHeaders="1" showRowStripes="1" showColStripes="1"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9.xml><?xml version="1.0" encoding="utf-8"?>
<pivotTableDefinition xmlns="http://schemas.openxmlformats.org/spreadsheetml/2006/main" xmlns:mc="http://schemas.openxmlformats.org/markup-compatibility/2006" xmlns:xr="http://schemas.microsoft.com/office/spreadsheetml/2014/revision" mc:Ignorable="xr" xr:uid="{F004454F-8C92-49A2-A1B3-FF0E80A5D55A}" name="PivotTable3" cacheId="0" applyNumberFormats="0" applyBorderFormats="0" applyFontFormats="0" applyPatternFormats="0" applyAlignmentFormats="0" applyWidthHeightFormats="1" dataCaption="Values" updatedVersion="6" minRefreshableVersion="3" rowGrandTotals="0" colGrandTotals="0" itemPrintTitles="1" createdVersion="6" indent="0" outline="1" outlineData="1" multipleFieldFilters="0" chartFormat="8" rowHeaderCaption="State">
  <location ref="C346:C347" firstHeaderRow="1" firstDataRow="1" firstDataCol="0" rowPageCount="2" colPageCount="1"/>
  <pivotFields count="119">
    <pivotField axis="axisPage" subtotalTop="0" showAll="0">
      <items count="15">
        <item m="1" x="12"/>
        <item m="1" x="5"/>
        <item m="1" x="13"/>
        <item m="1" x="7"/>
        <item m="1" x="4"/>
        <item m="1" x="3"/>
        <item m="1" x="11"/>
        <item m="1" x="8"/>
        <item m="1" x="9"/>
        <item m="1" x="10"/>
        <item m="1" x="6"/>
        <item x="0"/>
        <item x="2"/>
        <item x="1"/>
        <item t="default"/>
      </items>
    </pivotField>
    <pivotField showAll="0" defaultSubtotal="0"/>
    <pivotField showAll="0" defaultSubtotal="0"/>
    <pivotField subtotalTop="0" showAll="0"/>
    <pivotField subtotalTop="0" multipleItemSelectionAllowed="1" showAll="0">
      <items count="7">
        <item m="1" x="3"/>
        <item m="1" x="2"/>
        <item m="1" x="5"/>
        <item h="1" m="1" x="1"/>
        <item x="0"/>
        <item m="1" x="4"/>
        <item t="default"/>
      </items>
    </pivotField>
    <pivotField subtotalTop="0" showAll="0"/>
    <pivotField showAll="0" defaultSubtotal="0"/>
    <pivotField subtotalTop="0" showAll="0"/>
    <pivotField subtotalTop="0" showAll="0"/>
    <pivotField subtotalTop="0" showAll="0"/>
    <pivotField showAll="0" defaultSubtotal="0"/>
    <pivotField showAll="0" defaultSubtotal="0"/>
    <pivotField showAll="0" defaultSubtotal="0"/>
    <pivotField showAll="0" defaultSubtotal="0"/>
    <pivotField showAll="0" defaultSubtotal="0"/>
    <pivotField subtotalTop="0" showAll="0"/>
    <pivotField showAll="0" defaultSubtotal="0"/>
    <pivotField showAll="0" defaultSubtota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defaultSubtotal="0"/>
    <pivotField numFmtId="9" showAll="0"/>
    <pivotField showAll="0" defaultSubtotal="0"/>
    <pivotField showAll="0"/>
    <pivotField numFmtId="1" subtotalTop="0" showAll="0"/>
    <pivotField numFmtId="9" showAll="0"/>
    <pivotField showAll="0" defaultSubtotal="0"/>
    <pivotField subtotalTop="0" showAll="0"/>
    <pivotField subtotalTop="0" showAll="0"/>
    <pivotField showAll="0" defaultSubtotal="0"/>
    <pivotField numFmtId="1" subtotalTop="0" showAll="0"/>
    <pivotField numFmtId="1" subtotalTop="0" showAll="0"/>
    <pivotField numFmtId="9" showAll="0"/>
    <pivotField numFmtId="1" showAll="0" defaultSubtotal="0"/>
    <pivotField showAll="0" defaultSubtotal="0"/>
    <pivotField subtotalTop="0" showAll="0"/>
    <pivotField subtotalTop="0" showAll="0"/>
    <pivotField subtotalTop="0" showAll="0"/>
    <pivotField numFmtId="9" showAll="0" defaultSubtotal="0"/>
    <pivotField numFmtId="1" showAll="0" defaultSubtotal="0"/>
    <pivotField numFmtId="1" showAll="0" defaultSubtotal="0"/>
    <pivotField numFmtId="1" showAll="0" defaultSubtotal="0"/>
    <pivotField numFmtId="1" showAll="0" defaultSubtotal="0"/>
    <pivotField numFmtId="1" showAll="0" defaultSubtotal="0"/>
    <pivotField numFmtId="9" subtotalTop="0" showAll="0"/>
    <pivotField numFmtId="9" subtotalTop="0" showAll="0"/>
    <pivotField numFmtId="9" subtotalTop="0" showAll="0"/>
    <pivotField numFmtId="9" subtotalTop="0" showAll="0"/>
    <pivotField showAll="0"/>
    <pivotField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axis="axisPage" subtotalTop="0" multipleItemSelectionAllowed="1" showAll="0">
      <items count="5">
        <item x="0"/>
        <item n="Gap" h="1" x="1"/>
        <item h="1" m="1" x="3"/>
        <item h="1" m="1" x="2"/>
        <item t="default"/>
      </items>
    </pivotField>
    <pivotField showAll="0"/>
    <pivotField showAll="0"/>
    <pivotField showAll="0"/>
    <pivotField subtotalTop="0" showAll="0"/>
    <pivotField showAll="0"/>
    <pivotField showAll="0"/>
    <pivotField showAl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s>
  <rowItems count="1">
    <i/>
  </rowItems>
  <colItems count="1">
    <i/>
  </colItems>
  <pageFields count="2">
    <pageField fld="0" item="12" hier="-1"/>
    <pageField fld="104" hier="-1"/>
  </pageFields>
  <dataFields count="1">
    <dataField name="Average of %_of_TLS/CFS_with_a_designated_place_for_children_to_wash_hands_where_soap_is_available" fld="54" subtotal="average" baseField="10" baseItem="0" numFmtId="9"/>
  </dataFields>
  <formats count="17">
    <format dxfId="440">
      <pivotArea type="all" dataOnly="0" outline="0" fieldPosition="0"/>
    </format>
    <format dxfId="439">
      <pivotArea outline="0" collapsedLevelsAreSubtotals="1" fieldPosition="0"/>
    </format>
    <format dxfId="438">
      <pivotArea field="4" type="button" dataOnly="0" labelOnly="1" outline="0"/>
    </format>
    <format dxfId="437">
      <pivotArea dataOnly="0" labelOnly="1" grandRow="1" outline="0" fieldPosition="0"/>
    </format>
    <format dxfId="436">
      <pivotArea type="all" dataOnly="0" outline="0" fieldPosition="0"/>
    </format>
    <format dxfId="435">
      <pivotArea outline="0" collapsedLevelsAreSubtotals="1" fieldPosition="0"/>
    </format>
    <format dxfId="434">
      <pivotArea type="origin" dataOnly="0" labelOnly="1" outline="0" fieldPosition="0"/>
    </format>
    <format dxfId="433">
      <pivotArea field="104" type="button" dataOnly="0" labelOnly="1" outline="0" axis="axisPage" fieldPosition="1"/>
    </format>
    <format dxfId="432">
      <pivotArea type="topRight" dataOnly="0" labelOnly="1" outline="0" fieldPosition="0"/>
    </format>
    <format dxfId="431">
      <pivotArea dataOnly="0" labelOnly="1" fieldPosition="0">
        <references count="1">
          <reference field="104" count="0"/>
        </references>
      </pivotArea>
    </format>
    <format dxfId="430">
      <pivotArea type="all" dataOnly="0" outline="0" fieldPosition="0"/>
    </format>
    <format dxfId="429">
      <pivotArea outline="0" collapsedLevelsAreSubtotals="1" fieldPosition="0"/>
    </format>
    <format dxfId="428">
      <pivotArea field="4" type="button" dataOnly="0" labelOnly="1" outline="0"/>
    </format>
    <format dxfId="427">
      <pivotArea field="4" type="button" dataOnly="0" labelOnly="1" outline="0"/>
    </format>
    <format dxfId="426">
      <pivotArea field="4" type="button" dataOnly="0" labelOnly="1" outline="0"/>
    </format>
    <format dxfId="425">
      <pivotArea field="4" type="button" dataOnly="0" labelOnly="1" outline="0"/>
    </format>
    <format dxfId="424">
      <pivotArea outline="0" collapsedLevelsAreSubtotals="1" fieldPosition="0"/>
    </format>
  </formats>
  <pivotTableStyleInfo name="PivotStyleMedium25"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11BEF31E-48A6-471B-BEAA-F08005BAF4FD}" name="PivotTable11" cacheId="0" applyNumberFormats="0" applyBorderFormats="0" applyFontFormats="0" applyPatternFormats="0" applyAlignmentFormats="0" applyWidthHeightFormats="1" dataCaption="Values" updatedVersion="6" minRefreshableVersion="3" rowGrandTotals="0" colGrandTotals="0" itemPrintTitles="1" createdVersion="6" indent="0" outline="1" outlineData="1" multipleFieldFilters="0" chartFormat="8" rowHeaderCaption="State">
  <location ref="C398:H402" firstHeaderRow="0" firstDataRow="1" firstDataCol="1" rowPageCount="3" colPageCount="1"/>
  <pivotFields count="119">
    <pivotField axis="axisPage" subtotalTop="0" showAll="0">
      <items count="15">
        <item m="1" x="12"/>
        <item m="1" x="5"/>
        <item m="1" x="13"/>
        <item m="1" x="7"/>
        <item m="1" x="4"/>
        <item m="1" x="3"/>
        <item m="1" x="11"/>
        <item m="1" x="8"/>
        <item m="1" x="9"/>
        <item m="1" x="10"/>
        <item m="1" x="6"/>
        <item x="0"/>
        <item x="2"/>
        <item x="1"/>
        <item t="default"/>
      </items>
    </pivotField>
    <pivotField showAll="0" defaultSubtotal="0"/>
    <pivotField showAll="0" defaultSubtotal="0"/>
    <pivotField subtotalTop="0" showAll="0"/>
    <pivotField subtotalTop="0" multipleItemSelectionAllowed="1" showAll="0">
      <items count="7">
        <item m="1" x="3"/>
        <item m="1" x="2"/>
        <item m="1" x="5"/>
        <item h="1" m="1" x="1"/>
        <item x="0"/>
        <item m="1" x="4"/>
        <item t="default"/>
      </items>
    </pivotField>
    <pivotField axis="axisRow" subtotalTop="0" showAll="0">
      <items count="42">
        <item m="1" x="13"/>
        <item m="1" x="16"/>
        <item m="1" x="36"/>
        <item m="1" x="19"/>
        <item m="1" x="30"/>
        <item m="1" x="25"/>
        <item m="1" x="29"/>
        <item m="1" x="22"/>
        <item m="1" x="7"/>
        <item x="2"/>
        <item x="3"/>
        <item m="1" x="12"/>
        <item m="1" x="33"/>
        <item m="1" x="9"/>
        <item m="1" x="15"/>
        <item m="1" x="26"/>
        <item m="1" x="11"/>
        <item m="1" x="20"/>
        <item m="1" x="31"/>
        <item m="1" x="6"/>
        <item m="1" x="23"/>
        <item m="1" x="35"/>
        <item m="1" x="14"/>
        <item x="4"/>
        <item m="1" x="24"/>
        <item m="1" x="17"/>
        <item m="1" x="21"/>
        <item m="1" x="27"/>
        <item m="1" x="8"/>
        <item m="1" x="10"/>
        <item x="0"/>
        <item m="1" x="28"/>
        <item m="1" x="18"/>
        <item m="1" x="38"/>
        <item m="1" x="32"/>
        <item m="1" x="39"/>
        <item x="1"/>
        <item m="1" x="40"/>
        <item m="1" x="37"/>
        <item m="1" x="34"/>
        <item m="1" x="5"/>
        <item t="default"/>
      </items>
    </pivotField>
    <pivotField showAll="0" defaultSubtotal="0"/>
    <pivotField dataField="1" subtotalTop="0" showAll="0"/>
    <pivotField subtotalTop="0" showAll="0"/>
    <pivotField subtotalTop="0" showAll="0"/>
    <pivotField showAll="0" defaultSubtotal="0"/>
    <pivotField showAll="0" defaultSubtotal="0"/>
    <pivotField showAll="0" defaultSubtotal="0"/>
    <pivotField showAll="0" defaultSubtotal="0"/>
    <pivotField showAll="0" defaultSubtotal="0"/>
    <pivotField subtotalTop="0" showAll="0"/>
    <pivotField showAll="0" defaultSubtotal="0"/>
    <pivotField showAll="0" defaultSubtota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numFmtId="9" showAll="0"/>
    <pivotField showAll="0" defaultSubtotal="0"/>
    <pivotField showAll="0"/>
    <pivotField numFmtId="1" subtotalTop="0" showAll="0"/>
    <pivotField numFmtId="9" showAll="0"/>
    <pivotField showAll="0" defaultSubtotal="0"/>
    <pivotField subtotalTop="0" showAll="0"/>
    <pivotField subtotalTop="0" showAll="0"/>
    <pivotField showAll="0" defaultSubtotal="0"/>
    <pivotField numFmtId="1" subtotalTop="0" showAll="0"/>
    <pivotField numFmtId="1" subtotalTop="0" showAll="0"/>
    <pivotField numFmtId="9" showAll="0"/>
    <pivotField numFmtId="1" showAll="0" defaultSubtotal="0"/>
    <pivotField showAll="0" defaultSubtotal="0"/>
    <pivotField subtotalTop="0" showAll="0"/>
    <pivotField subtotalTop="0" showAll="0"/>
    <pivotField subtotalTop="0" showAll="0"/>
    <pivotField numFmtId="9" showAll="0" defaultSubtotal="0"/>
    <pivotField numFmtId="1" showAll="0" defaultSubtotal="0"/>
    <pivotField numFmtId="1" showAll="0" defaultSubtotal="0"/>
    <pivotField numFmtId="1" showAll="0" defaultSubtotal="0"/>
    <pivotField numFmtId="1" showAll="0" defaultSubtotal="0"/>
    <pivotField numFmtId="1" showAll="0" defaultSubtotal="0"/>
    <pivotField numFmtId="9" subtotalTop="0" showAll="0"/>
    <pivotField numFmtId="9" subtotalTop="0" showAll="0"/>
    <pivotField numFmtId="9" subtotalTop="0" showAll="0"/>
    <pivotField numFmtId="9" subtotalTop="0" showAll="0"/>
    <pivotField showAll="0"/>
    <pivotField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axis="axisPage" subtotalTop="0" multipleItemSelectionAllowed="1" showAll="0">
      <items count="5">
        <item x="0"/>
        <item n="Gap" h="1" x="1"/>
        <item h="1" m="1" x="3"/>
        <item h="1" m="1" x="2"/>
        <item t="default"/>
      </items>
    </pivotField>
    <pivotField showAll="0"/>
    <pivotField showAll="0"/>
    <pivotField showAll="0"/>
    <pivotField subtotalTop="0" showAll="0"/>
    <pivotField axis="axisPage" dataField="1" multipleItemSelectionAllowed="1" showAll="0">
      <items count="38">
        <item m="1" x="30"/>
        <item m="1" x="28"/>
        <item m="1" x="29"/>
        <item m="1" x="19"/>
        <item m="1" x="21"/>
        <item m="1" x="24"/>
        <item m="1" x="26"/>
        <item m="1" x="27"/>
        <item m="1" x="32"/>
        <item m="1" x="20"/>
        <item m="1" x="23"/>
        <item m="1" x="31"/>
        <item m="1" x="22"/>
        <item m="1" x="25"/>
        <item m="1" x="33"/>
        <item m="1" x="35"/>
        <item m="1" x="36"/>
        <item x="0"/>
        <item m="1" x="34"/>
        <item x="1"/>
        <item x="2"/>
        <item x="3"/>
        <item x="4"/>
        <item x="5"/>
        <item x="6"/>
        <item x="7"/>
        <item x="8"/>
        <item x="9"/>
        <item x="10"/>
        <item x="11"/>
        <item x="12"/>
        <item x="13"/>
        <item x="14"/>
        <item x="15"/>
        <item x="16"/>
        <item x="17"/>
        <item x="18"/>
        <item t="default"/>
      </items>
    </pivotField>
    <pivotField dataField="1" showAll="0"/>
    <pivotField dataField="1" showAl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ataField="1" dragToRow="0" dragToCol="0" dragToPage="0" showAll="0" defaultSubtotal="0"/>
  </pivotFields>
  <rowFields count="1">
    <field x="5"/>
  </rowFields>
  <rowItems count="4">
    <i>
      <x v="9"/>
    </i>
    <i>
      <x v="23"/>
    </i>
    <i>
      <x v="30"/>
    </i>
    <i>
      <x v="36"/>
    </i>
  </rowItems>
  <colFields count="1">
    <field x="-2"/>
  </colFields>
  <colItems count="5">
    <i>
      <x/>
    </i>
    <i i="1">
      <x v="1"/>
    </i>
    <i i="2">
      <x v="2"/>
    </i>
    <i i="3">
      <x v="3"/>
    </i>
    <i i="4">
      <x v="4"/>
    </i>
  </colItems>
  <pageFields count="3">
    <pageField fld="0" item="12" hier="-1"/>
    <pageField fld="104" hier="-1"/>
    <pageField fld="109" hier="-1"/>
  </pageFields>
  <dataFields count="5">
    <dataField name="# of Sites" fld="7" subtotal="count" baseField="5" baseItem="9"/>
    <dataField name=" Total consultations" fld="109" baseField="0" baseItem="0"/>
    <dataField name=" Cases of Acute watery diarrhea" fld="110" baseField="0" baseItem="0"/>
    <dataField name=" Proportional mobidity of Acute watery diarrhea " fld="118" baseField="0" baseItem="0"/>
    <dataField name="Sum of Deaths of Acute watery diarrhea" fld="111" baseField="5" baseItem="23"/>
  </dataFields>
  <formats count="19">
    <format dxfId="191">
      <pivotArea type="all" dataOnly="0" outline="0" fieldPosition="0"/>
    </format>
    <format dxfId="190">
      <pivotArea outline="0" collapsedLevelsAreSubtotals="1" fieldPosition="0"/>
    </format>
    <format dxfId="189">
      <pivotArea field="4" type="button" dataOnly="0" labelOnly="1" outline="0"/>
    </format>
    <format dxfId="188">
      <pivotArea dataOnly="0" labelOnly="1" grandRow="1" outline="0" fieldPosition="0"/>
    </format>
    <format dxfId="187">
      <pivotArea type="all" dataOnly="0" outline="0" fieldPosition="0"/>
    </format>
    <format dxfId="186">
      <pivotArea outline="0" collapsedLevelsAreSubtotals="1" fieldPosition="0"/>
    </format>
    <format dxfId="185">
      <pivotArea type="origin" dataOnly="0" labelOnly="1" outline="0" fieldPosition="0"/>
    </format>
    <format dxfId="184">
      <pivotArea field="104" type="button" dataOnly="0" labelOnly="1" outline="0" axis="axisPage" fieldPosition="1"/>
    </format>
    <format dxfId="183">
      <pivotArea type="topRight" dataOnly="0" labelOnly="1" outline="0" fieldPosition="0"/>
    </format>
    <format dxfId="182">
      <pivotArea dataOnly="0" labelOnly="1" fieldPosition="0">
        <references count="1">
          <reference field="104" count="0"/>
        </references>
      </pivotArea>
    </format>
    <format dxfId="181">
      <pivotArea type="all" dataOnly="0" outline="0" fieldPosition="0"/>
    </format>
    <format dxfId="180">
      <pivotArea outline="0" collapsedLevelsAreSubtotals="1" fieldPosition="0"/>
    </format>
    <format dxfId="179">
      <pivotArea field="4" type="button" dataOnly="0" labelOnly="1" outline="0"/>
    </format>
    <format dxfId="178">
      <pivotArea field="4" type="button" dataOnly="0" labelOnly="1" outline="0"/>
    </format>
    <format dxfId="177">
      <pivotArea field="4" type="button" dataOnly="0" labelOnly="1" outline="0"/>
    </format>
    <format dxfId="176">
      <pivotArea field="4" type="button" dataOnly="0" labelOnly="1" outline="0"/>
    </format>
    <format dxfId="175">
      <pivotArea outline="0" collapsedLevelsAreSubtotals="1" fieldPosition="0"/>
    </format>
    <format dxfId="174">
      <pivotArea dataOnly="0" labelOnly="1" outline="0" fieldPosition="0">
        <references count="1">
          <reference field="4294967294" count="2">
            <x v="1"/>
            <x v="2"/>
          </reference>
        </references>
      </pivotArea>
    </format>
    <format dxfId="173">
      <pivotArea collapsedLevelsAreSubtotals="1" fieldPosition="0">
        <references count="2">
          <reference field="4294967294" count="1" selected="0">
            <x v="3"/>
          </reference>
          <reference field="5" count="3">
            <x v="23"/>
            <x v="30"/>
            <x v="36"/>
          </reference>
        </references>
      </pivotArea>
    </format>
  </formats>
  <pivotTableStyleInfo name="PivotStyleMedium25"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0.xml><?xml version="1.0" encoding="utf-8"?>
<pivotTableDefinition xmlns="http://schemas.openxmlformats.org/spreadsheetml/2006/main" xmlns:mc="http://schemas.openxmlformats.org/markup-compatibility/2006" xmlns:xr="http://schemas.microsoft.com/office/spreadsheetml/2014/revision" mc:Ignorable="xr" xr:uid="{ECA4608B-26A9-4720-B1B2-8A191FB78667}" name="PivotTable7" cacheId="0" applyNumberFormats="0" applyBorderFormats="0" applyFontFormats="0" applyPatternFormats="0" applyAlignmentFormats="0" applyWidthHeightFormats="1" dataCaption="Values" updatedVersion="6" minRefreshableVersion="3" rowGrandTotals="0" colGrandTotals="0" itemPrintTitles="1" createdVersion="6" indent="0" outline="1" outlineData="1" multipleFieldFilters="0" chartFormat="8" rowHeaderCaption="State">
  <location ref="C381:H381" firstHeaderRow="0" firstDataRow="1" firstDataCol="1" rowPageCount="3" colPageCount="1"/>
  <pivotFields count="119">
    <pivotField axis="axisPage" subtotalTop="0" showAll="0">
      <items count="15">
        <item m="1" x="12"/>
        <item m="1" x="5"/>
        <item m="1" x="13"/>
        <item m="1" x="7"/>
        <item m="1" x="4"/>
        <item m="1" x="3"/>
        <item m="1" x="11"/>
        <item m="1" x="8"/>
        <item m="1" x="9"/>
        <item m="1" x="10"/>
        <item m="1" x="6"/>
        <item x="0"/>
        <item x="2"/>
        <item x="1"/>
        <item t="default"/>
      </items>
    </pivotField>
    <pivotField showAll="0" defaultSubtotal="0"/>
    <pivotField showAll="0" defaultSubtotal="0"/>
    <pivotField subtotalTop="0" showAll="0"/>
    <pivotField subtotalTop="0" multipleItemSelectionAllowed="1" showAll="0">
      <items count="7">
        <item m="1" x="3"/>
        <item m="1" x="2"/>
        <item m="1" x="5"/>
        <item h="1" m="1" x="1"/>
        <item x="0"/>
        <item m="1" x="4"/>
        <item t="default"/>
      </items>
    </pivotField>
    <pivotField axis="axisRow" subtotalTop="0" showAll="0">
      <items count="42">
        <item m="1" x="13"/>
        <item m="1" x="16"/>
        <item m="1" x="36"/>
        <item m="1" x="19"/>
        <item m="1" x="30"/>
        <item m="1" x="25"/>
        <item m="1" x="29"/>
        <item m="1" x="22"/>
        <item m="1" x="7"/>
        <item x="2"/>
        <item x="3"/>
        <item m="1" x="12"/>
        <item m="1" x="33"/>
        <item m="1" x="9"/>
        <item m="1" x="15"/>
        <item m="1" x="26"/>
        <item m="1" x="11"/>
        <item m="1" x="20"/>
        <item m="1" x="31"/>
        <item m="1" x="6"/>
        <item m="1" x="23"/>
        <item m="1" x="35"/>
        <item m="1" x="14"/>
        <item x="4"/>
        <item m="1" x="24"/>
        <item m="1" x="17"/>
        <item m="1" x="21"/>
        <item m="1" x="27"/>
        <item m="1" x="8"/>
        <item m="1" x="10"/>
        <item x="0"/>
        <item m="1" x="28"/>
        <item m="1" x="18"/>
        <item m="1" x="38"/>
        <item m="1" x="32"/>
        <item m="1" x="39"/>
        <item x="1"/>
        <item m="1" x="40"/>
        <item m="1" x="37"/>
        <item m="1" x="34"/>
        <item m="1" x="5"/>
        <item t="default"/>
      </items>
    </pivotField>
    <pivotField showAll="0" defaultSubtotal="0"/>
    <pivotField dataField="1" subtotalTop="0" showAll="0"/>
    <pivotField subtotalTop="0" showAll="0"/>
    <pivotField subtotalTop="0" showAll="0"/>
    <pivotField showAll="0" defaultSubtotal="0"/>
    <pivotField showAll="0" defaultSubtotal="0"/>
    <pivotField showAll="0" defaultSubtotal="0"/>
    <pivotField showAll="0" defaultSubtotal="0"/>
    <pivotField showAll="0" defaultSubtotal="0"/>
    <pivotField subtotalTop="0" showAll="0"/>
    <pivotField showAll="0" defaultSubtotal="0"/>
    <pivotField showAll="0" defaultSubtota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numFmtId="9" showAll="0"/>
    <pivotField showAll="0" defaultSubtotal="0"/>
    <pivotField showAll="0"/>
    <pivotField numFmtId="1" subtotalTop="0" showAll="0"/>
    <pivotField numFmtId="9" showAll="0"/>
    <pivotField showAll="0" defaultSubtotal="0"/>
    <pivotField subtotalTop="0" showAll="0"/>
    <pivotField subtotalTop="0" showAll="0"/>
    <pivotField showAll="0" defaultSubtotal="0"/>
    <pivotField numFmtId="1" subtotalTop="0" showAll="0"/>
    <pivotField numFmtId="1" subtotalTop="0" showAll="0"/>
    <pivotField numFmtId="9" showAll="0"/>
    <pivotField numFmtId="1" showAll="0" defaultSubtotal="0"/>
    <pivotField showAll="0" defaultSubtotal="0"/>
    <pivotField subtotalTop="0" showAll="0"/>
    <pivotField subtotalTop="0" showAll="0"/>
    <pivotField subtotalTop="0" showAll="0"/>
    <pivotField numFmtId="9" showAll="0" defaultSubtotal="0"/>
    <pivotField numFmtId="1" showAll="0" defaultSubtotal="0"/>
    <pivotField numFmtId="1" showAll="0" defaultSubtotal="0"/>
    <pivotField numFmtId="1" showAll="0" defaultSubtotal="0"/>
    <pivotField numFmtId="1" showAll="0" defaultSubtotal="0"/>
    <pivotField numFmtId="1" showAll="0" defaultSubtotal="0"/>
    <pivotField numFmtId="9" subtotalTop="0" showAll="0"/>
    <pivotField numFmtId="9" subtotalTop="0" showAll="0"/>
    <pivotField numFmtId="9" subtotalTop="0" showAll="0"/>
    <pivotField numFmtId="9" subtotalTop="0" showAll="0"/>
    <pivotField showAll="0"/>
    <pivotField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axis="axisPage" subtotalTop="0" multipleItemSelectionAllowed="1" showAll="0">
      <items count="5">
        <item x="0"/>
        <item n="Gap" h="1" x="1"/>
        <item h="1" m="1" x="3"/>
        <item h="1" m="1" x="2"/>
        <item t="default"/>
      </items>
    </pivotField>
    <pivotField showAll="0"/>
    <pivotField showAll="0"/>
    <pivotField showAll="0"/>
    <pivotField subtotalTop="0" showAll="0"/>
    <pivotField axis="axisPage" dataField="1" multipleItemSelectionAllowed="1" showAll="0">
      <items count="38">
        <item m="1" x="30"/>
        <item m="1" x="28"/>
        <item m="1" x="29"/>
        <item m="1" x="19"/>
        <item m="1" x="21"/>
        <item m="1" x="24"/>
        <item m="1" x="26"/>
        <item m="1" x="27"/>
        <item m="1" x="32"/>
        <item m="1" x="20"/>
        <item m="1" x="23"/>
        <item m="1" x="31"/>
        <item m="1" x="22"/>
        <item m="1" x="25"/>
        <item m="1" x="33"/>
        <item m="1" x="35"/>
        <item m="1" x="36"/>
        <item h="1" x="0"/>
        <item m="1" x="34"/>
        <item x="1"/>
        <item x="2"/>
        <item x="3"/>
        <item x="4"/>
        <item x="5"/>
        <item x="6"/>
        <item x="7"/>
        <item x="8"/>
        <item x="9"/>
        <item x="10"/>
        <item x="11"/>
        <item x="12"/>
        <item x="13"/>
        <item x="14"/>
        <item x="15"/>
        <item x="16"/>
        <item x="17"/>
        <item x="18"/>
        <item t="default"/>
      </items>
    </pivotField>
    <pivotField dataField="1" showAll="0"/>
    <pivotField dataField="1" showAl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ataField="1" dragToRow="0" dragToCol="0" dragToPage="0" showAll="0" defaultSubtotal="0"/>
  </pivotFields>
  <rowFields count="1">
    <field x="5"/>
  </rowFields>
  <colFields count="1">
    <field x="-2"/>
  </colFields>
  <colItems count="5">
    <i>
      <x/>
    </i>
    <i i="1">
      <x v="1"/>
    </i>
    <i i="2">
      <x v="2"/>
    </i>
    <i i="3">
      <x v="3"/>
    </i>
    <i i="4">
      <x v="4"/>
    </i>
  </colItems>
  <pageFields count="3">
    <pageField fld="0" item="12" hier="-1"/>
    <pageField fld="104" hier="-1"/>
    <pageField fld="109" hier="-1"/>
  </pageFields>
  <dataFields count="5">
    <dataField name="# of Sites" fld="7" subtotal="count" baseField="5" baseItem="9"/>
    <dataField name=" Total consultations" fld="109" baseField="0" baseItem="0"/>
    <dataField name=" Cases of Acute watery diarrhea" fld="110" baseField="0" baseItem="0"/>
    <dataField name=" Proportional mobidity of Acute watery diarrhea " fld="118" baseField="0" baseItem="0"/>
    <dataField name="Sum of Deaths of Acute watery diarrhea" fld="111" baseField="5" baseItem="23"/>
  </dataFields>
  <formats count="19">
    <format dxfId="459">
      <pivotArea type="all" dataOnly="0" outline="0" fieldPosition="0"/>
    </format>
    <format dxfId="458">
      <pivotArea outline="0" collapsedLevelsAreSubtotals="1" fieldPosition="0"/>
    </format>
    <format dxfId="457">
      <pivotArea field="4" type="button" dataOnly="0" labelOnly="1" outline="0"/>
    </format>
    <format dxfId="456">
      <pivotArea dataOnly="0" labelOnly="1" grandRow="1" outline="0" fieldPosition="0"/>
    </format>
    <format dxfId="455">
      <pivotArea type="all" dataOnly="0" outline="0" fieldPosition="0"/>
    </format>
    <format dxfId="454">
      <pivotArea outline="0" collapsedLevelsAreSubtotals="1" fieldPosition="0"/>
    </format>
    <format dxfId="453">
      <pivotArea type="origin" dataOnly="0" labelOnly="1" outline="0" fieldPosition="0"/>
    </format>
    <format dxfId="452">
      <pivotArea field="104" type="button" dataOnly="0" labelOnly="1" outline="0" axis="axisPage" fieldPosition="1"/>
    </format>
    <format dxfId="451">
      <pivotArea type="topRight" dataOnly="0" labelOnly="1" outline="0" fieldPosition="0"/>
    </format>
    <format dxfId="450">
      <pivotArea dataOnly="0" labelOnly="1" fieldPosition="0">
        <references count="1">
          <reference field="104" count="0"/>
        </references>
      </pivotArea>
    </format>
    <format dxfId="449">
      <pivotArea type="all" dataOnly="0" outline="0" fieldPosition="0"/>
    </format>
    <format dxfId="448">
      <pivotArea outline="0" collapsedLevelsAreSubtotals="1" fieldPosition="0"/>
    </format>
    <format dxfId="447">
      <pivotArea field="4" type="button" dataOnly="0" labelOnly="1" outline="0"/>
    </format>
    <format dxfId="446">
      <pivotArea field="4" type="button" dataOnly="0" labelOnly="1" outline="0"/>
    </format>
    <format dxfId="445">
      <pivotArea field="4" type="button" dataOnly="0" labelOnly="1" outline="0"/>
    </format>
    <format dxfId="444">
      <pivotArea field="4" type="button" dataOnly="0" labelOnly="1" outline="0"/>
    </format>
    <format dxfId="443">
      <pivotArea outline="0" collapsedLevelsAreSubtotals="1" fieldPosition="0"/>
    </format>
    <format dxfId="442">
      <pivotArea dataOnly="0" labelOnly="1" outline="0" fieldPosition="0">
        <references count="1">
          <reference field="4294967294" count="2">
            <x v="1"/>
            <x v="2"/>
          </reference>
        </references>
      </pivotArea>
    </format>
    <format dxfId="441">
      <pivotArea collapsedLevelsAreSubtotals="1" fieldPosition="0">
        <references count="2">
          <reference field="4294967294" count="1" selected="0">
            <x v="3"/>
          </reference>
          <reference field="5" count="3">
            <x v="23"/>
            <x v="30"/>
            <x v="36"/>
          </reference>
        </references>
      </pivotArea>
    </format>
  </formats>
  <pivotTableStyleInfo name="PivotStyleMedium25"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1.xml><?xml version="1.0" encoding="utf-8"?>
<pivotTableDefinition xmlns="http://schemas.openxmlformats.org/spreadsheetml/2006/main" xmlns:mc="http://schemas.openxmlformats.org/markup-compatibility/2006" xmlns:xr="http://schemas.microsoft.com/office/spreadsheetml/2014/revision" mc:Ignorable="xr" xr:uid="{F59249A3-B57E-4491-85EE-7E373CE682BA}" name="PivotTable5" cacheId="0" applyNumberFormats="0" applyBorderFormats="0" applyFontFormats="0" applyPatternFormats="0" applyAlignmentFormats="0" applyWidthHeightFormats="1" dataCaption="Values" updatedVersion="6" minRefreshableVersion="3" itemPrintTitles="1" createdVersion="6" indent="0" outline="1" outlineData="1" multipleFieldFilters="0" chartFormat="21" rowHeaderCaption="State">
  <location ref="P44:T46" firstHeaderRow="0" firstDataRow="1" firstDataCol="1" rowPageCount="3" colPageCount="1"/>
  <pivotFields count="119">
    <pivotField axis="axisPage" subtotalTop="0" multipleItemSelectionAllowed="1" showAll="0">
      <items count="15">
        <item m="1" x="12"/>
        <item m="1" x="5"/>
        <item h="1" m="1" x="7"/>
        <item h="1" m="1" x="3"/>
        <item m="1" x="13"/>
        <item m="1" x="4"/>
        <item h="1" m="1" x="11"/>
        <item h="1" m="1" x="8"/>
        <item h="1" m="1" x="9"/>
        <item m="1" x="10"/>
        <item m="1" x="6"/>
        <item h="1" x="0"/>
        <item x="2"/>
        <item h="1" x="1"/>
        <item t="default"/>
      </items>
    </pivotField>
    <pivotField showAll="0" defaultSubtotal="0"/>
    <pivotField showAll="0" defaultSubtotal="0"/>
    <pivotField subtotalTop="0" showAll="0"/>
    <pivotField axis="axisRow" subtotalTop="0" showAll="0">
      <items count="7">
        <item m="1" x="3"/>
        <item m="1" x="2"/>
        <item m="1" x="5"/>
        <item m="1" x="1"/>
        <item x="0"/>
        <item m="1" x="4"/>
        <item t="default"/>
      </items>
    </pivotField>
    <pivotField subtotalTop="0" showAll="0"/>
    <pivotField axis="axisPage" multipleItemSelectionAllowed="1" showAll="0" defaultSubtotal="0">
      <items count="10">
        <item x="0"/>
        <item m="1" x="2"/>
        <item m="1" x="8"/>
        <item m="1" x="7"/>
        <item m="1" x="1"/>
        <item h="1" m="1" x="4"/>
        <item m="1" x="3"/>
        <item h="1" m="1" x="5"/>
        <item m="1" x="6"/>
        <item h="1" m="1" x="9"/>
      </items>
    </pivotField>
    <pivotField dataField="1" subtotalTop="0" showAll="0"/>
    <pivotField subtotalTop="0" showAll="0"/>
    <pivotField subtotalTop="0" showAll="0"/>
    <pivotField showAll="0" defaultSubtotal="0"/>
    <pivotField showAll="0" defaultSubtotal="0"/>
    <pivotField showAll="0" defaultSubtotal="0"/>
    <pivotField showAll="0" defaultSubtotal="0"/>
    <pivotField showAll="0" defaultSubtotal="0"/>
    <pivotField subtotalTop="0" showAll="0"/>
    <pivotField showAll="0" defaultSubtotal="0"/>
    <pivotField showAll="0" defaultSubtotal="0"/>
    <pivotField showAll="0" defaultSubtotal="0"/>
    <pivotField showAll="0"/>
    <pivotField showAll="0"/>
    <pivotField showAll="0"/>
    <pivotField showAll="0"/>
    <pivotField showAll="0"/>
    <pivotField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numFmtId="9" showAll="0"/>
    <pivotField showAll="0" defaultSubtotal="0"/>
    <pivotField showAll="0"/>
    <pivotField subtotalTop="0" showAll="0"/>
    <pivotField numFmtId="9" showAll="0"/>
    <pivotField showAll="0" defaultSubtotal="0"/>
    <pivotField subtotalTop="0" showAll="0"/>
    <pivotField numFmtId="9" subtotalTop="0" showAll="0"/>
    <pivotField showAll="0" defaultSubtotal="0"/>
    <pivotField subtotalTop="0" showAll="0"/>
    <pivotField subtotalTop="0" showAll="0"/>
    <pivotField numFmtId="9" showAll="0"/>
    <pivotField numFmtId="1" showAll="0" defaultSubtotal="0"/>
    <pivotField showAll="0" defaultSubtotal="0"/>
    <pivotField subtotalTop="0" showAll="0"/>
    <pivotField numFmtId="1" subtotalTop="0" showAll="0"/>
    <pivotField numFmtId="9" subtotalTop="0" showAll="0"/>
    <pivotField numFmtId="9" showAll="0" defaultSubtotal="0"/>
    <pivotField numFmtId="1" showAll="0" defaultSubtotal="0"/>
    <pivotField numFmtId="1" showAll="0" defaultSubtotal="0"/>
    <pivotField numFmtId="1" showAll="0" defaultSubtotal="0"/>
    <pivotField numFmtId="1" showAll="0" defaultSubtotal="0"/>
    <pivotField numFmtId="1" showAll="0" defaultSubtotal="0"/>
    <pivotField numFmtId="9" subtotalTop="0" showAll="0"/>
    <pivotField subtotalTop="0" showAll="0"/>
    <pivotField subtotalTop="0" showAll="0"/>
    <pivotField numFmtId="9" subtotalTop="0" showAll="0"/>
    <pivotField showAll="0"/>
    <pivotField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axis="axisPage" subtotalTop="0" multipleItemSelectionAllowed="1" showAll="0">
      <items count="5">
        <item x="0"/>
        <item h="1" x="1"/>
        <item m="1" x="3"/>
        <item m="1" x="2"/>
        <item t="default"/>
      </items>
    </pivotField>
    <pivotField showAll="0"/>
    <pivotField showAll="0"/>
    <pivotField showAll="0"/>
    <pivotField subtotalTop="0" showAll="0"/>
    <pivotField showAll="0"/>
    <pivotField showAll="0"/>
    <pivotField showAl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s>
  <rowFields count="1">
    <field x="4"/>
  </rowFields>
  <rowItems count="2">
    <i>
      <x v="4"/>
    </i>
    <i t="grand">
      <x/>
    </i>
  </rowItems>
  <colFields count="1">
    <field x="-2"/>
  </colFields>
  <colItems count="4">
    <i>
      <x/>
    </i>
    <i i="1">
      <x v="1"/>
    </i>
    <i i="2">
      <x v="2"/>
    </i>
    <i i="3">
      <x v="3"/>
    </i>
  </colItems>
  <pageFields count="3">
    <pageField fld="0" hier="-1"/>
    <pageField fld="104" hier="-1"/>
    <pageField fld="6" hier="-1"/>
  </pageFields>
  <dataFields count="4">
    <dataField name="Count of Site Name" fld="7" subtotal="count" baseField="0" baseItem="0"/>
    <dataField name="Count of #_Water samples_Tested_at_HH" fld="25" subtotal="count" baseField="0" baseItem="0"/>
    <dataField name="Sum of #_Water samples_Tested_at_HH2" fld="25" baseField="4" baseItem="4"/>
    <dataField name="Count of #_Water samples _passed_at_HH" fld="26" subtotal="count" baseField="0" baseItem="0"/>
  </dataFields>
  <formats count="14">
    <format dxfId="473">
      <pivotArea field="4" type="button" dataOnly="0" labelOnly="1" outline="0" axis="axisRow" fieldPosition="0"/>
    </format>
    <format dxfId="472">
      <pivotArea dataOnly="0" labelOnly="1" outline="0" fieldPosition="0">
        <references count="1">
          <reference field="4294967294" count="1">
            <x v="0"/>
          </reference>
        </references>
      </pivotArea>
    </format>
    <format dxfId="471">
      <pivotArea type="all" dataOnly="0" outline="0" fieldPosition="0"/>
    </format>
    <format dxfId="470">
      <pivotArea outline="0" collapsedLevelsAreSubtotals="1" fieldPosition="0"/>
    </format>
    <format dxfId="469">
      <pivotArea field="4" type="button" dataOnly="0" labelOnly="1" outline="0" axis="axisRow" fieldPosition="0"/>
    </format>
    <format dxfId="468">
      <pivotArea dataOnly="0" labelOnly="1" fieldPosition="0">
        <references count="1">
          <reference field="4" count="0"/>
        </references>
      </pivotArea>
    </format>
    <format dxfId="467">
      <pivotArea dataOnly="0" labelOnly="1" outline="0" fieldPosition="0">
        <references count="1">
          <reference field="4294967294" count="1">
            <x v="0"/>
          </reference>
        </references>
      </pivotArea>
    </format>
    <format dxfId="466">
      <pivotArea type="all" dataOnly="0" outline="0" fieldPosition="0"/>
    </format>
    <format dxfId="465">
      <pivotArea type="all" dataOnly="0" outline="0" fieldPosition="0"/>
    </format>
    <format dxfId="464">
      <pivotArea outline="0" collapsedLevelsAreSubtotals="1" fieldPosition="0"/>
    </format>
    <format dxfId="463">
      <pivotArea field="4" type="button" dataOnly="0" labelOnly="1" outline="0" axis="axisRow" fieldPosition="0"/>
    </format>
    <format dxfId="462">
      <pivotArea dataOnly="0" labelOnly="1" fieldPosition="0">
        <references count="1">
          <reference field="4" count="0"/>
        </references>
      </pivotArea>
    </format>
    <format dxfId="461">
      <pivotArea dataOnly="0" labelOnly="1" outline="0" fieldPosition="0">
        <references count="1">
          <reference field="4294967294" count="1">
            <x v="0"/>
          </reference>
        </references>
      </pivotArea>
    </format>
    <format dxfId="460">
      <pivotArea dataOnly="0" labelOnly="1" outline="0" fieldPosition="0">
        <references count="1">
          <reference field="4294967294" count="1">
            <x v="0"/>
          </reference>
        </references>
      </pivotArea>
    </format>
  </formats>
  <chartFormats count="2">
    <chartFormat chart="11" format="2" series="1">
      <pivotArea type="data" outline="0" fieldPosition="0">
        <references count="1">
          <reference field="4294967294" count="1" selected="0">
            <x v="0"/>
          </reference>
        </references>
      </pivotArea>
    </chartFormat>
    <chartFormat chart="20" format="2" series="1">
      <pivotArea type="data" outline="0" fieldPosition="0">
        <references count="1">
          <reference field="4294967294" count="1" selected="0">
            <x v="0"/>
          </reference>
        </references>
      </pivotArea>
    </chartFormat>
  </chartFormats>
  <pivotTableStyleInfo name="CUSTOM"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2.xml><?xml version="1.0" encoding="utf-8"?>
<pivotTableDefinition xmlns="http://schemas.openxmlformats.org/spreadsheetml/2006/main" xmlns:mc="http://schemas.openxmlformats.org/markup-compatibility/2006" xmlns:xr="http://schemas.microsoft.com/office/spreadsheetml/2014/revision" mc:Ignorable="xr" xr:uid="{00000000-0007-0000-0800-000000000000}" name="Geo_Gap" cacheId="0" applyNumberFormats="0" applyBorderFormats="0" applyFontFormats="0" applyPatternFormats="0" applyAlignmentFormats="0" applyWidthHeightFormats="1" dataCaption="Values" updatedVersion="6" minRefreshableVersion="3" rowGrandTotals="0" colGrandTotals="0" itemPrintTitles="1" createdVersion="6" indent="0" compact="0" compactData="0" multipleFieldFilters="0" chartFormat="8">
  <location ref="C273:L299" firstHeaderRow="0" firstDataRow="1" firstDataCol="4" rowPageCount="1" colPageCount="1"/>
  <pivotFields count="119">
    <pivotField axis="axisPage" compact="0" outline="0" subtotalTop="0" showAll="0" defaultSubtotal="0">
      <items count="14">
        <item m="1" x="12"/>
        <item m="1" x="5"/>
        <item m="1" x="13"/>
        <item m="1" x="7"/>
        <item m="1" x="4"/>
        <item m="1" x="3"/>
        <item m="1" x="11"/>
        <item m="1" x="8"/>
        <item m="1" x="9"/>
        <item m="1" x="10"/>
        <item m="1" x="6"/>
        <item x="0"/>
        <item x="2"/>
        <item x="1"/>
      </items>
    </pivotField>
    <pivotField compact="0" outline="0" showAll="0" defaultSubtotal="0"/>
    <pivotField compact="0" outline="0" showAll="0" defaultSubtotal="0"/>
    <pivotField compact="0" outline="0" subtotalTop="0" showAll="0" defaultSubtotal="0"/>
    <pivotField axis="axisRow" compact="0" outline="0" subtotalTop="0" multipleItemSelectionAllowed="1" showAll="0">
      <items count="7">
        <item m="1" x="3"/>
        <item m="1" x="2"/>
        <item m="1" x="5"/>
        <item m="1" x="1"/>
        <item x="0"/>
        <item m="1" x="4"/>
        <item t="default"/>
      </items>
    </pivotField>
    <pivotField axis="axisRow" compact="0" outline="0" subtotalTop="0" showAll="0" defaultSubtotal="0">
      <items count="41">
        <item m="1" x="13"/>
        <item m="1" x="16"/>
        <item m="1" x="36"/>
        <item m="1" x="30"/>
        <item m="1" x="25"/>
        <item m="1" x="29"/>
        <item m="1" x="22"/>
        <item m="1" x="7"/>
        <item x="2"/>
        <item x="3"/>
        <item m="1" x="12"/>
        <item m="1" x="33"/>
        <item m="1" x="9"/>
        <item m="1" x="15"/>
        <item m="1" x="26"/>
        <item m="1" x="11"/>
        <item m="1" x="20"/>
        <item m="1" x="31"/>
        <item m="1" x="23"/>
        <item m="1" x="35"/>
        <item m="1" x="14"/>
        <item x="4"/>
        <item m="1" x="24"/>
        <item m="1" x="21"/>
        <item m="1" x="27"/>
        <item m="1" x="10"/>
        <item x="0"/>
        <item m="1" x="28"/>
        <item m="1" x="18"/>
        <item m="1" x="38"/>
        <item m="1" x="32"/>
        <item m="1" x="39"/>
        <item x="1"/>
        <item m="1" x="40"/>
        <item m="1" x="37"/>
        <item m="1" x="34"/>
        <item m="1" x="17"/>
        <item m="1" x="6"/>
        <item m="1" x="8"/>
        <item m="1" x="5"/>
        <item m="1" x="19"/>
      </items>
    </pivotField>
    <pivotField compact="0" outline="0" showAll="0" defaultSubtotal="0"/>
    <pivotField axis="axisRow" dataField="1" compact="0" outline="0" subtotalTop="0" showAll="0" defaultSubtotal="0">
      <items count="974">
        <item m="1" x="605"/>
        <item m="1" x="928"/>
        <item m="1" x="837"/>
        <item m="1" x="881"/>
        <item m="1" x="319"/>
        <item m="1" x="147"/>
        <item m="1" x="201"/>
        <item m="1" x="463"/>
        <item m="1" x="99"/>
        <item m="1" x="153"/>
        <item m="1" x="434"/>
        <item m="1" x="563"/>
        <item m="1" x="578"/>
        <item m="1" x="334"/>
        <item m="1" x="155"/>
        <item m="1" x="877"/>
        <item m="1" x="771"/>
        <item m="1" x="169"/>
        <item m="1" x="630"/>
        <item m="1" x="396"/>
        <item m="1" x="805"/>
        <item x="0"/>
        <item m="1" x="835"/>
        <item m="1" x="863"/>
        <item m="1" x="240"/>
        <item m="1" x="716"/>
        <item m="1" x="273"/>
        <item m="1" x="291"/>
        <item m="1" x="289"/>
        <item m="1" x="198"/>
        <item m="1" x="118"/>
        <item m="1" x="915"/>
        <item m="1" x="956"/>
        <item m="1" x="642"/>
        <item m="1" x="347"/>
        <item m="1" x="226"/>
        <item m="1" x="449"/>
        <item m="1" x="274"/>
        <item x="1"/>
        <item m="1" x="754"/>
        <item m="1" x="824"/>
        <item x="2"/>
        <item x="3"/>
        <item m="1" x="447"/>
        <item m="1" x="709"/>
        <item m="1" x="710"/>
        <item m="1" x="443"/>
        <item m="1" x="416"/>
        <item m="1" x="268"/>
        <item m="1" x="598"/>
        <item m="1" x="949"/>
        <item m="1" x="907"/>
        <item m="1" x="639"/>
        <item m="1" x="47"/>
        <item m="1" x="869"/>
        <item m="1" x="627"/>
        <item m="1" x="664"/>
        <item m="1" x="61"/>
        <item m="1" x="84"/>
        <item m="1" x="764"/>
        <item m="1" x="839"/>
        <item m="1" x="311"/>
        <item m="1" x="224"/>
        <item m="1" x="306"/>
        <item m="1" x="80"/>
        <item m="1" x="518"/>
        <item m="1" x="698"/>
        <item m="1" x="44"/>
        <item m="1" x="635"/>
        <item x="5"/>
        <item x="6"/>
        <item m="1" x="88"/>
        <item m="1" x="244"/>
        <item m="1" x="827"/>
        <item m="1" x="846"/>
        <item m="1" x="752"/>
        <item m="1" x="450"/>
        <item m="1" x="335"/>
        <item m="1" x="875"/>
        <item m="1" x="514"/>
        <item m="1" x="258"/>
        <item m="1" x="426"/>
        <item m="1" x="718"/>
        <item m="1" x="950"/>
        <item m="1" x="893"/>
        <item m="1" x="200"/>
        <item m="1" x="913"/>
        <item m="1" x="595"/>
        <item m="1" x="458"/>
        <item m="1" x="492"/>
        <item m="1" x="785"/>
        <item m="1" x="91"/>
        <item m="1" x="668"/>
        <item m="1" x="588"/>
        <item m="1" x="892"/>
        <item m="1" x="821"/>
        <item m="1" x="660"/>
        <item m="1" x="497"/>
        <item m="1" x="535"/>
        <item m="1" x="59"/>
        <item m="1" x="873"/>
        <item m="1" x="308"/>
        <item m="1" x="387"/>
        <item m="1" x="164"/>
        <item m="1" x="50"/>
        <item m="1" x="489"/>
        <item m="1" x="582"/>
        <item m="1" x="381"/>
        <item m="1" x="453"/>
        <item m="1" x="336"/>
        <item m="1" x="76"/>
        <item m="1" x="838"/>
        <item m="1" x="620"/>
        <item m="1" x="325"/>
        <item m="1" x="338"/>
        <item m="1" x="625"/>
        <item m="1" x="87"/>
        <item m="1" x="71"/>
        <item m="1" x="700"/>
        <item m="1" x="388"/>
        <item m="1" x="203"/>
        <item m="1" x="637"/>
        <item m="1" x="299"/>
        <item m="1" x="117"/>
        <item m="1" x="603"/>
        <item m="1" x="242"/>
        <item m="1" x="149"/>
        <item m="1" x="393"/>
        <item m="1" x="234"/>
        <item m="1" x="555"/>
        <item m="1" x="922"/>
        <item m="1" x="968"/>
        <item m="1" x="859"/>
        <item m="1" x="284"/>
        <item m="1" x="524"/>
        <item m="1" x="515"/>
        <item m="1" x="757"/>
        <item m="1" x="255"/>
        <item m="1" x="202"/>
        <item m="1" x="249"/>
        <item m="1" x="500"/>
        <item m="1" x="674"/>
        <item m="1" x="884"/>
        <item m="1" x="621"/>
        <item m="1" x="112"/>
        <item m="1" x="791"/>
        <item m="1" x="355"/>
        <item m="1" x="474"/>
        <item m="1" x="281"/>
        <item m="1" x="422"/>
        <item m="1" x="946"/>
        <item m="1" x="359"/>
        <item m="1" x="958"/>
        <item m="1" x="624"/>
        <item m="1" x="225"/>
        <item m="1" x="320"/>
        <item m="1" x="631"/>
        <item m="1" x="364"/>
        <item m="1" x="134"/>
        <item m="1" x="227"/>
        <item m="1" x="152"/>
        <item m="1" x="638"/>
        <item m="1" x="911"/>
        <item m="1" x="279"/>
        <item m="1" x="834"/>
        <item m="1" x="930"/>
        <item m="1" x="468"/>
        <item m="1" x="140"/>
        <item m="1" x="656"/>
        <item m="1" x="188"/>
        <item m="1" x="715"/>
        <item m="1" x="185"/>
        <item m="1" x="232"/>
        <item m="1" x="505"/>
        <item m="1" x="942"/>
        <item m="1" x="960"/>
        <item m="1" x="163"/>
        <item x="9"/>
        <item m="1" x="219"/>
        <item m="1" x="670"/>
        <item m="1" x="254"/>
        <item m="1" x="330"/>
        <item m="1" x="748"/>
        <item m="1" x="172"/>
        <item m="1" x="836"/>
        <item m="1" x="883"/>
        <item x="10"/>
        <item m="1" x="451"/>
        <item m="1" x="841"/>
        <item m="1" x="241"/>
        <item m="1" x="97"/>
        <item m="1" x="362"/>
        <item m="1" x="583"/>
        <item m="1" x="46"/>
        <item m="1" x="127"/>
        <item m="1" x="819"/>
        <item m="1" x="509"/>
        <item m="1" x="302"/>
        <item m="1" x="247"/>
        <item m="1" x="121"/>
        <item m="1" x="826"/>
        <item m="1" x="721"/>
        <item m="1" x="114"/>
        <item m="1" x="559"/>
        <item m="1" x="803"/>
        <item m="1" x="707"/>
        <item m="1" x="770"/>
        <item m="1" x="768"/>
        <item m="1" x="167"/>
        <item m="1" x="971"/>
        <item m="1" x="90"/>
        <item m="1" x="34"/>
        <item m="1" x="777"/>
        <item m="1" x="383"/>
        <item m="1" x="85"/>
        <item m="1" x="606"/>
        <item m="1" x="341"/>
        <item m="1" x="679"/>
        <item m="1" x="372"/>
        <item m="1" x="493"/>
        <item m="1" x="371"/>
        <item m="1" x="628"/>
        <item m="1" x="600"/>
        <item m="1" x="144"/>
        <item m="1" x="622"/>
        <item m="1" x="174"/>
        <item m="1" x="124"/>
        <item m="1" x="178"/>
        <item m="1" x="101"/>
        <item m="1" x="160"/>
        <item m="1" x="615"/>
        <item m="1" x="737"/>
        <item m="1" x="786"/>
        <item m="1" x="781"/>
        <item m="1" x="27"/>
        <item m="1" x="214"/>
        <item m="1" x="262"/>
        <item m="1" x="386"/>
        <item m="1" x="695"/>
        <item m="1" x="645"/>
        <item m="1" x="158"/>
        <item m="1" x="108"/>
        <item m="1" x="832"/>
        <item m="1" x="806"/>
        <item m="1" x="238"/>
        <item m="1" x="673"/>
        <item m="1" x="652"/>
        <item m="1" x="739"/>
        <item m="1" x="820"/>
        <item m="1" x="337"/>
        <item m="1" x="415"/>
        <item m="1" x="900"/>
        <item m="1" x="855"/>
        <item m="1" x="755"/>
        <item m="1" x="530"/>
        <item m="1" x="575"/>
        <item m="1" x="36"/>
        <item m="1" x="205"/>
        <item m="1" x="720"/>
        <item m="1" x="813"/>
        <item m="1" x="45"/>
        <item m="1" x="365"/>
        <item m="1" x="479"/>
        <item m="1" x="98"/>
        <item m="1" x="840"/>
        <item m="1" x="165"/>
        <item m="1" x="581"/>
        <item m="1" x="175"/>
        <item m="1" x="74"/>
        <item m="1" x="148"/>
        <item x="11"/>
        <item m="1" x="614"/>
        <item m="1" x="265"/>
        <item m="1" x="358"/>
        <item m="1" x="162"/>
        <item m="1" x="173"/>
        <item m="1" x="328"/>
        <item m="1" x="186"/>
        <item m="1" x="932"/>
        <item m="1" x="916"/>
        <item m="1" x="626"/>
        <item m="1" x="94"/>
        <item m="1" x="421"/>
        <item m="1" x="195"/>
        <item m="1" x="640"/>
        <item m="1" x="586"/>
        <item m="1" x="706"/>
        <item m="1" x="681"/>
        <item m="1" x="221"/>
        <item m="1" x="445"/>
        <item m="1" x="529"/>
        <item m="1" x="111"/>
        <item m="1" x="751"/>
        <item m="1" x="405"/>
        <item m="1" x="318"/>
        <item m="1" x="327"/>
        <item m="1" x="532"/>
        <item m="1" x="897"/>
        <item m="1" x="348"/>
        <item m="1" x="235"/>
        <item m="1" x="354"/>
        <item m="1" x="313"/>
        <item m="1" x="417"/>
        <item m="1" x="176"/>
        <item m="1" x="361"/>
        <item m="1" x="552"/>
        <item m="1" x="466"/>
        <item m="1" x="245"/>
        <item m="1" x="833"/>
        <item m="1" x="743"/>
        <item m="1" x="650"/>
        <item m="1" x="257"/>
        <item m="1" x="746"/>
        <item m="1" x="145"/>
        <item m="1" x="699"/>
        <item m="1" x="890"/>
        <item m="1" x="562"/>
        <item m="1" x="123"/>
        <item m="1" x="395"/>
        <item m="1" x="760"/>
        <item m="1" x="847"/>
        <item m="1" x="236"/>
        <item m="1" x="849"/>
        <item m="1" x="135"/>
        <item m="1" x="553"/>
        <item m="1" x="872"/>
        <item m="1" x="38"/>
        <item m="1" x="472"/>
        <item m="1" x="669"/>
        <item m="1" x="427"/>
        <item m="1" x="732"/>
        <item m="1" x="547"/>
        <item m="1" x="193"/>
        <item m="1" x="471"/>
        <item m="1" x="831"/>
        <item m="1" x="222"/>
        <item m="1" x="351"/>
        <item m="1" x="213"/>
        <item m="1" x="346"/>
        <item x="12"/>
        <item x="13"/>
        <item m="1" x="866"/>
        <item m="1" x="810"/>
        <item m="1" x="194"/>
        <item x="14"/>
        <item m="1" x="773"/>
        <item m="1" x="210"/>
        <item m="1" x="456"/>
        <item m="1" x="436"/>
        <item m="1" x="766"/>
        <item m="1" x="187"/>
        <item m="1" x="392"/>
        <item m="1" x="119"/>
        <item m="1" x="282"/>
        <item m="1" x="490"/>
        <item m="1" x="363"/>
        <item m="1" x="113"/>
        <item x="15"/>
        <item m="1" x="394"/>
        <item x="16"/>
        <item x="17"/>
        <item m="1" x="312"/>
        <item m="1" x="800"/>
        <item m="1" x="876"/>
        <item m="1" x="228"/>
        <item m="1" x="923"/>
        <item m="1" x="461"/>
        <item m="1" x="702"/>
        <item m="1" x="653"/>
        <item m="1" x="657"/>
        <item m="1" x="237"/>
        <item m="1" x="431"/>
        <item m="1" x="32"/>
        <item m="1" x="53"/>
        <item m="1" x="25"/>
        <item m="1" x="926"/>
        <item m="1" x="693"/>
        <item m="1" x="782"/>
        <item m="1" x="349"/>
        <item m="1" x="947"/>
        <item m="1" x="373"/>
        <item m="1" x="378"/>
        <item m="1" x="545"/>
        <item m="1" x="439"/>
        <item m="1" x="411"/>
        <item m="1" x="246"/>
        <item m="1" x="283"/>
        <item m="1" x="572"/>
        <item m="1" x="215"/>
        <item m="1" x="77"/>
        <item m="1" x="324"/>
        <item m="1" x="726"/>
        <item m="1" x="455"/>
        <item m="1" x="901"/>
        <item m="1" x="460"/>
        <item m="1" x="343"/>
        <item m="1" x="498"/>
        <item m="1" x="910"/>
        <item m="1" x="55"/>
        <item m="1" x="796"/>
        <item m="1" x="818"/>
        <item m="1" x="536"/>
        <item m="1" x="128"/>
        <item m="1" x="577"/>
        <item m="1" x="899"/>
        <item m="1" x="196"/>
        <item m="1" x="292"/>
        <item m="1" x="28"/>
        <item m="1" x="182"/>
        <item m="1" x="571"/>
        <item m="1" x="671"/>
        <item m="1" x="277"/>
        <item m="1" x="384"/>
        <item m="1" x="446"/>
        <item m="1" x="40"/>
        <item m="1" x="440"/>
        <item m="1" x="104"/>
        <item m="1" x="485"/>
        <item m="1" x="903"/>
        <item m="1" x="894"/>
        <item m="1" x="317"/>
        <item m="1" x="591"/>
        <item m="1" x="672"/>
        <item m="1" x="723"/>
        <item m="1" x="543"/>
        <item m="1" x="711"/>
        <item m="1" x="749"/>
        <item m="1" x="399"/>
        <item x="19"/>
        <item m="1" x="568"/>
        <item m="1" x="765"/>
        <item m="1" x="772"/>
        <item m="1" x="482"/>
        <item m="1" x="29"/>
        <item m="1" x="126"/>
        <item m="1" x="397"/>
        <item m="1" x="488"/>
        <item m="1" x="964"/>
        <item m="1" x="961"/>
        <item m="1" x="544"/>
        <item m="1" x="401"/>
        <item m="1" x="938"/>
        <item m="1" x="676"/>
        <item m="1" x="970"/>
        <item m="1" x="132"/>
        <item m="1" x="719"/>
        <item m="1" x="31"/>
        <item m="1" x="496"/>
        <item m="1" x="548"/>
        <item m="1" x="368"/>
        <item m="1" x="692"/>
        <item m="1" x="512"/>
        <item m="1" x="857"/>
        <item m="1" x="57"/>
        <item m="1" x="808"/>
        <item m="1" x="722"/>
        <item m="1" x="63"/>
        <item m="1" x="817"/>
        <item m="1" x="717"/>
        <item m="1" x="332"/>
        <item x="20"/>
        <item m="1" x="661"/>
        <item m="1" x="418"/>
        <item m="1" x="734"/>
        <item m="1" x="538"/>
        <item m="1" x="424"/>
        <item m="1" x="736"/>
        <item m="1" x="794"/>
        <item m="1" x="701"/>
        <item m="1" x="102"/>
        <item m="1" x="889"/>
        <item m="1" x="798"/>
        <item m="1" x="648"/>
        <item m="1" x="744"/>
        <item m="1" x="809"/>
        <item m="1" x="30"/>
        <item m="1" x="339"/>
        <item m="1" x="499"/>
        <item m="1" x="557"/>
        <item m="1" x="356"/>
        <item m="1" x="180"/>
        <item m="1" x="741"/>
        <item m="1" x="179"/>
        <item m="1" x="619"/>
        <item m="1" x="546"/>
        <item m="1" x="613"/>
        <item m="1" x="633"/>
        <item m="1" x="425"/>
        <item m="1" x="56"/>
        <item m="1" x="936"/>
        <item m="1" x="675"/>
        <item x="21"/>
        <item m="1" x="694"/>
        <item m="1" x="830"/>
        <item m="1" x="590"/>
        <item m="1" x="962"/>
        <item m="1" x="919"/>
        <item m="1" x="579"/>
        <item m="1" x="329"/>
        <item m="1" x="233"/>
        <item m="1" x="68"/>
        <item x="22"/>
        <item m="1" x="402"/>
        <item m="1" x="420"/>
        <item m="1" x="646"/>
        <item m="1" x="972"/>
        <item m="1" x="476"/>
        <item m="1" x="802"/>
        <item m="1" x="100"/>
        <item m="1" x="522"/>
        <item m="1" x="556"/>
        <item m="1" x="908"/>
        <item m="1" x="931"/>
        <item m="1" x="909"/>
        <item m="1" x="367"/>
        <item m="1" x="276"/>
        <item m="1" x="231"/>
        <item m="1" x="66"/>
        <item m="1" x="229"/>
        <item x="23"/>
        <item x="24"/>
        <item m="1" x="733"/>
        <item m="1" x="248"/>
        <item m="1" x="191"/>
        <item m="1" x="651"/>
        <item m="1" x="865"/>
        <item m="1" x="181"/>
        <item m="1" x="957"/>
        <item m="1" x="369"/>
        <item m="1" x="623"/>
        <item m="1" x="564"/>
        <item m="1" x="138"/>
        <item m="1" x="727"/>
        <item m="1" x="184"/>
        <item m="1" x="714"/>
        <item m="1" x="473"/>
        <item m="1" x="740"/>
        <item m="1" x="285"/>
        <item m="1" x="513"/>
        <item m="1" x="682"/>
        <item m="1" x="89"/>
        <item m="1" x="921"/>
        <item m="1" x="853"/>
        <item m="1" x="783"/>
        <item m="1" x="150"/>
        <item m="1" x="769"/>
        <item m="1" x="141"/>
        <item m="1" x="658"/>
        <item m="1" x="340"/>
        <item m="1" x="437"/>
        <item m="1" x="787"/>
        <item m="1" x="587"/>
        <item m="1" x="433"/>
        <item m="1" x="969"/>
        <item m="1" x="952"/>
        <item m="1" x="763"/>
        <item m="1" x="484"/>
        <item m="1" x="70"/>
        <item m="1" x="750"/>
        <item m="1" x="774"/>
        <item m="1" x="775"/>
        <item m="1" x="858"/>
        <item m="1" x="151"/>
        <item m="1" x="469"/>
        <item m="1" x="263"/>
        <item m="1" x="264"/>
        <item m="1" x="929"/>
        <item m="1" x="870"/>
        <item m="1" x="851"/>
        <item m="1" x="464"/>
        <item m="1" x="914"/>
        <item m="1" x="385"/>
        <item m="1" x="596"/>
        <item m="1" x="792"/>
        <item m="1" x="75"/>
        <item m="1" x="307"/>
        <item m="1" x="96"/>
        <item m="1" x="592"/>
        <item m="1" x="528"/>
        <item m="1" x="560"/>
        <item m="1" x="967"/>
        <item m="1" x="629"/>
        <item m="1" x="854"/>
        <item m="1" x="142"/>
        <item m="1" x="441"/>
        <item m="1" x="882"/>
        <item m="1" x="136"/>
        <item m="1" x="940"/>
        <item m="1" x="519"/>
        <item m="1" x="663"/>
        <item m="1" x="611"/>
        <item m="1" x="35"/>
        <item m="1" x="103"/>
        <item m="1" x="109"/>
        <item m="1" x="724"/>
        <item m="1" x="510"/>
        <item m="1" x="331"/>
        <item m="1" x="78"/>
        <item m="1" x="944"/>
        <item m="1" x="684"/>
        <item m="1" x="212"/>
        <item m="1" x="574"/>
        <item m="1" x="470"/>
        <item m="1" x="966"/>
        <item m="1" x="886"/>
        <item m="1" x="407"/>
        <item m="1" x="286"/>
        <item m="1" x="382"/>
        <item m="1" x="122"/>
        <item m="1" x="828"/>
        <item m="1" x="607"/>
        <item m="1" x="924"/>
        <item m="1" x="39"/>
        <item m="1" x="662"/>
        <item m="1" x="902"/>
        <item m="1" x="632"/>
        <item m="1" x="271"/>
        <item m="1" x="93"/>
        <item m="1" x="259"/>
        <item m="1" x="129"/>
        <item m="1" x="260"/>
        <item m="1" x="558"/>
        <item m="1" x="920"/>
        <item m="1" x="444"/>
        <item m="1" x="604"/>
        <item m="1" x="429"/>
        <item m="1" x="735"/>
        <item m="1" x="703"/>
        <item m="1" x="322"/>
        <item m="1" x="845"/>
        <item m="1" x="438"/>
        <item m="1" x="566"/>
        <item m="1" x="687"/>
        <item m="1" x="261"/>
        <item m="1" x="139"/>
        <item m="1" x="965"/>
        <item m="1" x="110"/>
        <item m="1" x="696"/>
        <item m="1" x="955"/>
        <item m="1" x="888"/>
        <item m="1" x="953"/>
        <item m="1" x="918"/>
        <item m="1" x="295"/>
        <item m="1" x="243"/>
        <item m="1" x="477"/>
        <item m="1" x="350"/>
        <item m="1" x="959"/>
        <item m="1" x="728"/>
        <item m="1" x="880"/>
        <item m="1" x="83"/>
        <item m="1" x="375"/>
        <item m="1" x="288"/>
        <item m="1" x="92"/>
        <item m="1" x="589"/>
        <item m="1" x="511"/>
        <item m="1" x="822"/>
        <item m="1" x="252"/>
        <item m="1" x="352"/>
        <item m="1" x="549"/>
        <item m="1" x="465"/>
        <item m="1" x="844"/>
        <item m="1" x="495"/>
        <item m="1" x="304"/>
        <item m="1" x="935"/>
        <item m="1" x="747"/>
        <item m="1" x="934"/>
        <item m="1" x="933"/>
        <item m="1" x="161"/>
        <item m="1" x="554"/>
        <item m="1" x="207"/>
        <item m="1" x="761"/>
        <item m="1" x="856"/>
        <item m="1" x="353"/>
        <item m="1" x="130"/>
        <item m="1" x="33"/>
        <item m="1" x="269"/>
        <item m="1" x="895"/>
        <item m="1" x="250"/>
        <item m="1" x="380"/>
        <item m="1" x="917"/>
        <item m="1" x="565"/>
        <item m="1" x="667"/>
        <item m="1" x="300"/>
        <item m="1" x="608"/>
        <item m="1" x="116"/>
        <item m="1" x="487"/>
        <item m="1" x="321"/>
        <item m="1" x="655"/>
        <item m="1" x="366"/>
        <item m="1" x="414"/>
        <item m="1" x="287"/>
        <item m="1" x="223"/>
        <item m="1" x="647"/>
        <item m="1" x="804"/>
        <item m="1" x="166"/>
        <item m="1" x="137"/>
        <item m="1" x="874"/>
        <item m="1" x="115"/>
        <item m="1" x="730"/>
        <item m="1" x="688"/>
        <item m="1" x="462"/>
        <item m="1" x="753"/>
        <item m="1" x="506"/>
        <item m="1" x="551"/>
        <item m="1" x="525"/>
        <item m="1" x="170"/>
        <item m="1" x="825"/>
        <item m="1" x="759"/>
        <item m="1" x="204"/>
        <item m="1" x="342"/>
        <item m="1" x="81"/>
        <item m="1" x="467"/>
        <item m="1" x="67"/>
        <item m="1" x="106"/>
        <item m="1" x="72"/>
        <item m="1" x="898"/>
        <item m="1" x="290"/>
        <item m="1" x="542"/>
        <item m="1" x="550"/>
        <item m="1" x="82"/>
        <item m="1" x="725"/>
        <item m="1" x="344"/>
        <item m="1" x="963"/>
        <item m="1" x="480"/>
        <item x="8"/>
        <item x="7"/>
        <item x="18"/>
        <item m="1" x="797"/>
        <item m="1" x="278"/>
        <item m="1" x="267"/>
        <item m="1" x="790"/>
        <item m="1" x="256"/>
        <item m="1" x="799"/>
        <item m="1" x="297"/>
        <item m="1" x="37"/>
        <item m="1" x="885"/>
        <item m="1" x="517"/>
        <item m="1" x="712"/>
        <item m="1" x="570"/>
        <item m="1" x="454"/>
        <item m="1" x="298"/>
        <item m="1" x="435"/>
        <item m="1" x="521"/>
        <item m="1" x="389"/>
        <item m="1" x="220"/>
        <item m="1" x="927"/>
        <item m="1" x="199"/>
        <item m="1" x="303"/>
        <item m="1" x="879"/>
        <item m="1" x="404"/>
        <item m="1" x="374"/>
        <item m="1" x="780"/>
        <item m="1" x="491"/>
        <item m="1" x="211"/>
        <item m="1" x="689"/>
        <item m="1" x="410"/>
        <item m="1" x="430"/>
        <item m="1" x="423"/>
        <item m="1" x="48"/>
        <item m="1" x="481"/>
        <item m="1" x="266"/>
        <item m="1" x="154"/>
        <item m="1" x="954"/>
        <item m="1" x="475"/>
        <item m="1" x="157"/>
        <item m="1" x="801"/>
        <item m="1" x="428"/>
        <item m="1" x="457"/>
        <item m="1" x="64"/>
        <item m="1" x="189"/>
        <item m="1" x="742"/>
        <item m="1" x="398"/>
        <item m="1" x="520"/>
        <item m="1" x="73"/>
        <item m="1" x="504"/>
        <item m="1" x="644"/>
        <item m="1" x="190"/>
        <item m="1" x="294"/>
        <item m="1" x="206"/>
        <item m="1" x="315"/>
        <item m="1" x="301"/>
        <item m="1" x="131"/>
        <item m="1" x="867"/>
        <item m="1" x="713"/>
        <item m="1" x="486"/>
        <item m="1" x="54"/>
        <item m="1" x="593"/>
        <item m="1" x="823"/>
        <item m="1" x="691"/>
        <item m="1" x="412"/>
        <item m="1" x="448"/>
        <item m="1" x="610"/>
        <item m="1" x="217"/>
        <item m="1" x="756"/>
        <item m="1" x="527"/>
        <item m="1" x="432"/>
        <item m="1" x="690"/>
        <item m="1" x="654"/>
        <item m="1" x="618"/>
        <item m="1" x="584"/>
        <item m="1" x="843"/>
        <item m="1" x="599"/>
        <item m="1" x="60"/>
        <item m="1" x="49"/>
        <item m="1" x="209"/>
        <item m="1" x="612"/>
        <item m="1" x="251"/>
        <item m="1" x="597"/>
        <item m="1" x="816"/>
        <item m="1" x="270"/>
        <item m="1" x="218"/>
        <item m="1" x="601"/>
        <item m="1" x="569"/>
        <item m="1" x="314"/>
        <item m="1" x="309"/>
        <item m="1" x="815"/>
        <item m="1" x="345"/>
        <item m="1" x="677"/>
        <item m="1" x="594"/>
        <item m="1" x="852"/>
        <item m="1" x="891"/>
        <item m="1" x="105"/>
        <item m="1" x="939"/>
        <item m="1" x="541"/>
        <item m="1" x="360"/>
        <item m="1" x="784"/>
        <item m="1" x="120"/>
        <item m="1" x="860"/>
        <item m="1" x="685"/>
        <item m="1" x="357"/>
        <item m="1" x="333"/>
        <item m="1" x="310"/>
        <item m="1" x="377"/>
        <item m="1" x="758"/>
        <item m="1" x="305"/>
        <item m="1" x="43"/>
        <item m="1" x="862"/>
        <item m="1" x="778"/>
        <item m="1" x="502"/>
        <item m="1" x="406"/>
        <item m="1" x="811"/>
        <item m="1" x="478"/>
        <item m="1" x="442"/>
        <item m="1" x="133"/>
        <item m="1" x="390"/>
        <item m="1" x="526"/>
        <item m="1" x="494"/>
        <item m="1" x="501"/>
        <item m="1" x="52"/>
        <item m="1" x="146"/>
        <item m="1" x="293"/>
        <item m="1" x="216"/>
        <item m="1" x="776"/>
        <item m="1" x="779"/>
        <item m="1" x="704"/>
        <item m="1" x="729"/>
        <item m="1" x="280"/>
        <item m="1" x="951"/>
        <item m="1" x="419"/>
        <item m="1" x="107"/>
        <item m="1" x="762"/>
        <item m="1" x="403"/>
        <item m="1" x="316"/>
        <item m="1" x="239"/>
        <item x="4"/>
        <item m="1" x="26"/>
        <item m="1" x="616"/>
        <item m="1" x="275"/>
        <item m="1" x="641"/>
        <item m="1" x="65"/>
        <item m="1" x="697"/>
        <item m="1" x="666"/>
        <item m="1" x="69"/>
        <item m="1" x="483"/>
        <item m="1" x="795"/>
        <item m="1" x="452"/>
        <item m="1" x="904"/>
        <item m="1" x="731"/>
        <item m="1" x="842"/>
        <item m="1" x="503"/>
        <item m="1" x="79"/>
        <item m="1" x="812"/>
        <item m="1" x="680"/>
        <item m="1" x="708"/>
        <item m="1" x="253"/>
        <item m="1" x="409"/>
        <item m="1" x="745"/>
        <item m="1" x="379"/>
        <item m="1" x="793"/>
        <item m="1" x="197"/>
        <item m="1" x="561"/>
        <item m="1" x="296"/>
        <item m="1" x="125"/>
        <item m="1" x="636"/>
        <item m="1" x="659"/>
        <item m="1" x="459"/>
        <item m="1" x="539"/>
        <item m="1" x="540"/>
        <item m="1" x="534"/>
        <item m="1" x="850"/>
        <item m="1" x="208"/>
        <item m="1" x="864"/>
        <item m="1" x="925"/>
        <item m="1" x="171"/>
        <item m="1" x="86"/>
        <item m="1" x="168"/>
        <item m="1" x="617"/>
        <item m="1" x="585"/>
        <item m="1" x="230"/>
        <item m="1" x="868"/>
        <item m="1" x="683"/>
        <item m="1" x="42"/>
        <item m="1" x="159"/>
        <item m="1" x="814"/>
        <item m="1" x="413"/>
        <item m="1" x="686"/>
        <item m="1" x="665"/>
        <item m="1" x="643"/>
        <item m="1" x="516"/>
        <item m="1" x="400"/>
        <item m="1" x="370"/>
        <item m="1" x="62"/>
        <item m="1" x="192"/>
        <item m="1" x="829"/>
        <item m="1" x="905"/>
        <item m="1" x="567"/>
        <item m="1" x="945"/>
        <item m="1" x="95"/>
        <item m="1" x="609"/>
        <item m="1" x="678"/>
        <item m="1" x="896"/>
        <item m="1" x="767"/>
        <item m="1" x="705"/>
        <item m="1" x="912"/>
        <item m="1" x="649"/>
        <item m="1" x="537"/>
        <item m="1" x="177"/>
        <item m="1" x="573"/>
        <item m="1" x="789"/>
        <item m="1" x="973"/>
        <item m="1" x="738"/>
        <item m="1" x="326"/>
        <item m="1" x="580"/>
        <item m="1" x="941"/>
        <item m="1" x="523"/>
        <item m="1" x="376"/>
        <item m="1" x="508"/>
        <item m="1" x="408"/>
        <item m="1" x="906"/>
        <item m="1" x="531"/>
        <item m="1" x="878"/>
        <item m="1" x="602"/>
        <item m="1" x="272"/>
        <item m="1" x="143"/>
        <item m="1" x="41"/>
        <item m="1" x="887"/>
        <item m="1" x="58"/>
        <item m="1" x="507"/>
        <item m="1" x="156"/>
        <item m="1" x="871"/>
        <item m="1" x="948"/>
        <item m="1" x="576"/>
        <item m="1" x="861"/>
        <item m="1" x="937"/>
        <item m="1" x="533"/>
        <item m="1" x="848"/>
        <item m="1" x="183"/>
        <item m="1" x="807"/>
        <item m="1" x="51"/>
        <item m="1" x="634"/>
        <item m="1" x="323"/>
        <item m="1" x="391"/>
        <item m="1" x="943"/>
        <item m="1" x="788"/>
      </items>
    </pivotField>
    <pivotField dataField="1" compact="0" outline="0" subtotalTop="0" showAll="0" defaultSubtotal="0"/>
    <pivotField dataField="1" compact="0" outline="0" subtotalTop="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ubtotalTop="0" showAll="0" defaultSubtotal="0"/>
    <pivotField compact="0" outline="0" showAll="0" defaultSubtotal="0"/>
    <pivotField compact="0" outline="0" showAll="0" defaultSubtotal="0"/>
    <pivotField compact="0" outline="0" showAll="0" defaultSubtota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defaultSubtotal="0"/>
    <pivotField compact="0" numFmtId="9" outline="0" showAll="0"/>
    <pivotField compact="0" outline="0" showAll="0" defaultSubtotal="0"/>
    <pivotField compact="0" outline="0" showAll="0"/>
    <pivotField compact="0" numFmtId="1" outline="0" subtotalTop="0" showAll="0" defaultSubtotal="0"/>
    <pivotField compact="0" numFmtId="9" outline="0" showAll="0"/>
    <pivotField compact="0" outline="0" showAll="0" defaultSubtotal="0"/>
    <pivotField compact="0" outline="0" subtotalTop="0" showAll="0" defaultSubtotal="0"/>
    <pivotField dataField="1" compact="0" outline="0" subtotalTop="0" showAll="0" defaultSubtotal="0"/>
    <pivotField compact="0" outline="0" showAll="0" defaultSubtotal="0"/>
    <pivotField compact="0" numFmtId="1" outline="0" subtotalTop="0" showAll="0" defaultSubtotal="0"/>
    <pivotField compact="0" numFmtId="1" outline="0" subtotalTop="0" showAll="0" defaultSubtotal="0"/>
    <pivotField compact="0" numFmtId="9" outline="0" showAll="0"/>
    <pivotField compact="0" numFmtId="1" outline="0" showAll="0" defaultSubtotal="0"/>
    <pivotField compact="0" outline="0" showAll="0" defaultSubtotal="0"/>
    <pivotField compact="0" outline="0" subtotalTop="0" showAll="0" defaultSubtotal="0"/>
    <pivotField compact="0" outline="0" subtotalTop="0" showAll="0" defaultSubtotal="0"/>
    <pivotField dataField="1" compact="0" outline="0" subtotalTop="0" showAll="0" defaultSubtotal="0"/>
    <pivotField compact="0" numFmtId="9" outline="0" showAll="0" defaultSubtotal="0"/>
    <pivotField compact="0" numFmtId="1" outline="0" showAll="0" defaultSubtotal="0"/>
    <pivotField compact="0" numFmtId="1" outline="0" showAll="0" defaultSubtotal="0"/>
    <pivotField compact="0" numFmtId="1" outline="0" showAll="0" defaultSubtotal="0"/>
    <pivotField compact="0" numFmtId="1" outline="0" showAll="0" defaultSubtotal="0"/>
    <pivotField compact="0" numFmtId="1" outline="0" showAll="0" defaultSubtotal="0"/>
    <pivotField compact="0" numFmtId="9" outline="0" subtotalTop="0" showAll="0" defaultSubtotal="0"/>
    <pivotField dataField="1" compact="0" numFmtId="9" outline="0" subtotalTop="0" showAll="0" defaultSubtotal="0"/>
    <pivotField compact="0" numFmtId="9" outline="0" subtotalTop="0" showAll="0" defaultSubtotal="0"/>
    <pivotField compact="0" numFmtId="9" outline="0" subtotalTop="0" showAll="0" defaultSubtotal="0"/>
    <pivotField compact="0" outline="0" showAll="0"/>
    <pivotField compact="0" outline="0" showAll="0"/>
    <pivotField compact="0" outline="0" subtotalTop="0" showAll="0" defaultSubtotal="0"/>
    <pivotField compact="0" outline="0" subtotalTop="0" showAll="0" defaultSubtotal="0"/>
    <pivotField compact="0" outline="0" subtotalTop="0" showAll="0" defaultSubtotal="0"/>
    <pivotField axis="axisRow" compact="0" outline="0" subtotalTop="0" showAll="0" defaultSubtotal="0">
      <items count="5">
        <item m="1" x="4"/>
        <item x="1"/>
        <item x="0"/>
        <item x="3"/>
        <item x="2"/>
      </items>
    </pivotField>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items count="4">
        <item x="0"/>
        <item n="Gap" x="1"/>
        <item m="1" x="3"/>
        <item m="1" x="2"/>
      </items>
    </pivotField>
    <pivotField compact="0" outline="0" showAll="0"/>
    <pivotField compact="0" outline="0" showAll="0"/>
    <pivotField compact="0" outline="0" showAll="0"/>
    <pivotField compact="0" outline="0" subtotalTop="0" showAll="0" defaultSubtotal="0"/>
    <pivotField compact="0" outline="0" showAll="0"/>
    <pivotField compact="0" outline="0" showAll="0"/>
    <pivotField compact="0" outline="0" showAll="0"/>
    <pivotField compact="0" outline="0" dragToRow="0" dragToCol="0" dragToPage="0" showAll="0" defaultSubtotal="0"/>
    <pivotField compact="0" outline="0" dragToRow="0" dragToCol="0" dragToPage="0" showAll="0" defaultSubtotal="0"/>
    <pivotField compact="0" outline="0" dragToRow="0" dragToCol="0" dragToPage="0" showAll="0" defaultSubtotal="0"/>
    <pivotField compact="0" outline="0" dragToRow="0" dragToCol="0" dragToPage="0" showAll="0" defaultSubtotal="0"/>
    <pivotField compact="0" outline="0" dragToRow="0" dragToCol="0" dragToPage="0" showAll="0" defaultSubtotal="0"/>
    <pivotField compact="0" outline="0" dragToRow="0" dragToCol="0" dragToPage="0" showAll="0" defaultSubtotal="0"/>
    <pivotField compact="0" outline="0" dragToRow="0" dragToCol="0" dragToPage="0" showAll="0" defaultSubtotal="0"/>
  </pivotFields>
  <rowFields count="4">
    <field x="4"/>
    <field x="5"/>
    <field x="7"/>
    <field x="99"/>
  </rowFields>
  <rowItems count="26">
    <i>
      <x v="4"/>
      <x v="8"/>
      <x v="177"/>
      <x v="2"/>
    </i>
    <i r="1">
      <x v="9"/>
      <x v="344"/>
      <x v="3"/>
    </i>
    <i r="1">
      <x v="21"/>
      <x v="491"/>
      <x v="2"/>
    </i>
    <i r="1">
      <x v="26"/>
      <x v="21"/>
      <x v="2"/>
    </i>
    <i r="2">
      <x v="186"/>
      <x v="2"/>
    </i>
    <i r="2">
      <x v="339"/>
      <x v="4"/>
    </i>
    <i r="2">
      <x v="340"/>
      <x v="2"/>
    </i>
    <i r="2">
      <x v="460"/>
      <x v="2"/>
    </i>
    <i r="1">
      <x v="32"/>
      <x v="38"/>
      <x v="2"/>
    </i>
    <i r="2">
      <x v="41"/>
      <x v="2"/>
    </i>
    <i r="2">
      <x v="42"/>
      <x v="2"/>
    </i>
    <i r="2">
      <x v="69"/>
      <x v="2"/>
    </i>
    <i r="2">
      <x v="70"/>
      <x v="1"/>
    </i>
    <i r="2">
      <x v="270"/>
      <x v="2"/>
    </i>
    <i r="2">
      <x v="357"/>
      <x v="2"/>
    </i>
    <i r="2">
      <x v="359"/>
      <x v="2"/>
    </i>
    <i r="2">
      <x v="360"/>
      <x v="2"/>
    </i>
    <i r="2">
      <x v="428"/>
      <x v="2"/>
    </i>
    <i r="2">
      <x v="501"/>
      <x v="3"/>
    </i>
    <i r="2">
      <x v="519"/>
      <x v="2"/>
    </i>
    <i r="2">
      <x v="520"/>
      <x v="1"/>
    </i>
    <i r="2">
      <x v="724"/>
      <x v="2"/>
    </i>
    <i r="2">
      <x v="725"/>
      <x v="2"/>
    </i>
    <i r="2">
      <x v="726"/>
      <x v="2"/>
    </i>
    <i r="2">
      <x v="864"/>
      <x v="1"/>
    </i>
    <i t="default">
      <x v="4"/>
    </i>
  </rowItems>
  <colFields count="1">
    <field x="-2"/>
  </colFields>
  <colItems count="6">
    <i>
      <x/>
    </i>
    <i i="1">
      <x v="1"/>
    </i>
    <i i="2">
      <x v="2"/>
    </i>
    <i i="3">
      <x v="3"/>
    </i>
    <i i="4">
      <x v="4"/>
    </i>
    <i i="5">
      <x v="5"/>
    </i>
  </colItems>
  <pageFields count="1">
    <pageField fld="0" item="12" hier="-1"/>
  </pageFields>
  <dataFields count="6">
    <dataField name="Count of Site Name" fld="7" subtotal="count" baseField="0" baseItem="0"/>
    <dataField name="HHs" fld="8" baseField="0" baseItem="0" numFmtId="164"/>
    <dataField name="Pops" fld="9" baseField="0" baseItem="0" numFmtId="164"/>
    <dataField name="% WATER GAP" fld="74" subtotal="average" baseField="85" baseItem="1" numFmtId="9"/>
    <dataField name="% LATRINE GAP" fld="83" subtotal="average" baseField="85" baseItem="1" numFmtId="9"/>
    <dataField name="% HYGIENE GAP" fld="91" subtotal="average" baseField="85" baseItem="1" numFmtId="9"/>
  </dataFields>
  <formats count="60">
    <format dxfId="533">
      <pivotArea type="all" dataOnly="0" outline="0" fieldPosition="0"/>
    </format>
    <format dxfId="532">
      <pivotArea outline="0" collapsedLevelsAreSubtotals="1" fieldPosition="0"/>
    </format>
    <format dxfId="531">
      <pivotArea field="4" type="button" dataOnly="0" labelOnly="1" outline="0" axis="axisRow" fieldPosition="0"/>
    </format>
    <format dxfId="530">
      <pivotArea dataOnly="0" labelOnly="1" grandRow="1" outline="0" fieldPosition="0"/>
    </format>
    <format dxfId="529">
      <pivotArea type="all" dataOnly="0" outline="0" fieldPosition="0"/>
    </format>
    <format dxfId="528">
      <pivotArea dataOnly="0" labelOnly="1" grandRow="1" outline="0" fieldPosition="0"/>
    </format>
    <format dxfId="527">
      <pivotArea type="all" dataOnly="0" outline="0" fieldPosition="0"/>
    </format>
    <format dxfId="526">
      <pivotArea type="origin" dataOnly="0" labelOnly="1" outline="0" fieldPosition="0"/>
    </format>
    <format dxfId="525">
      <pivotArea field="104" type="button" dataOnly="0" labelOnly="1" outline="0"/>
    </format>
    <format dxfId="524">
      <pivotArea type="topRight" dataOnly="0" labelOnly="1" outline="0" fieldPosition="0"/>
    </format>
    <format dxfId="523">
      <pivotArea type="all" dataOnly="0" outline="0" fieldPosition="0"/>
    </format>
    <format dxfId="522">
      <pivotArea outline="0" collapsedLevelsAreSubtotals="1" fieldPosition="0"/>
    </format>
    <format dxfId="521">
      <pivotArea type="origin" dataOnly="0" labelOnly="1" outline="0" fieldPosition="0"/>
    </format>
    <format dxfId="520">
      <pivotArea field="104" type="button" dataOnly="0" labelOnly="1" outline="0"/>
    </format>
    <format dxfId="519">
      <pivotArea type="topRight" dataOnly="0" labelOnly="1" outline="0" fieldPosition="0"/>
    </format>
    <format dxfId="518">
      <pivotArea outline="0" fieldPosition="0">
        <references count="1">
          <reference field="4294967294" count="3" selected="0">
            <x v="3"/>
            <x v="4"/>
            <x v="5"/>
          </reference>
        </references>
      </pivotArea>
    </format>
    <format dxfId="517">
      <pivotArea outline="0" fieldPosition="0">
        <references count="1">
          <reference field="4294967294" count="2" selected="0">
            <x v="1"/>
            <x v="2"/>
          </reference>
        </references>
      </pivotArea>
    </format>
    <format dxfId="516">
      <pivotArea type="all" dataOnly="0" outline="0" fieldPosition="0"/>
    </format>
    <format dxfId="515">
      <pivotArea outline="0" collapsedLevelsAreSubtotals="1" fieldPosition="0"/>
    </format>
    <format dxfId="514">
      <pivotArea field="4" type="button" dataOnly="0" labelOnly="1" outline="0" axis="axisRow" fieldPosition="0"/>
    </format>
    <format dxfId="513">
      <pivotArea field="5" type="button" dataOnly="0" labelOnly="1" outline="0" axis="axisRow" fieldPosition="1"/>
    </format>
    <format dxfId="512">
      <pivotArea field="7" type="button" dataOnly="0" labelOnly="1" outline="0" axis="axisRow" fieldPosition="2"/>
    </format>
    <format dxfId="511">
      <pivotArea field="99" type="button" dataOnly="0" labelOnly="1" outline="0" axis="axisRow" fieldPosition="3"/>
    </format>
    <format dxfId="510">
      <pivotArea dataOnly="0" labelOnly="1" outline="0" fieldPosition="0">
        <references count="1">
          <reference field="4" count="0"/>
        </references>
      </pivotArea>
    </format>
    <format dxfId="509">
      <pivotArea dataOnly="0" labelOnly="1" outline="0" fieldPosition="0">
        <references count="1">
          <reference field="4" count="0" defaultSubtotal="1"/>
        </references>
      </pivotArea>
    </format>
    <format dxfId="508">
      <pivotArea dataOnly="0" labelOnly="1" outline="0" fieldPosition="0">
        <references count="2">
          <reference field="4" count="1" selected="0">
            <x v="0"/>
          </reference>
          <reference field="5" count="8">
            <x v="1"/>
            <x v="12"/>
            <x v="17"/>
            <x v="18"/>
            <x v="28"/>
            <x v="31"/>
            <x v="33"/>
            <x v="35"/>
          </reference>
        </references>
      </pivotArea>
    </format>
    <format dxfId="507">
      <pivotArea dataOnly="0" labelOnly="1" outline="0" fieldPosition="0">
        <references count="2">
          <reference field="4" count="1" selected="0">
            <x v="1"/>
          </reference>
          <reference field="5" count="7">
            <x v="8"/>
            <x v="9"/>
            <x v="15"/>
            <x v="19"/>
            <x v="27"/>
            <x v="30"/>
            <x v="32"/>
          </reference>
        </references>
      </pivotArea>
    </format>
    <format dxfId="506">
      <pivotArea dataOnly="0" labelOnly="1" outline="0" fieldPosition="0">
        <references count="2">
          <reference field="4" count="1" selected="0">
            <x v="2"/>
          </reference>
          <reference field="5" count="4">
            <x v="6"/>
            <x v="7"/>
            <x v="13"/>
            <x v="20"/>
          </reference>
        </references>
      </pivotArea>
    </format>
    <format dxfId="505">
      <pivotArea dataOnly="0" labelOnly="1" outline="0" fieldPosition="0">
        <references count="3">
          <reference field="4" count="1" selected="0">
            <x v="0"/>
          </reference>
          <reference field="5" count="1" selected="0">
            <x v="1"/>
          </reference>
          <reference field="7" count="1">
            <x v="47"/>
          </reference>
        </references>
      </pivotArea>
    </format>
    <format dxfId="504">
      <pivotArea dataOnly="0" labelOnly="1" outline="0" fieldPosition="0">
        <references count="3">
          <reference field="4" count="1" selected="0">
            <x v="0"/>
          </reference>
          <reference field="5" count="1" selected="0">
            <x v="12"/>
          </reference>
          <reference field="7" count="2">
            <x v="256"/>
            <x v="262"/>
          </reference>
        </references>
      </pivotArea>
    </format>
    <format dxfId="503">
      <pivotArea dataOnly="0" labelOnly="1" outline="0" fieldPosition="0">
        <references count="3">
          <reference field="4" count="1" selected="0">
            <x v="0"/>
          </reference>
          <reference field="5" count="1" selected="0">
            <x v="17"/>
          </reference>
          <reference field="7" count="2">
            <x v="110"/>
            <x v="282"/>
          </reference>
        </references>
      </pivotArea>
    </format>
    <format dxfId="502">
      <pivotArea dataOnly="0" labelOnly="1" outline="0" fieldPosition="0">
        <references count="3">
          <reference field="4" count="1" selected="0">
            <x v="0"/>
          </reference>
          <reference field="5" count="1" selected="0">
            <x v="18"/>
          </reference>
          <reference field="7" count="3">
            <x v="154"/>
            <x v="284"/>
            <x v="299"/>
          </reference>
        </references>
      </pivotArea>
    </format>
    <format dxfId="501">
      <pivotArea dataOnly="0" labelOnly="1" outline="0" fieldPosition="0">
        <references count="3">
          <reference field="4" count="1" selected="0">
            <x v="0"/>
          </reference>
          <reference field="5" count="1" selected="0">
            <x v="28"/>
          </reference>
          <reference field="7" count="2">
            <x v="125"/>
            <x v="529"/>
          </reference>
        </references>
      </pivotArea>
    </format>
    <format dxfId="500">
      <pivotArea dataOnly="0" labelOnly="1" outline="0" fieldPosition="0">
        <references count="3">
          <reference field="4" count="1" selected="0">
            <x v="0"/>
          </reference>
          <reference field="5" count="1" selected="0">
            <x v="31"/>
          </reference>
          <reference field="7" count="1">
            <x v="205"/>
          </reference>
        </references>
      </pivotArea>
    </format>
    <format dxfId="499">
      <pivotArea dataOnly="0" labelOnly="1" outline="0" fieldPosition="0">
        <references count="3">
          <reference field="4" count="1" selected="0">
            <x v="0"/>
          </reference>
          <reference field="5" count="1" selected="0">
            <x v="33"/>
          </reference>
          <reference field="7" count="1">
            <x v="466"/>
          </reference>
        </references>
      </pivotArea>
    </format>
    <format dxfId="498">
      <pivotArea dataOnly="0" labelOnly="1" outline="0" fieldPosition="0">
        <references count="3">
          <reference field="4" count="1" selected="0">
            <x v="0"/>
          </reference>
          <reference field="5" count="1" selected="0">
            <x v="35"/>
          </reference>
          <reference field="7" count="1">
            <x v="100"/>
          </reference>
        </references>
      </pivotArea>
    </format>
    <format dxfId="497">
      <pivotArea dataOnly="0" labelOnly="1" outline="0" fieldPosition="0">
        <references count="3">
          <reference field="4" count="1" selected="0">
            <x v="1"/>
          </reference>
          <reference field="5" count="1" selected="0">
            <x v="8"/>
          </reference>
          <reference field="7" count="1">
            <x v="132"/>
          </reference>
        </references>
      </pivotArea>
    </format>
    <format dxfId="496">
      <pivotArea dataOnly="0" labelOnly="1" outline="0" fieldPosition="0">
        <references count="3">
          <reference field="4" count="1" selected="0">
            <x v="1"/>
          </reference>
          <reference field="5" count="1" selected="0">
            <x v="9"/>
          </reference>
          <reference field="7" count="18">
            <x v="14"/>
            <x v="22"/>
            <x v="23"/>
            <x v="89"/>
            <x v="92"/>
            <x v="93"/>
            <x v="153"/>
            <x v="182"/>
            <x v="198"/>
            <x v="209"/>
            <x v="367"/>
            <x v="394"/>
            <x v="420"/>
            <x v="448"/>
            <x v="449"/>
            <x v="490"/>
            <x v="556"/>
            <x v="567"/>
          </reference>
        </references>
      </pivotArea>
    </format>
    <format dxfId="495">
      <pivotArea dataOnly="0" labelOnly="1" outline="0" fieldPosition="0">
        <references count="3">
          <reference field="4" count="1" selected="0">
            <x v="1"/>
          </reference>
          <reference field="5" count="1" selected="0">
            <x v="15"/>
          </reference>
          <reference field="7" count="8">
            <x v="54"/>
            <x v="57"/>
            <x v="134"/>
            <x v="137"/>
            <x v="418"/>
            <x v="450"/>
            <x v="453"/>
            <x v="494"/>
          </reference>
        </references>
      </pivotArea>
    </format>
    <format dxfId="494">
      <pivotArea dataOnly="0" labelOnly="1" outline="0" fieldPosition="0">
        <references count="3">
          <reference field="4" count="1" selected="0">
            <x v="1"/>
          </reference>
          <reference field="5" count="1" selected="0">
            <x v="19"/>
          </reference>
          <reference field="7" count="5">
            <x v="12"/>
            <x v="51"/>
            <x v="210"/>
            <x v="211"/>
            <x v="363"/>
          </reference>
        </references>
      </pivotArea>
    </format>
    <format dxfId="493">
      <pivotArea dataOnly="0" labelOnly="1" outline="0" fieldPosition="0">
        <references count="3">
          <reference field="4" count="1" selected="0">
            <x v="1"/>
          </reference>
          <reference field="5" count="1" selected="0">
            <x v="27"/>
          </reference>
          <reference field="7" count="14">
            <x v="72"/>
            <x v="144"/>
            <x v="195"/>
            <x v="265"/>
            <x v="298"/>
            <x v="379"/>
            <x v="397"/>
            <x v="471"/>
            <x v="472"/>
            <x v="483"/>
            <x v="506"/>
            <x v="531"/>
            <x v="552"/>
            <x v="554"/>
          </reference>
        </references>
      </pivotArea>
    </format>
    <format dxfId="492">
      <pivotArea dataOnly="0" labelOnly="1" outline="0" fieldPosition="0">
        <references count="3">
          <reference field="4" count="1" selected="0">
            <x v="1"/>
          </reference>
          <reference field="5" count="1" selected="0">
            <x v="30"/>
          </reference>
          <reference field="7" count="3">
            <x v="19"/>
            <x v="351"/>
            <x v="352"/>
          </reference>
        </references>
      </pivotArea>
    </format>
    <format dxfId="491">
      <pivotArea dataOnly="0" labelOnly="1" outline="0" fieldPosition="0">
        <references count="3">
          <reference field="4" count="1" selected="0">
            <x v="1"/>
          </reference>
          <reference field="5" count="1" selected="0">
            <x v="32"/>
          </reference>
          <reference field="7" count="7">
            <x v="13"/>
            <x v="40"/>
            <x v="43"/>
            <x v="71"/>
            <x v="189"/>
            <x v="383"/>
            <x v="512"/>
          </reference>
        </references>
      </pivotArea>
    </format>
    <format dxfId="490">
      <pivotArea dataOnly="0" labelOnly="1" outline="0" fieldPosition="0">
        <references count="3">
          <reference field="4" count="1" selected="0">
            <x v="2"/>
          </reference>
          <reference field="5" count="1" selected="0">
            <x v="6"/>
          </reference>
          <reference field="7" count="1">
            <x v="248"/>
          </reference>
        </references>
      </pivotArea>
    </format>
    <format dxfId="489">
      <pivotArea dataOnly="0" labelOnly="1" outline="0" fieldPosition="0">
        <references count="3">
          <reference field="4" count="1" selected="0">
            <x v="2"/>
          </reference>
          <reference field="5" count="1" selected="0">
            <x v="7"/>
          </reference>
          <reference field="7" count="1">
            <x v="372"/>
          </reference>
        </references>
      </pivotArea>
    </format>
    <format dxfId="488">
      <pivotArea dataOnly="0" labelOnly="1" outline="0" fieldPosition="0">
        <references count="3">
          <reference field="4" count="1" selected="0">
            <x v="2"/>
          </reference>
          <reference field="5" count="1" selected="0">
            <x v="13"/>
          </reference>
          <reference field="7" count="1">
            <x v="250"/>
          </reference>
        </references>
      </pivotArea>
    </format>
    <format dxfId="487">
      <pivotArea dataOnly="0" labelOnly="1" outline="0" fieldPosition="0">
        <references count="3">
          <reference field="4" count="1" selected="0">
            <x v="2"/>
          </reference>
          <reference field="5" count="1" selected="0">
            <x v="20"/>
          </reference>
          <reference field="7" count="1">
            <x v="111"/>
          </reference>
        </references>
      </pivotArea>
    </format>
    <format dxfId="486">
      <pivotArea dataOnly="0" labelOnly="1" outline="0" fieldPosition="0">
        <references count="4">
          <reference field="4" count="1" selected="0">
            <x v="0"/>
          </reference>
          <reference field="5" count="1" selected="0">
            <x v="1"/>
          </reference>
          <reference field="7" count="1" selected="0">
            <x v="47"/>
          </reference>
          <reference field="99" count="1">
            <x v="1"/>
          </reference>
        </references>
      </pivotArea>
    </format>
    <format dxfId="485">
      <pivotArea dataOnly="0" labelOnly="1" outline="0" fieldPosition="0">
        <references count="4">
          <reference field="4" count="1" selected="0">
            <x v="0"/>
          </reference>
          <reference field="5" count="1" selected="0">
            <x v="12"/>
          </reference>
          <reference field="7" count="1" selected="0">
            <x v="256"/>
          </reference>
          <reference field="99" count="1">
            <x v="1"/>
          </reference>
        </references>
      </pivotArea>
    </format>
    <format dxfId="484">
      <pivotArea dataOnly="0" labelOnly="1" outline="0" fieldPosition="0">
        <references count="4">
          <reference field="4" count="1" selected="0">
            <x v="0"/>
          </reference>
          <reference field="5" count="1" selected="0">
            <x v="12"/>
          </reference>
          <reference field="7" count="1" selected="0">
            <x v="262"/>
          </reference>
          <reference field="99" count="1">
            <x v="1"/>
          </reference>
        </references>
      </pivotArea>
    </format>
    <format dxfId="483">
      <pivotArea dataOnly="0" labelOnly="1" outline="0" fieldPosition="0">
        <references count="4">
          <reference field="4" count="1" selected="0">
            <x v="0"/>
          </reference>
          <reference field="5" count="1" selected="0">
            <x v="17"/>
          </reference>
          <reference field="7" count="1" selected="0">
            <x v="110"/>
          </reference>
          <reference field="99" count="1">
            <x v="1"/>
          </reference>
        </references>
      </pivotArea>
    </format>
    <format dxfId="482">
      <pivotArea dataOnly="0" labelOnly="1" outline="0" fieldPosition="0">
        <references count="4">
          <reference field="4" count="1" selected="0">
            <x v="0"/>
          </reference>
          <reference field="5" count="1" selected="0">
            <x v="17"/>
          </reference>
          <reference field="7" count="1" selected="0">
            <x v="282"/>
          </reference>
          <reference field="99" count="1">
            <x v="1"/>
          </reference>
        </references>
      </pivotArea>
    </format>
    <format dxfId="481">
      <pivotArea dataOnly="0" labelOnly="1" outline="0" fieldPosition="0">
        <references count="4">
          <reference field="4" count="1" selected="0">
            <x v="0"/>
          </reference>
          <reference field="5" count="1" selected="0">
            <x v="18"/>
          </reference>
          <reference field="7" count="1" selected="0">
            <x v="154"/>
          </reference>
          <reference field="99" count="1">
            <x v="1"/>
          </reference>
        </references>
      </pivotArea>
    </format>
    <format dxfId="480">
      <pivotArea dataOnly="0" labelOnly="1" outline="0" fieldPosition="0">
        <references count="4">
          <reference field="4" count="1" selected="0">
            <x v="0"/>
          </reference>
          <reference field="5" count="1" selected="0">
            <x v="18"/>
          </reference>
          <reference field="7" count="1" selected="0">
            <x v="284"/>
          </reference>
          <reference field="99" count="1">
            <x v="1"/>
          </reference>
        </references>
      </pivotArea>
    </format>
    <format dxfId="479">
      <pivotArea dataOnly="0" labelOnly="1" outline="0" fieldPosition="0">
        <references count="4">
          <reference field="4" count="1" selected="0">
            <x v="0"/>
          </reference>
          <reference field="5" count="1" selected="0">
            <x v="18"/>
          </reference>
          <reference field="7" count="1" selected="0">
            <x v="299"/>
          </reference>
          <reference field="99" count="1">
            <x v="1"/>
          </reference>
        </references>
      </pivotArea>
    </format>
    <format dxfId="478">
      <pivotArea dataOnly="0" labelOnly="1" outline="0" fieldPosition="0">
        <references count="4">
          <reference field="4" count="1" selected="0">
            <x v="0"/>
          </reference>
          <reference field="5" count="1" selected="0">
            <x v="28"/>
          </reference>
          <reference field="7" count="1" selected="0">
            <x v="125"/>
          </reference>
          <reference field="99" count="1">
            <x v="1"/>
          </reference>
        </references>
      </pivotArea>
    </format>
    <format dxfId="477">
      <pivotArea dataOnly="0" labelOnly="1" outline="0" fieldPosition="0">
        <references count="4">
          <reference field="4" count="1" selected="0">
            <x v="0"/>
          </reference>
          <reference field="5" count="1" selected="0">
            <x v="28"/>
          </reference>
          <reference field="7" count="1" selected="0">
            <x v="529"/>
          </reference>
          <reference field="99" count="1">
            <x v="1"/>
          </reference>
        </references>
      </pivotArea>
    </format>
    <format dxfId="476">
      <pivotArea dataOnly="0" labelOnly="1" outline="0" fieldPosition="0">
        <references count="4">
          <reference field="4" count="1" selected="0">
            <x v="0"/>
          </reference>
          <reference field="5" count="1" selected="0">
            <x v="31"/>
          </reference>
          <reference field="7" count="1" selected="0">
            <x v="205"/>
          </reference>
          <reference field="99" count="1">
            <x v="1"/>
          </reference>
        </references>
      </pivotArea>
    </format>
    <format dxfId="475">
      <pivotArea dataOnly="0" labelOnly="1" outline="0" fieldPosition="0">
        <references count="4">
          <reference field="4" count="1" selected="0">
            <x v="1"/>
          </reference>
          <reference field="5" count="1" selected="0">
            <x v="32"/>
          </reference>
          <reference field="7" count="1" selected="0">
            <x v="40"/>
          </reference>
          <reference field="99" count="1">
            <x v="1"/>
          </reference>
        </references>
      </pivotArea>
    </format>
    <format dxfId="474">
      <pivotArea dataOnly="0" labelOnly="1" outline="0" fieldPosition="0">
        <references count="1">
          <reference field="4294967294" count="5">
            <x v="1"/>
            <x v="2"/>
            <x v="3"/>
            <x v="4"/>
            <x v="5"/>
          </reference>
        </references>
      </pivotArea>
    </format>
  </formats>
  <pivotTableStyleInfo name="PivotStyleLight9" showRowHeaders="1" showColHeaders="1" showRowStripes="1" showColStripes="1"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3.xml><?xml version="1.0" encoding="utf-8"?>
<pivotTableDefinition xmlns="http://schemas.openxmlformats.org/spreadsheetml/2006/main" xmlns:mc="http://schemas.openxmlformats.org/markup-compatibility/2006" xmlns:xr="http://schemas.microsoft.com/office/spreadsheetml/2014/revision" mc:Ignorable="xr" xr:uid="{02813B09-63F0-41D4-AAF4-B06908E34287}" name="PivotTable1" cacheId="0" applyNumberFormats="0" applyBorderFormats="0" applyFontFormats="0" applyPatternFormats="0" applyAlignmentFormats="0" applyWidthHeightFormats="1" dataCaption="Values" updatedVersion="6" minRefreshableVersion="3" itemPrintTitles="1" createdVersion="6" indent="0" outline="1" outlineData="1" multipleFieldFilters="0">
  <location ref="B217:D218" firstHeaderRow="0" firstDataRow="1" firstDataCol="0" rowPageCount="2" colPageCount="1"/>
  <pivotFields count="119">
    <pivotField axis="axisPage" subtotalTop="0" multipleItemSelectionAllowed="1" showAll="0">
      <items count="15">
        <item h="1" m="1" x="12"/>
        <item m="1" x="5"/>
        <item m="1" x="13"/>
        <item h="1" m="1" x="7"/>
        <item m="1" x="4"/>
        <item h="1" m="1" x="3"/>
        <item h="1" m="1" x="11"/>
        <item h="1" m="1" x="8"/>
        <item h="1" m="1" x="9"/>
        <item m="1" x="10"/>
        <item m="1" x="6"/>
        <item h="1" x="0"/>
        <item x="2"/>
        <item h="1" x="1"/>
        <item t="default"/>
      </items>
    </pivotField>
    <pivotField showAll="0" defaultSubtotal="0"/>
    <pivotField showAll="0" defaultSubtotal="0"/>
    <pivotField subtotalTop="0" showAll="0"/>
    <pivotField subtotalTop="0" showAll="0">
      <items count="7">
        <item m="1" x="3"/>
        <item m="1" x="2"/>
        <item m="1" x="5"/>
        <item m="1" x="1"/>
        <item x="0"/>
        <item m="1" x="4"/>
        <item t="default"/>
      </items>
    </pivotField>
    <pivotField subtotalTop="0" showAll="0"/>
    <pivotField multipleItemSelectionAllowed="1" showAll="0" defaultSubtotal="0"/>
    <pivotField subtotalTop="0" showAll="0"/>
    <pivotField subtotalTop="0" showAll="0"/>
    <pivotField subtotalTop="0" showAll="0"/>
    <pivotField showAll="0" defaultSubtotal="0"/>
    <pivotField showAll="0" defaultSubtotal="0"/>
    <pivotField showAll="0" defaultSubtotal="0"/>
    <pivotField showAll="0" defaultSubtotal="0"/>
    <pivotField showAll="0" defaultSubtotal="0"/>
    <pivotField subtotalTop="0" showAll="0"/>
    <pivotField showAll="0" defaultSubtotal="0"/>
    <pivotField showAll="0" defaultSubtota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numFmtId="9" showAll="0"/>
    <pivotField showAll="0" defaultSubtotal="0"/>
    <pivotField showAll="0"/>
    <pivotField numFmtId="1" subtotalTop="0" showAll="0"/>
    <pivotField numFmtId="9" showAll="0"/>
    <pivotField showAll="0" defaultSubtotal="0"/>
    <pivotField subtotalTop="0" showAll="0"/>
    <pivotField subtotalTop="0" showAll="0"/>
    <pivotField showAll="0" defaultSubtotal="0"/>
    <pivotField numFmtId="1" subtotalTop="0" showAll="0"/>
    <pivotField numFmtId="1" subtotalTop="0" showAll="0"/>
    <pivotField numFmtId="9" showAll="0"/>
    <pivotField numFmtId="1" showAll="0" defaultSubtotal="0"/>
    <pivotField showAll="0" defaultSubtotal="0"/>
    <pivotField subtotalTop="0" showAll="0"/>
    <pivotField subtotalTop="0" showAll="0"/>
    <pivotField subtotalTop="0" showAll="0"/>
    <pivotField numFmtId="9" showAll="0" defaultSubtotal="0"/>
    <pivotField numFmtId="1" showAll="0" defaultSubtotal="0"/>
    <pivotField numFmtId="1" showAll="0" defaultSubtotal="0"/>
    <pivotField numFmtId="1" showAll="0" defaultSubtotal="0"/>
    <pivotField numFmtId="1" showAll="0" defaultSubtotal="0"/>
    <pivotField numFmtId="1" showAll="0" defaultSubtotal="0"/>
    <pivotField numFmtId="9" subtotalTop="0" showAll="0"/>
    <pivotField numFmtId="9" subtotalTop="0" showAll="0"/>
    <pivotField numFmtId="9" subtotalTop="0" showAll="0"/>
    <pivotField numFmtId="9" subtotalTop="0" showAll="0"/>
    <pivotField showAll="0"/>
    <pivotField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axis="axisPage" subtotalTop="0" showAll="0">
      <items count="5">
        <item x="0"/>
        <item x="1"/>
        <item m="1" x="3"/>
        <item m="1" x="2"/>
        <item t="default"/>
      </items>
    </pivotField>
    <pivotField showAll="0"/>
    <pivotField showAll="0"/>
    <pivotField showAll="0"/>
    <pivotField subtotalTop="0" showAll="0"/>
    <pivotField showAll="0"/>
    <pivotField showAll="0"/>
    <pivotField showAl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s>
  <rowItems count="1">
    <i/>
  </rowItems>
  <colFields count="1">
    <field x="-2"/>
  </colFields>
  <colItems count="3">
    <i>
      <x/>
    </i>
    <i i="1">
      <x v="1"/>
    </i>
    <i i="2">
      <x v="2"/>
    </i>
  </colItems>
  <pageFields count="2">
    <pageField fld="0" hier="-1"/>
    <pageField fld="104" item="0" hier="-1"/>
  </pageFields>
  <dataFields count="3">
    <dataField name="Average of %_of_women_and_girls_who_report_that_they_have_an_adequate_system_for_disposing_of_used_sanitary_pads" fld="51" subtotal="average" baseField="0" baseItem="1"/>
    <dataField name="Average of %_of_affected_people_who_report_handwashing_at_key_times" fld="52" subtotal="average" baseField="0" baseItem="1"/>
    <dataField name="Average of %_of_households_observed_with_a_place_to_WASH_hands_with_soap_present" fld="53" subtotal="average" baseField="0" baseItem="1"/>
  </dataFields>
  <formats count="10">
    <format dxfId="543">
      <pivotArea type="all" dataOnly="0" outline="0" fieldPosition="0"/>
    </format>
    <format dxfId="542">
      <pivotArea type="all" dataOnly="0" outline="0" fieldPosition="0"/>
    </format>
    <format dxfId="541">
      <pivotArea outline="0" collapsedLevelsAreSubtotals="1" fieldPosition="0"/>
    </format>
    <format dxfId="540">
      <pivotArea field="4" type="button" dataOnly="0" labelOnly="1" outline="0"/>
    </format>
    <format dxfId="539">
      <pivotArea dataOnly="0" labelOnly="1" grandRow="1" outline="0" fieldPosition="0"/>
    </format>
    <format dxfId="538">
      <pivotArea type="all" dataOnly="0" outline="0" fieldPosition="0"/>
    </format>
    <format dxfId="537">
      <pivotArea outline="0" collapsedLevelsAreSubtotals="1" fieldPosition="0"/>
    </format>
    <format dxfId="536">
      <pivotArea field="4" type="button" dataOnly="0" labelOnly="1" outline="0"/>
    </format>
    <format dxfId="535">
      <pivotArea dataOnly="0" labelOnly="1" grandRow="1" outline="0" fieldPosition="0"/>
    </format>
    <format dxfId="534">
      <pivotArea outline="0" collapsedLevelsAreSubtotals="1" fieldPosition="0"/>
    </format>
  </formats>
  <pivotTableStyleInfo name="PivotStyleLight14 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4.xml><?xml version="1.0" encoding="utf-8"?>
<pivotTableDefinition xmlns="http://schemas.openxmlformats.org/spreadsheetml/2006/main" xmlns:mc="http://schemas.openxmlformats.org/markup-compatibility/2006" xmlns:xr="http://schemas.microsoft.com/office/spreadsheetml/2014/revision" mc:Ignorable="xr" xr:uid="{BD7EE200-05BC-471C-927B-04032E06244F}" name="PivotTable15" cacheId="0" applyNumberFormats="0" applyBorderFormats="0" applyFontFormats="0" applyPatternFormats="0" applyAlignmentFormats="0" applyWidthHeightFormats="1" dataCaption="Values" updatedVersion="6" minRefreshableVersion="3" rowGrandTotals="0" colGrandTotals="0" itemPrintTitles="1" createdVersion="6" indent="0" outline="1" outlineData="1" multipleFieldFilters="0" chartFormat="8" rowHeaderCaption="State">
  <location ref="L345:M348" firstHeaderRow="1" firstDataRow="1" firstDataCol="1" rowPageCount="1" colPageCount="1"/>
  <pivotFields count="119">
    <pivotField axis="axisRow" subtotalTop="0" showAll="0">
      <items count="15">
        <item m="1" x="12"/>
        <item m="1" x="5"/>
        <item m="1" x="13"/>
        <item m="1" x="7"/>
        <item m="1" x="4"/>
        <item m="1" x="3"/>
        <item m="1" x="11"/>
        <item m="1" x="8"/>
        <item m="1" x="9"/>
        <item m="1" x="10"/>
        <item m="1" x="6"/>
        <item x="0"/>
        <item x="2"/>
        <item x="1"/>
        <item t="default"/>
      </items>
    </pivotField>
    <pivotField showAll="0" defaultSubtotal="0"/>
    <pivotField showAll="0" defaultSubtotal="0"/>
    <pivotField subtotalTop="0" showAll="0"/>
    <pivotField subtotalTop="0" multipleItemSelectionAllowed="1" showAll="0">
      <items count="7">
        <item m="1" x="3"/>
        <item m="1" x="2"/>
        <item m="1" x="5"/>
        <item h="1" m="1" x="1"/>
        <item x="0"/>
        <item m="1" x="4"/>
        <item t="default"/>
      </items>
    </pivotField>
    <pivotField subtotalTop="0" showAll="0"/>
    <pivotField showAll="0" defaultSubtotal="0"/>
    <pivotField subtotalTop="0" showAll="0"/>
    <pivotField subtotalTop="0" showAll="0"/>
    <pivotField subtotalTop="0" showAll="0"/>
    <pivotField showAll="0" defaultSubtotal="0"/>
    <pivotField showAll="0" defaultSubtotal="0"/>
    <pivotField showAll="0" defaultSubtotal="0"/>
    <pivotField showAll="0" defaultSubtotal="0"/>
    <pivotField showAll="0" defaultSubtotal="0"/>
    <pivotField subtotalTop="0" showAll="0"/>
    <pivotField showAll="0" defaultSubtotal="0"/>
    <pivotField showAll="0" defaultSubtota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defaultSubtotal="0"/>
    <pivotField numFmtId="9" showAll="0"/>
    <pivotField showAll="0" defaultSubtotal="0"/>
    <pivotField showAll="0"/>
    <pivotField numFmtId="1" subtotalTop="0" showAll="0"/>
    <pivotField numFmtId="9" showAll="0"/>
    <pivotField showAll="0" defaultSubtotal="0"/>
    <pivotField subtotalTop="0" showAll="0"/>
    <pivotField subtotalTop="0" showAll="0"/>
    <pivotField showAll="0" defaultSubtotal="0"/>
    <pivotField numFmtId="1" subtotalTop="0" showAll="0"/>
    <pivotField numFmtId="1" subtotalTop="0" showAll="0"/>
    <pivotField numFmtId="9" showAll="0"/>
    <pivotField numFmtId="1" showAll="0" defaultSubtotal="0"/>
    <pivotField showAll="0" defaultSubtotal="0"/>
    <pivotField subtotalTop="0" showAll="0"/>
    <pivotField subtotalTop="0" showAll="0"/>
    <pivotField subtotalTop="0" showAll="0"/>
    <pivotField numFmtId="9" showAll="0" defaultSubtotal="0"/>
    <pivotField numFmtId="1" showAll="0" defaultSubtotal="0"/>
    <pivotField numFmtId="1" showAll="0" defaultSubtotal="0"/>
    <pivotField numFmtId="1" showAll="0" defaultSubtotal="0"/>
    <pivotField numFmtId="1" showAll="0" defaultSubtotal="0"/>
    <pivotField numFmtId="1" showAll="0" defaultSubtotal="0"/>
    <pivotField numFmtId="9" subtotalTop="0" showAll="0"/>
    <pivotField numFmtId="9" subtotalTop="0" showAll="0"/>
    <pivotField numFmtId="9" subtotalTop="0" showAll="0"/>
    <pivotField numFmtId="9" subtotalTop="0" showAll="0"/>
    <pivotField showAll="0"/>
    <pivotField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axis="axisPage" subtotalTop="0" multipleItemSelectionAllowed="1" showAll="0">
      <items count="5">
        <item x="0"/>
        <item n="Gap" h="1" x="1"/>
        <item h="1" m="1" x="3"/>
        <item h="1" m="1" x="2"/>
        <item t="default"/>
      </items>
    </pivotField>
    <pivotField showAll="0"/>
    <pivotField showAll="0"/>
    <pivotField showAll="0"/>
    <pivotField subtotalTop="0" showAll="0"/>
    <pivotField showAll="0"/>
    <pivotField showAll="0"/>
    <pivotField showAl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s>
  <rowFields count="1">
    <field x="0"/>
  </rowFields>
  <rowItems count="3">
    <i>
      <x v="11"/>
    </i>
    <i>
      <x v="12"/>
    </i>
    <i>
      <x v="13"/>
    </i>
  </rowItems>
  <colItems count="1">
    <i/>
  </colItems>
  <pageFields count="1">
    <pageField fld="104" hier="-1"/>
  </pageFields>
  <dataFields count="1">
    <dataField name="Sum of %_of_TLS/CFS_with_a_designated_place_for_children_to_wash_hands_where_soap_is_available" fld="54" baseField="0" baseItem="0"/>
  </dataFields>
  <formats count="17">
    <format dxfId="560">
      <pivotArea type="all" dataOnly="0" outline="0" fieldPosition="0"/>
    </format>
    <format dxfId="559">
      <pivotArea outline="0" collapsedLevelsAreSubtotals="1" fieldPosition="0"/>
    </format>
    <format dxfId="558">
      <pivotArea field="4" type="button" dataOnly="0" labelOnly="1" outline="0"/>
    </format>
    <format dxfId="557">
      <pivotArea dataOnly="0" labelOnly="1" grandRow="1" outline="0" fieldPosition="0"/>
    </format>
    <format dxfId="556">
      <pivotArea type="all" dataOnly="0" outline="0" fieldPosition="0"/>
    </format>
    <format dxfId="555">
      <pivotArea outline="0" collapsedLevelsAreSubtotals="1" fieldPosition="0"/>
    </format>
    <format dxfId="554">
      <pivotArea type="origin" dataOnly="0" labelOnly="1" outline="0" fieldPosition="0"/>
    </format>
    <format dxfId="553">
      <pivotArea field="104" type="button" dataOnly="0" labelOnly="1" outline="0" axis="axisPage" fieldPosition="0"/>
    </format>
    <format dxfId="552">
      <pivotArea type="topRight" dataOnly="0" labelOnly="1" outline="0" fieldPosition="0"/>
    </format>
    <format dxfId="551">
      <pivotArea dataOnly="0" labelOnly="1" fieldPosition="0">
        <references count="1">
          <reference field="104" count="0"/>
        </references>
      </pivotArea>
    </format>
    <format dxfId="550">
      <pivotArea type="all" dataOnly="0" outline="0" fieldPosition="0"/>
    </format>
    <format dxfId="549">
      <pivotArea outline="0" collapsedLevelsAreSubtotals="1" fieldPosition="0"/>
    </format>
    <format dxfId="548">
      <pivotArea field="4" type="button" dataOnly="0" labelOnly="1" outline="0"/>
    </format>
    <format dxfId="547">
      <pivotArea field="4" type="button" dataOnly="0" labelOnly="1" outline="0"/>
    </format>
    <format dxfId="546">
      <pivotArea field="4" type="button" dataOnly="0" labelOnly="1" outline="0"/>
    </format>
    <format dxfId="545">
      <pivotArea field="4" type="button" dataOnly="0" labelOnly="1" outline="0"/>
    </format>
    <format dxfId="544">
      <pivotArea outline="0" collapsedLevelsAreSubtotals="1" fieldPosition="0"/>
    </format>
  </formats>
  <pivotTableStyleInfo name="PivotStyleMedium25"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5.xml><?xml version="1.0" encoding="utf-8"?>
<pivotTableDefinition xmlns="http://schemas.openxmlformats.org/spreadsheetml/2006/main" xmlns:mc="http://schemas.openxmlformats.org/markup-compatibility/2006" xmlns:xr="http://schemas.microsoft.com/office/spreadsheetml/2014/revision" mc:Ignorable="xr" xr:uid="{00000000-0007-0000-0800-000022000000}" name="W_R_C_G_C" cacheId="0" applyNumberFormats="0" applyBorderFormats="0" applyFontFormats="0" applyPatternFormats="0" applyAlignmentFormats="0" applyWidthHeightFormats="1" dataCaption="Values" updatedVersion="6" minRefreshableVersion="3" rowGrandTotals="0" colGrandTotals="0" itemPrintTitles="1" createdVersion="6" indent="0" outline="1" outlineData="1" multipleFieldFilters="0" chartFormat="39" rowHeaderCaption="State" colHeaderCaption=" ">
  <location ref="B78:D82" firstHeaderRow="0" firstDataRow="1" firstDataCol="1" rowPageCount="3" colPageCount="1"/>
  <pivotFields count="119">
    <pivotField axis="axisPage" subtotalTop="0" multipleItemSelectionAllowed="1" showAll="0">
      <items count="15">
        <item m="1" x="12"/>
        <item m="1" x="5"/>
        <item h="1" m="1" x="7"/>
        <item h="1" m="1" x="3"/>
        <item m="1" x="13"/>
        <item m="1" x="4"/>
        <item h="1" m="1" x="11"/>
        <item h="1" m="1" x="8"/>
        <item h="1" m="1" x="9"/>
        <item m="1" x="10"/>
        <item m="1" x="6"/>
        <item h="1" x="0"/>
        <item x="2"/>
        <item h="1" x="1"/>
        <item t="default"/>
      </items>
    </pivotField>
    <pivotField showAll="0" defaultSubtotal="0"/>
    <pivotField showAll="0" defaultSubtotal="0"/>
    <pivotField subtotalTop="0" showAll="0"/>
    <pivotField axis="axisPage" subtotalTop="0" multipleItemSelectionAllowed="1" showAll="0">
      <items count="7">
        <item h="1" m="1" x="3"/>
        <item m="1" x="2"/>
        <item h="1" m="1" x="5"/>
        <item m="1" x="1"/>
        <item x="0"/>
        <item m="1" x="4"/>
        <item t="default"/>
      </items>
    </pivotField>
    <pivotField axis="axisRow" subtotalTop="0" showAll="0">
      <items count="42">
        <item m="1" x="13"/>
        <item m="1" x="16"/>
        <item m="1" x="36"/>
        <item m="1" x="30"/>
        <item m="1" x="25"/>
        <item m="1" x="29"/>
        <item m="1" x="22"/>
        <item m="1" x="7"/>
        <item x="2"/>
        <item x="3"/>
        <item m="1" x="12"/>
        <item m="1" x="33"/>
        <item m="1" x="9"/>
        <item m="1" x="15"/>
        <item m="1" x="26"/>
        <item m="1" x="11"/>
        <item m="1" x="20"/>
        <item m="1" x="31"/>
        <item m="1" x="23"/>
        <item m="1" x="35"/>
        <item m="1" x="14"/>
        <item x="4"/>
        <item m="1" x="24"/>
        <item m="1" x="17"/>
        <item m="1" x="21"/>
        <item m="1" x="27"/>
        <item m="1" x="10"/>
        <item x="0"/>
        <item m="1" x="28"/>
        <item m="1" x="18"/>
        <item m="1" x="38"/>
        <item m="1" x="32"/>
        <item m="1" x="39"/>
        <item x="1"/>
        <item m="1" x="40"/>
        <item m="1" x="37"/>
        <item m="1" x="34"/>
        <item m="1" x="6"/>
        <item m="1" x="8"/>
        <item m="1" x="5"/>
        <item m="1" x="19"/>
        <item t="default"/>
      </items>
    </pivotField>
    <pivotField multipleItemSelectionAllowed="1" showAll="0" defaultSubtotal="0"/>
    <pivotField subtotalTop="0" showAll="0"/>
    <pivotField subtotalTop="0" showAll="0"/>
    <pivotField subtotalTop="0" showAll="0"/>
    <pivotField showAll="0" defaultSubtotal="0"/>
    <pivotField showAll="0" defaultSubtotal="0"/>
    <pivotField showAll="0" defaultSubtotal="0"/>
    <pivotField showAll="0" defaultSubtotal="0"/>
    <pivotField showAll="0" defaultSubtotal="0"/>
    <pivotField subtotalTop="0" showAll="0"/>
    <pivotField showAll="0" defaultSubtotal="0"/>
    <pivotField showAll="0" defaultSubtota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numFmtId="9" showAll="0"/>
    <pivotField showAll="0" defaultSubtotal="0"/>
    <pivotField showAll="0"/>
    <pivotField subtotalTop="0" showAll="0"/>
    <pivotField numFmtId="9" showAll="0"/>
    <pivotField showAll="0" defaultSubtotal="0"/>
    <pivotField subtotalTop="0" showAll="0"/>
    <pivotField numFmtId="9" subtotalTop="0" showAll="0"/>
    <pivotField showAll="0" defaultSubtotal="0"/>
    <pivotField subtotalTop="0" showAll="0"/>
    <pivotField subtotalTop="0" showAll="0"/>
    <pivotField numFmtId="9" showAll="0"/>
    <pivotField numFmtId="1" showAll="0" defaultSubtotal="0"/>
    <pivotField showAll="0" defaultSubtotal="0"/>
    <pivotField subtotalTop="0" showAll="0"/>
    <pivotField numFmtId="1" subtotalTop="0" showAll="0"/>
    <pivotField numFmtId="9" subtotalTop="0" showAll="0"/>
    <pivotField numFmtId="9" showAll="0" defaultSubtotal="0"/>
    <pivotField numFmtId="1" showAll="0" defaultSubtotal="0"/>
    <pivotField numFmtId="1" showAll="0" defaultSubtotal="0"/>
    <pivotField numFmtId="1" showAll="0" defaultSubtotal="0"/>
    <pivotField numFmtId="1" showAll="0" defaultSubtotal="0"/>
    <pivotField numFmtId="1" showAll="0" defaultSubtotal="0"/>
    <pivotField numFmtId="9" subtotalTop="0" showAll="0"/>
    <pivotField subtotalTop="0" showAll="0"/>
    <pivotField subtotalTop="0" showAll="0"/>
    <pivotField numFmtId="9" subtotalTop="0" showAll="0"/>
    <pivotField showAll="0"/>
    <pivotField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axis="axisPage" subtotalTop="0" showAll="0">
      <items count="5">
        <item x="0"/>
        <item x="1"/>
        <item m="1" x="3"/>
        <item m="1" x="2"/>
        <item t="default"/>
      </items>
    </pivotField>
    <pivotField showAll="0"/>
    <pivotField showAll="0"/>
    <pivotField showAll="0"/>
    <pivotField subtotalTop="0" showAll="0"/>
    <pivotField showAll="0"/>
    <pivotField showAll="0"/>
    <pivotField showAll="0"/>
    <pivotField dragToRow="0" dragToCol="0" dragToPage="0" showAll="0" defaultSubtotal="0"/>
    <pivotField dragToRow="0" dragToCol="0" dragToPage="0" showAll="0" defaultSubtotal="0"/>
    <pivotField dataField="1" dragToRow="0" dragToCol="0" dragToPage="0" showAll="0" defaultSubtotal="0"/>
    <pivotField dataField="1"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s>
  <rowFields count="1">
    <field x="5"/>
  </rowFields>
  <rowItems count="4">
    <i>
      <x v="8"/>
    </i>
    <i>
      <x v="21"/>
    </i>
    <i>
      <x v="27"/>
    </i>
    <i>
      <x v="33"/>
    </i>
  </rowItems>
  <colFields count="1">
    <field x="-2"/>
  </colFields>
  <colItems count="2">
    <i>
      <x/>
    </i>
    <i i="1">
      <x v="1"/>
    </i>
  </colItems>
  <pageFields count="3">
    <pageField fld="0" hier="-1"/>
    <pageField fld="104" item="0" hier="-1"/>
    <pageField fld="4" hier="-1"/>
  </pageFields>
  <dataFields count="2">
    <dataField name=" % Water Coverage" fld="114" baseField="0" baseItem="0"/>
    <dataField name=" % Water GAP" fld="115" baseField="0" baseItem="0"/>
  </dataFields>
  <formats count="13">
    <format dxfId="573">
      <pivotArea field="4" type="button" dataOnly="0" labelOnly="1" outline="0" axis="axisPage" fieldPosition="2"/>
    </format>
    <format dxfId="572">
      <pivotArea type="all" dataOnly="0" outline="0" fieldPosition="0"/>
    </format>
    <format dxfId="571">
      <pivotArea outline="0" collapsedLevelsAreSubtotals="1" fieldPosition="0"/>
    </format>
    <format dxfId="570">
      <pivotArea field="4" type="button" dataOnly="0" labelOnly="1" outline="0" axis="axisPage" fieldPosition="2"/>
    </format>
    <format dxfId="569">
      <pivotArea type="all" dataOnly="0" outline="0" fieldPosition="0"/>
    </format>
    <format dxfId="568">
      <pivotArea outline="0" collapsedLevelsAreSubtotals="1" fieldPosition="0"/>
    </format>
    <format dxfId="567">
      <pivotArea outline="0" collapsedLevelsAreSubtotals="1" fieldPosition="0"/>
    </format>
    <format dxfId="566">
      <pivotArea field="5" type="button" dataOnly="0" labelOnly="1" outline="0" axis="axisRow" fieldPosition="0"/>
    </format>
    <format dxfId="565">
      <pivotArea field="5" type="button" dataOnly="0" labelOnly="1" outline="0" axis="axisRow" fieldPosition="0"/>
    </format>
    <format dxfId="564">
      <pivotArea field="5" type="button" dataOnly="0" labelOnly="1" outline="0" axis="axisRow" fieldPosition="0"/>
    </format>
    <format dxfId="563">
      <pivotArea field="4" type="button" dataOnly="0" labelOnly="1" outline="0" axis="axisPage" fieldPosition="2"/>
    </format>
    <format dxfId="562">
      <pivotArea dataOnly="0" labelOnly="1" outline="0" fieldPosition="0">
        <references count="2">
          <reference field="4" count="1">
            <x v="1"/>
          </reference>
          <reference field="104" count="1" selected="0">
            <x v="0"/>
          </reference>
        </references>
      </pivotArea>
    </format>
    <format dxfId="561">
      <pivotArea dataOnly="0" labelOnly="1" outline="0" fieldPosition="0">
        <references count="2">
          <reference field="4" count="1">
            <x v="2"/>
          </reference>
          <reference field="104" count="1" selected="0">
            <x v="0"/>
          </reference>
        </references>
      </pivotArea>
    </format>
  </formats>
  <chartFormats count="2">
    <chartFormat chart="33" format="4" series="1">
      <pivotArea type="data" outline="0" fieldPosition="0">
        <references count="1">
          <reference field="4294967294" count="1" selected="0">
            <x v="0"/>
          </reference>
        </references>
      </pivotArea>
    </chartFormat>
    <chartFormat chart="33" format="5" series="1">
      <pivotArea type="data" outline="0" fieldPosition="0">
        <references count="1">
          <reference field="4294967294" count="1" selected="0">
            <x v="1"/>
          </reference>
        </references>
      </pivotArea>
    </chartFormat>
  </chartFormats>
  <pivotTableStyleInfo name="PivotStyleMedium9" showRowHeaders="1" showColHeaders="1" showRowStripes="1" showColStripes="1"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6.xml><?xml version="1.0" encoding="utf-8"?>
<pivotTableDefinition xmlns="http://schemas.openxmlformats.org/spreadsheetml/2006/main" xmlns:mc="http://schemas.openxmlformats.org/markup-compatibility/2006" xmlns:xr="http://schemas.microsoft.com/office/spreadsheetml/2014/revision" mc:Ignorable="xr" xr:uid="{00000000-0007-0000-0800-00001D000000}" name="S_SWM" cacheId="0" applyNumberFormats="0" applyBorderFormats="0" applyFontFormats="0" applyPatternFormats="0" applyAlignmentFormats="0" applyWidthHeightFormats="1" dataCaption="Values" updatedVersion="6" minRefreshableVersion="3" rowGrandTotals="0" colGrandTotals="0" itemPrintTitles="1" createdVersion="6" indent="0" outline="1" outlineData="1" multipleFieldFilters="0" rowHeaderCaption="State">
  <location ref="B142:D144" firstHeaderRow="1" firstDataRow="2" firstDataCol="1" rowPageCount="3" colPageCount="1"/>
  <pivotFields count="119">
    <pivotField axis="axisPage" subtotalTop="0" multipleItemSelectionAllowed="1" showAll="0">
      <items count="15">
        <item m="1" x="12"/>
        <item m="1" x="5"/>
        <item m="1" x="13"/>
        <item h="1" m="1" x="7"/>
        <item m="1" x="4"/>
        <item h="1" m="1" x="3"/>
        <item h="1" m="1" x="11"/>
        <item h="1" m="1" x="8"/>
        <item h="1" m="1" x="9"/>
        <item m="1" x="10"/>
        <item m="1" x="6"/>
        <item h="1" x="0"/>
        <item x="2"/>
        <item h="1" x="1"/>
        <item t="default"/>
      </items>
    </pivotField>
    <pivotField showAll="0" defaultSubtotal="0"/>
    <pivotField showAll="0" defaultSubtotal="0"/>
    <pivotField subtotalTop="0" showAll="0"/>
    <pivotField axis="axisRow" subtotalTop="0" showAll="0">
      <items count="7">
        <item m="1" x="3"/>
        <item m="1" x="2"/>
        <item m="1" x="5"/>
        <item h="1" m="1" x="1"/>
        <item x="0"/>
        <item m="1" x="4"/>
        <item t="default"/>
      </items>
    </pivotField>
    <pivotField subtotalTop="0" showAll="0"/>
    <pivotField axis="axisPage" multipleItemSelectionAllowed="1" showAll="0" defaultSubtotal="0">
      <items count="10">
        <item x="0"/>
        <item m="1" x="2"/>
        <item m="1" x="8"/>
        <item h="1" m="1" x="9"/>
        <item m="1" x="7"/>
        <item m="1" x="1"/>
        <item h="1" m="1" x="4"/>
        <item m="1" x="3"/>
        <item h="1" m="1" x="5"/>
        <item m="1" x="6"/>
      </items>
    </pivotField>
    <pivotField subtotalTop="0" showAll="0"/>
    <pivotField subtotalTop="0" showAll="0"/>
    <pivotField subtotalTop="0" showAll="0"/>
    <pivotField showAll="0" defaultSubtotal="0"/>
    <pivotField showAll="0" defaultSubtotal="0"/>
    <pivotField showAll="0" defaultSubtotal="0"/>
    <pivotField showAll="0" defaultSubtotal="0"/>
    <pivotField showAll="0" defaultSubtotal="0"/>
    <pivotField subtotalTop="0" showAll="0"/>
    <pivotField showAll="0" defaultSubtotal="0"/>
    <pivotField showAll="0" defaultSubtota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dataField="1" showAll="0" sortType="descending">
      <items count="4">
        <item m="1" x="2"/>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numFmtId="9" showAll="0"/>
    <pivotField showAll="0" defaultSubtotal="0"/>
    <pivotField showAll="0"/>
    <pivotField subtotalTop="0" showAll="0"/>
    <pivotField numFmtId="9" showAll="0"/>
    <pivotField showAll="0" defaultSubtotal="0"/>
    <pivotField subtotalTop="0" showAll="0"/>
    <pivotField subtotalTop="0" showAll="0"/>
    <pivotField showAll="0" defaultSubtotal="0"/>
    <pivotField subtotalTop="0" showAll="0"/>
    <pivotField subtotalTop="0" showAll="0"/>
    <pivotField numFmtId="9" showAll="0"/>
    <pivotField numFmtId="1" showAll="0" defaultSubtotal="0"/>
    <pivotField showAll="0" defaultSubtotal="0"/>
    <pivotField subtotalTop="0" showAll="0"/>
    <pivotField subtotalTop="0" showAll="0"/>
    <pivotField subtotalTop="0" showAll="0"/>
    <pivotField numFmtId="9" showAll="0" defaultSubtotal="0"/>
    <pivotField numFmtId="1" showAll="0" defaultSubtotal="0"/>
    <pivotField numFmtId="1" showAll="0" defaultSubtotal="0"/>
    <pivotField numFmtId="1" showAll="0" defaultSubtotal="0"/>
    <pivotField numFmtId="1" showAll="0" defaultSubtotal="0"/>
    <pivotField numFmtId="1" showAll="0" defaultSubtotal="0"/>
    <pivotField subtotalTop="0" showAll="0"/>
    <pivotField subtotalTop="0" showAll="0"/>
    <pivotField subtotalTop="0" showAll="0"/>
    <pivotField subtotalTop="0" showAll="0"/>
    <pivotField showAll="0"/>
    <pivotField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axis="axisPage" subtotalTop="0" showAll="0">
      <items count="5">
        <item x="0"/>
        <item x="1"/>
        <item m="1" x="3"/>
        <item m="1" x="2"/>
        <item t="default"/>
      </items>
    </pivotField>
    <pivotField showAll="0"/>
    <pivotField showAll="0"/>
    <pivotField showAll="0"/>
    <pivotField subtotalTop="0" showAll="0"/>
    <pivotField showAll="0"/>
    <pivotField showAll="0"/>
    <pivotField showAl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s>
  <rowFields count="1">
    <field x="4"/>
  </rowFields>
  <rowItems count="1">
    <i>
      <x v="4"/>
    </i>
  </rowItems>
  <colFields count="1">
    <field x="43"/>
  </colFields>
  <colItems count="2">
    <i>
      <x v="1"/>
    </i>
    <i>
      <x v="2"/>
    </i>
  </colItems>
  <pageFields count="3">
    <pageField fld="0" hier="-1"/>
    <pageField fld="104" item="0" hier="-1"/>
    <pageField fld="6" hier="-1"/>
  </pageFields>
  <dataFields count="1">
    <dataField name="Count of Is_there_an_effective_solid_waste_management_system_in_place?" fld="43" subtotal="count" baseField="0" baseItem="0"/>
  </dataFields>
  <formats count="9">
    <format dxfId="582">
      <pivotArea type="all" dataOnly="0" outline="0" fieldPosition="0"/>
    </format>
    <format dxfId="581">
      <pivotArea outline="0" collapsedLevelsAreSubtotals="1" fieldPosition="0"/>
    </format>
    <format dxfId="580">
      <pivotArea type="origin" dataOnly="0" labelOnly="1" outline="0" fieldPosition="0"/>
    </format>
    <format dxfId="579">
      <pivotArea type="topRight" dataOnly="0" labelOnly="1" outline="0" fieldPosition="0"/>
    </format>
    <format dxfId="578">
      <pivotArea field="4" type="button" dataOnly="0" labelOnly="1" outline="0" axis="axisRow" fieldPosition="0"/>
    </format>
    <format dxfId="577">
      <pivotArea dataOnly="0" labelOnly="1" grandRow="1" outline="0" fieldPosition="0"/>
    </format>
    <format dxfId="576">
      <pivotArea dataOnly="0" labelOnly="1" grandCol="1" outline="0" fieldPosition="0"/>
    </format>
    <format dxfId="575">
      <pivotArea type="all" dataOnly="0" outline="0" fieldPosition="0"/>
    </format>
    <format dxfId="574">
      <pivotArea outline="0" collapsedLevelsAreSubtotals="1" fieldPosition="0"/>
    </format>
  </formats>
  <pivotTableStyleInfo name="PivotStyleMedium3" showRowHeaders="1" showColHeaders="1" showRowStripes="1" showColStripes="1"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7.xml><?xml version="1.0" encoding="utf-8"?>
<pivotTableDefinition xmlns="http://schemas.openxmlformats.org/spreadsheetml/2006/main" xmlns:mc="http://schemas.openxmlformats.org/markup-compatibility/2006" xmlns:xr="http://schemas.microsoft.com/office/spreadsheetml/2014/revision" mc:Ignorable="xr" xr:uid="{AE394791-806A-4671-9D12-EDFF0A369824}" name="PivotTable12" cacheId="0" dataOnRows="1" applyNumberFormats="0" applyBorderFormats="0" applyFontFormats="0" applyPatternFormats="0" applyAlignmentFormats="0" applyWidthHeightFormats="1" dataCaption="Values" updatedVersion="6" minRefreshableVersion="3" rowGrandTotals="0" colGrandTotals="0" itemPrintTitles="1" createdVersion="6" indent="0" outline="1" outlineData="1" multipleFieldFilters="0" chartFormat="8" rowHeaderCaption="State">
  <location ref="M362:P367" firstHeaderRow="1" firstDataRow="2" firstDataCol="1" rowPageCount="1" colPageCount="1"/>
  <pivotFields count="119">
    <pivotField axis="axisCol" subtotalTop="0" showAll="0" sortType="ascending">
      <items count="15">
        <item m="1" x="11"/>
        <item m="1" x="12"/>
        <item m="1" x="5"/>
        <item m="1" x="13"/>
        <item m="1" x="7"/>
        <item m="1" x="8"/>
        <item m="1" x="9"/>
        <item m="1" x="10"/>
        <item m="1" x="4"/>
        <item m="1" x="6"/>
        <item x="0"/>
        <item x="1"/>
        <item x="2"/>
        <item m="1" x="3"/>
        <item t="default"/>
      </items>
    </pivotField>
    <pivotField showAll="0" defaultSubtotal="0"/>
    <pivotField showAll="0" defaultSubtotal="0"/>
    <pivotField subtotalTop="0" showAll="0"/>
    <pivotField subtotalTop="0" multipleItemSelectionAllowed="1" showAll="0">
      <items count="7">
        <item m="1" x="3"/>
        <item m="1" x="2"/>
        <item m="1" x="5"/>
        <item h="1" m="1" x="1"/>
        <item x="0"/>
        <item m="1" x="4"/>
        <item t="default"/>
      </items>
    </pivotField>
    <pivotField subtotalTop="0" showAll="0"/>
    <pivotField showAll="0" defaultSubtotal="0"/>
    <pivotField subtotalTop="0" showAll="0"/>
    <pivotField subtotalTop="0" showAll="0"/>
    <pivotField subtotalTop="0" showAll="0"/>
    <pivotField showAll="0" defaultSubtotal="0"/>
    <pivotField showAll="0" defaultSubtotal="0"/>
    <pivotField showAll="0" defaultSubtotal="0"/>
    <pivotField showAll="0" defaultSubtotal="0"/>
    <pivotField showAll="0" defaultSubtotal="0"/>
    <pivotField subtotalTop="0" showAll="0"/>
    <pivotField showAll="0" defaultSubtotal="0"/>
    <pivotField showAll="0" defaultSubtota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showAll="0"/>
    <pivotField dataField="1" showAll="0"/>
    <pivotField showAll="0"/>
    <pivotField showAll="0"/>
    <pivotField showAll="0"/>
    <pivotField showAll="0"/>
    <pivotField showAll="0"/>
    <pivotField showAll="0"/>
    <pivotField showAll="0" defaultSubtotal="0"/>
    <pivotField numFmtId="9" showAll="0"/>
    <pivotField showAll="0" defaultSubtotal="0"/>
    <pivotField showAll="0"/>
    <pivotField numFmtId="1" subtotalTop="0" showAll="0"/>
    <pivotField numFmtId="9" showAll="0"/>
    <pivotField showAll="0" defaultSubtotal="0"/>
    <pivotField subtotalTop="0" showAll="0"/>
    <pivotField subtotalTop="0" showAll="0"/>
    <pivotField showAll="0" defaultSubtotal="0"/>
    <pivotField numFmtId="1" subtotalTop="0" showAll="0"/>
    <pivotField numFmtId="1" subtotalTop="0" showAll="0"/>
    <pivotField numFmtId="9" showAll="0"/>
    <pivotField numFmtId="1" showAll="0" defaultSubtotal="0"/>
    <pivotField showAll="0" defaultSubtotal="0"/>
    <pivotField subtotalTop="0" showAll="0"/>
    <pivotField subtotalTop="0" showAll="0"/>
    <pivotField subtotalTop="0" showAll="0"/>
    <pivotField numFmtId="9" showAll="0" defaultSubtotal="0"/>
    <pivotField numFmtId="1" showAll="0" defaultSubtotal="0"/>
    <pivotField numFmtId="1" showAll="0" defaultSubtotal="0"/>
    <pivotField numFmtId="1" showAll="0" defaultSubtotal="0"/>
    <pivotField numFmtId="1" showAll="0" defaultSubtotal="0"/>
    <pivotField numFmtId="1" showAll="0" defaultSubtotal="0"/>
    <pivotField numFmtId="9" subtotalTop="0" showAll="0"/>
    <pivotField numFmtId="9" subtotalTop="0" showAll="0"/>
    <pivotField numFmtId="9" subtotalTop="0" showAll="0"/>
    <pivotField numFmtId="9" subtotalTop="0" showAll="0"/>
    <pivotField showAll="0"/>
    <pivotField dataField="1"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axis="axisPage" subtotalTop="0" multipleItemSelectionAllowed="1" showAll="0">
      <items count="5">
        <item x="0"/>
        <item n="Gap" h="1" x="1"/>
        <item h="1" m="1" x="3"/>
        <item h="1" m="1" x="2"/>
        <item t="default"/>
      </items>
    </pivotField>
    <pivotField showAll="0"/>
    <pivotField showAll="0"/>
    <pivotField showAll="0"/>
    <pivotField subtotalTop="0" showAll="0"/>
    <pivotField showAll="0"/>
    <pivotField showAll="0"/>
    <pivotField showAl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s>
  <rowFields count="1">
    <field x="-2"/>
  </rowFields>
  <rowItems count="4">
    <i>
      <x/>
    </i>
    <i i="1">
      <x v="1"/>
    </i>
    <i i="2">
      <x v="2"/>
    </i>
    <i i="3">
      <x v="3"/>
    </i>
  </rowItems>
  <colFields count="1">
    <field x="0"/>
  </colFields>
  <colItems count="3">
    <i>
      <x v="10"/>
    </i>
    <i>
      <x v="11"/>
    </i>
    <i>
      <x v="12"/>
    </i>
  </colItems>
  <pageFields count="1">
    <pageField fld="104" hier="-1"/>
  </pageFields>
  <dataFields count="4">
    <dataField name="Average of %_of_affected_people_surveyed_who_report_feeling_satistfied_with_the_latrine_design_and_sanitation_service" fld="56" subtotal="average" baseField="0" baseItem="1"/>
    <dataField name="Average of %_of_affected_people_surveyed_who_report_feeling_satistfied_with_the_water_point_design_and_water_service" fld="57" subtotal="average" baseField="0" baseItem="1"/>
    <dataField name="Average of %_of_complaints_received_that_result_in_timely_corrective_action_and_feedback_to_the_community" fld="59" subtotal="average" baseField="10" baseItem="0"/>
    <dataField name="Average of %_of_affected_people_surveyed_who_report_feeling_informed_about_the_different_WASH_services_available_to_them" fld="95" subtotal="average" baseField="0" baseItem="3"/>
  </dataFields>
  <formats count="17">
    <format dxfId="599">
      <pivotArea type="all" dataOnly="0" outline="0" fieldPosition="0"/>
    </format>
    <format dxfId="598">
      <pivotArea outline="0" collapsedLevelsAreSubtotals="1" fieldPosition="0"/>
    </format>
    <format dxfId="597">
      <pivotArea field="4" type="button" dataOnly="0" labelOnly="1" outline="0"/>
    </format>
    <format dxfId="596">
      <pivotArea dataOnly="0" labelOnly="1" grandRow="1" outline="0" fieldPosition="0"/>
    </format>
    <format dxfId="595">
      <pivotArea type="all" dataOnly="0" outline="0" fieldPosition="0"/>
    </format>
    <format dxfId="594">
      <pivotArea outline="0" collapsedLevelsAreSubtotals="1" fieldPosition="0"/>
    </format>
    <format dxfId="593">
      <pivotArea type="origin" dataOnly="0" labelOnly="1" outline="0" fieldPosition="0"/>
    </format>
    <format dxfId="592">
      <pivotArea field="104" type="button" dataOnly="0" labelOnly="1" outline="0" axis="axisPage" fieldPosition="0"/>
    </format>
    <format dxfId="591">
      <pivotArea type="topRight" dataOnly="0" labelOnly="1" outline="0" fieldPosition="0"/>
    </format>
    <format dxfId="590">
      <pivotArea dataOnly="0" labelOnly="1" fieldPosition="0">
        <references count="1">
          <reference field="104" count="0"/>
        </references>
      </pivotArea>
    </format>
    <format dxfId="589">
      <pivotArea type="all" dataOnly="0" outline="0" fieldPosition="0"/>
    </format>
    <format dxfId="588">
      <pivotArea outline="0" collapsedLevelsAreSubtotals="1" fieldPosition="0"/>
    </format>
    <format dxfId="587">
      <pivotArea field="4" type="button" dataOnly="0" labelOnly="1" outline="0"/>
    </format>
    <format dxfId="586">
      <pivotArea field="4" type="button" dataOnly="0" labelOnly="1" outline="0"/>
    </format>
    <format dxfId="585">
      <pivotArea field="4" type="button" dataOnly="0" labelOnly="1" outline="0"/>
    </format>
    <format dxfId="584">
      <pivotArea field="4" type="button" dataOnly="0" labelOnly="1" outline="0"/>
    </format>
    <format dxfId="583">
      <pivotArea outline="0" collapsedLevelsAreSubtotals="1" fieldPosition="0"/>
    </format>
  </formats>
  <pivotTableStyleInfo name="PivotStyleMedium25"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8.xml><?xml version="1.0" encoding="utf-8"?>
<pivotTableDefinition xmlns="http://schemas.openxmlformats.org/spreadsheetml/2006/main" xmlns:mc="http://schemas.openxmlformats.org/markup-compatibility/2006" xmlns:xr="http://schemas.microsoft.com/office/spreadsheetml/2014/revision" mc:Ignorable="xr" xr:uid="{D7172247-2FA1-4EAF-9B9D-8D933BFA652B}" name="PivotTable4" cacheId="0" applyNumberFormats="0" applyBorderFormats="0" applyFontFormats="0" applyPatternFormats="0" applyAlignmentFormats="0" applyWidthHeightFormats="1" dataCaption="Values" updatedVersion="6" minRefreshableVersion="3" rowGrandTotals="0" colGrandTotals="0" itemPrintTitles="1" createdVersion="6" indent="0" outline="1" outlineData="1" multipleFieldFilters="0" chartFormat="8" rowHeaderCaption="State">
  <location ref="C364:F365" firstHeaderRow="0" firstDataRow="1" firstDataCol="0" rowPageCount="2" colPageCount="1"/>
  <pivotFields count="119">
    <pivotField axis="axisPage" subtotalTop="0" showAll="0">
      <items count="15">
        <item m="1" x="12"/>
        <item m="1" x="5"/>
        <item m="1" x="13"/>
        <item m="1" x="7"/>
        <item m="1" x="4"/>
        <item m="1" x="3"/>
        <item m="1" x="11"/>
        <item m="1" x="8"/>
        <item m="1" x="9"/>
        <item m="1" x="10"/>
        <item m="1" x="6"/>
        <item x="0"/>
        <item x="2"/>
        <item x="1"/>
        <item t="default"/>
      </items>
    </pivotField>
    <pivotField showAll="0" defaultSubtotal="0"/>
    <pivotField showAll="0" defaultSubtotal="0"/>
    <pivotField subtotalTop="0" showAll="0"/>
    <pivotField subtotalTop="0" multipleItemSelectionAllowed="1" showAll="0">
      <items count="7">
        <item m="1" x="3"/>
        <item m="1" x="2"/>
        <item m="1" x="5"/>
        <item h="1" m="1" x="1"/>
        <item x="0"/>
        <item m="1" x="4"/>
        <item t="default"/>
      </items>
    </pivotField>
    <pivotField subtotalTop="0" showAll="0"/>
    <pivotField showAll="0" defaultSubtotal="0"/>
    <pivotField subtotalTop="0" showAll="0"/>
    <pivotField subtotalTop="0" showAll="0"/>
    <pivotField subtotalTop="0" showAll="0"/>
    <pivotField showAll="0" defaultSubtotal="0"/>
    <pivotField showAll="0" defaultSubtotal="0"/>
    <pivotField showAll="0" defaultSubtotal="0"/>
    <pivotField showAll="0" defaultSubtotal="0"/>
    <pivotField showAll="0" defaultSubtotal="0"/>
    <pivotField subtotalTop="0" showAll="0"/>
    <pivotField showAll="0" defaultSubtotal="0"/>
    <pivotField showAll="0" defaultSubtota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showAll="0"/>
    <pivotField dataField="1" showAll="0"/>
    <pivotField showAll="0"/>
    <pivotField showAll="0"/>
    <pivotField showAll="0"/>
    <pivotField showAll="0"/>
    <pivotField showAll="0"/>
    <pivotField showAll="0"/>
    <pivotField showAll="0" defaultSubtotal="0"/>
    <pivotField numFmtId="9" showAll="0"/>
    <pivotField showAll="0" defaultSubtotal="0"/>
    <pivotField showAll="0"/>
    <pivotField numFmtId="1" subtotalTop="0" showAll="0"/>
    <pivotField numFmtId="9" showAll="0"/>
    <pivotField showAll="0" defaultSubtotal="0"/>
    <pivotField subtotalTop="0" showAll="0"/>
    <pivotField subtotalTop="0" showAll="0"/>
    <pivotField showAll="0" defaultSubtotal="0"/>
    <pivotField numFmtId="1" subtotalTop="0" showAll="0"/>
    <pivotField numFmtId="1" subtotalTop="0" showAll="0"/>
    <pivotField numFmtId="9" showAll="0"/>
    <pivotField numFmtId="1" showAll="0" defaultSubtotal="0"/>
    <pivotField showAll="0" defaultSubtotal="0"/>
    <pivotField subtotalTop="0" showAll="0"/>
    <pivotField subtotalTop="0" showAll="0"/>
    <pivotField subtotalTop="0" showAll="0"/>
    <pivotField numFmtId="9" showAll="0" defaultSubtotal="0"/>
    <pivotField numFmtId="1" showAll="0" defaultSubtotal="0"/>
    <pivotField numFmtId="1" showAll="0" defaultSubtotal="0"/>
    <pivotField numFmtId="1" showAll="0" defaultSubtotal="0"/>
    <pivotField numFmtId="1" showAll="0" defaultSubtotal="0"/>
    <pivotField numFmtId="1" showAll="0" defaultSubtotal="0"/>
    <pivotField numFmtId="9" subtotalTop="0" showAll="0"/>
    <pivotField numFmtId="9" subtotalTop="0" showAll="0"/>
    <pivotField numFmtId="9" subtotalTop="0" showAll="0"/>
    <pivotField numFmtId="9" subtotalTop="0" showAll="0"/>
    <pivotField showAll="0"/>
    <pivotField dataField="1"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axis="axisPage" subtotalTop="0" multipleItemSelectionAllowed="1" showAll="0">
      <items count="5">
        <item x="0"/>
        <item n="Gap" h="1" x="1"/>
        <item h="1" m="1" x="3"/>
        <item h="1" m="1" x="2"/>
        <item t="default"/>
      </items>
    </pivotField>
    <pivotField showAll="0"/>
    <pivotField showAll="0"/>
    <pivotField showAll="0"/>
    <pivotField subtotalTop="0" showAll="0"/>
    <pivotField showAll="0"/>
    <pivotField showAll="0"/>
    <pivotField showAl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s>
  <rowItems count="1">
    <i/>
  </rowItems>
  <colFields count="1">
    <field x="-2"/>
  </colFields>
  <colItems count="4">
    <i>
      <x/>
    </i>
    <i i="1">
      <x v="1"/>
    </i>
    <i i="2">
      <x v="2"/>
    </i>
    <i i="3">
      <x v="3"/>
    </i>
  </colItems>
  <pageFields count="2">
    <pageField fld="0" item="12" hier="-1"/>
    <pageField fld="104" hier="-1"/>
  </pageFields>
  <dataFields count="4">
    <dataField name="Average of %_of_affected_people_surveyed_who_report_feeling_satistfied_with_the_latrine_design_and_sanitation_service" fld="56" subtotal="average" baseField="0" baseItem="1"/>
    <dataField name="Average of %_of_affected_people_surveyed_who_report_feeling_satistfied_with_the_water_point_design_and_water_service" fld="57" subtotal="average" baseField="0" baseItem="1"/>
    <dataField name="Average of %_of_complaints_received_that_result_in_timely_corrective_action_and_feedback_to_the_community" fld="59" subtotal="average" baseField="10" baseItem="0"/>
    <dataField name="Average of %_of_affected_people_surveyed_who_report_feeling_informed_about_the_different_WASH_services_available_to_them" fld="95" subtotal="average" baseField="0" baseItem="3"/>
  </dataFields>
  <formats count="17">
    <format dxfId="616">
      <pivotArea type="all" dataOnly="0" outline="0" fieldPosition="0"/>
    </format>
    <format dxfId="615">
      <pivotArea outline="0" collapsedLevelsAreSubtotals="1" fieldPosition="0"/>
    </format>
    <format dxfId="614">
      <pivotArea field="4" type="button" dataOnly="0" labelOnly="1" outline="0"/>
    </format>
    <format dxfId="613">
      <pivotArea dataOnly="0" labelOnly="1" grandRow="1" outline="0" fieldPosition="0"/>
    </format>
    <format dxfId="612">
      <pivotArea type="all" dataOnly="0" outline="0" fieldPosition="0"/>
    </format>
    <format dxfId="611">
      <pivotArea outline="0" collapsedLevelsAreSubtotals="1" fieldPosition="0"/>
    </format>
    <format dxfId="610">
      <pivotArea type="origin" dataOnly="0" labelOnly="1" outline="0" fieldPosition="0"/>
    </format>
    <format dxfId="609">
      <pivotArea field="104" type="button" dataOnly="0" labelOnly="1" outline="0" axis="axisPage" fieldPosition="1"/>
    </format>
    <format dxfId="608">
      <pivotArea type="topRight" dataOnly="0" labelOnly="1" outline="0" fieldPosition="0"/>
    </format>
    <format dxfId="607">
      <pivotArea dataOnly="0" labelOnly="1" fieldPosition="0">
        <references count="1">
          <reference field="104" count="0"/>
        </references>
      </pivotArea>
    </format>
    <format dxfId="606">
      <pivotArea type="all" dataOnly="0" outline="0" fieldPosition="0"/>
    </format>
    <format dxfId="605">
      <pivotArea outline="0" collapsedLevelsAreSubtotals="1" fieldPosition="0"/>
    </format>
    <format dxfId="604">
      <pivotArea field="4" type="button" dataOnly="0" labelOnly="1" outline="0"/>
    </format>
    <format dxfId="603">
      <pivotArea field="4" type="button" dataOnly="0" labelOnly="1" outline="0"/>
    </format>
    <format dxfId="602">
      <pivotArea field="4" type="button" dataOnly="0" labelOnly="1" outline="0"/>
    </format>
    <format dxfId="601">
      <pivotArea field="4" type="button" dataOnly="0" labelOnly="1" outline="0"/>
    </format>
    <format dxfId="600">
      <pivotArea outline="0" collapsedLevelsAreSubtotals="1" fieldPosition="0"/>
    </format>
  </formats>
  <pivotTableStyleInfo name="PivotStyleMedium25"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9.xml><?xml version="1.0" encoding="utf-8"?>
<pivotTableDefinition xmlns="http://schemas.openxmlformats.org/spreadsheetml/2006/main" xmlns:mc="http://schemas.openxmlformats.org/markup-compatibility/2006" xmlns:xr="http://schemas.microsoft.com/office/spreadsheetml/2014/revision" mc:Ignorable="xr" xr:uid="{B27934B2-3BAC-4209-B257-4020525EEC2E}" name="PivotTable9" cacheId="0" applyNumberFormats="0" applyBorderFormats="0" applyFontFormats="0" applyPatternFormats="0" applyAlignmentFormats="0" applyWidthHeightFormats="1" dataCaption="Values" updatedVersion="6" minRefreshableVersion="3" rowGrandTotals="0" colGrandTotals="0" itemPrintTitles="1" createdVersion="6" indent="0" outline="1" outlineData="1" multipleFieldFilters="0" rowHeaderCaption="State">
  <location ref="K127:L128" firstHeaderRow="0" firstDataRow="1" firstDataCol="0" rowPageCount="2" colPageCount="1"/>
  <pivotFields count="119">
    <pivotField axis="axisPage" subtotalTop="0" multipleItemSelectionAllowed="1" showAll="0">
      <items count="15">
        <item m="1" x="12"/>
        <item m="1" x="5"/>
        <item m="1" x="13"/>
        <item h="1" m="1" x="7"/>
        <item m="1" x="4"/>
        <item h="1" m="1" x="3"/>
        <item h="1" m="1" x="11"/>
        <item h="1" m="1" x="8"/>
        <item h="1" m="1" x="9"/>
        <item m="1" x="10"/>
        <item m="1" x="6"/>
        <item h="1" x="0"/>
        <item x="2"/>
        <item h="1" x="1"/>
        <item t="default"/>
      </items>
    </pivotField>
    <pivotField showAll="0" defaultSubtotal="0"/>
    <pivotField showAll="0" defaultSubtotal="0"/>
    <pivotField subtotalTop="0" showAll="0"/>
    <pivotField subtotalTop="0" showAll="0">
      <items count="7">
        <item m="1" x="3"/>
        <item m="1" x="2"/>
        <item m="1" x="5"/>
        <item h="1" m="1" x="1"/>
        <item x="0"/>
        <item m="1" x="4"/>
        <item t="default"/>
      </items>
    </pivotField>
    <pivotField subtotalTop="0" showAll="0"/>
    <pivotField multipleItemSelectionAllowed="1" showAll="0" defaultSubtotal="0"/>
    <pivotField subtotalTop="0" showAll="0"/>
    <pivotField subtotalTop="0" showAll="0"/>
    <pivotField subtotalTop="0" showAll="0"/>
    <pivotField showAll="0" defaultSubtotal="0"/>
    <pivotField showAll="0" defaultSubtotal="0"/>
    <pivotField showAll="0" defaultSubtotal="0"/>
    <pivotField showAll="0" defaultSubtotal="0"/>
    <pivotField showAll="0" defaultSubtotal="0"/>
    <pivotField subtotalTop="0" showAll="0"/>
    <pivotField showAll="0" defaultSubtotal="0"/>
    <pivotField showAll="0" defaultSubtota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sortType="descending"/>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numFmtId="9" showAll="0"/>
    <pivotField showAll="0" defaultSubtotal="0"/>
    <pivotField showAll="0"/>
    <pivotField subtotalTop="0" showAll="0"/>
    <pivotField numFmtId="9" showAll="0"/>
    <pivotField showAll="0" defaultSubtotal="0"/>
    <pivotField subtotalTop="0" showAll="0"/>
    <pivotField subtotalTop="0" showAll="0"/>
    <pivotField showAll="0" defaultSubtotal="0"/>
    <pivotField subtotalTop="0" showAll="0"/>
    <pivotField subtotalTop="0" showAll="0"/>
    <pivotField numFmtId="9" showAll="0"/>
    <pivotField numFmtId="1" showAll="0" defaultSubtotal="0"/>
    <pivotField showAll="0" defaultSubtotal="0"/>
    <pivotField subtotalTop="0" showAll="0"/>
    <pivotField subtotalTop="0" showAll="0"/>
    <pivotField subtotalTop="0" showAll="0"/>
    <pivotField numFmtId="9" showAll="0" defaultSubtotal="0"/>
    <pivotField numFmtId="1" showAll="0" defaultSubtotal="0"/>
    <pivotField numFmtId="1" showAll="0" defaultSubtotal="0"/>
    <pivotField numFmtId="1" showAll="0" defaultSubtotal="0"/>
    <pivotField numFmtId="1" showAll="0" defaultSubtotal="0"/>
    <pivotField numFmtId="1" showAll="0" defaultSubtotal="0"/>
    <pivotField subtotalTop="0" showAll="0"/>
    <pivotField subtotalTop="0" showAll="0"/>
    <pivotField subtotalTop="0" showAll="0"/>
    <pivotField subtotalTop="0" showAll="0"/>
    <pivotField showAll="0"/>
    <pivotField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axis="axisPage" subtotalTop="0" showAll="0">
      <items count="5">
        <item x="0"/>
        <item x="1"/>
        <item m="1" x="3"/>
        <item m="1" x="2"/>
        <item t="default"/>
      </items>
    </pivotField>
    <pivotField showAll="0"/>
    <pivotField showAll="0"/>
    <pivotField dataField="1" showAll="0"/>
    <pivotField subtotalTop="0" showAll="0"/>
    <pivotField showAll="0"/>
    <pivotField showAll="0"/>
    <pivotField showAl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s>
  <rowItems count="1">
    <i/>
  </rowItems>
  <colFields count="1">
    <field x="-2"/>
  </colFields>
  <colItems count="2">
    <i>
      <x/>
    </i>
    <i i="1">
      <x v="1"/>
    </i>
  </colItems>
  <pageFields count="2">
    <pageField fld="0" hier="-1"/>
    <pageField fld="104" item="0" hier="-1"/>
  </pageFields>
  <dataFields count="2">
    <dataField name="Sum of # of Total_People with disabilities" fld="107" baseField="0" baseItem="0"/>
    <dataField name="Sum of #_of_PWD_with_adapted_sanitation_option" fld="41" baseField="0" baseItem="0"/>
  </dataFields>
  <formats count="9">
    <format dxfId="625">
      <pivotArea type="all" dataOnly="0" outline="0" fieldPosition="0"/>
    </format>
    <format dxfId="624">
      <pivotArea outline="0" collapsedLevelsAreSubtotals="1" fieldPosition="0"/>
    </format>
    <format dxfId="623">
      <pivotArea type="origin" dataOnly="0" labelOnly="1" outline="0" fieldPosition="0"/>
    </format>
    <format dxfId="622">
      <pivotArea type="topRight" dataOnly="0" labelOnly="1" outline="0" fieldPosition="0"/>
    </format>
    <format dxfId="621">
      <pivotArea field="4" type="button" dataOnly="0" labelOnly="1" outline="0"/>
    </format>
    <format dxfId="620">
      <pivotArea dataOnly="0" labelOnly="1" grandRow="1" outline="0" fieldPosition="0"/>
    </format>
    <format dxfId="619">
      <pivotArea dataOnly="0" labelOnly="1" grandCol="1" outline="0" fieldPosition="0"/>
    </format>
    <format dxfId="618">
      <pivotArea type="all" dataOnly="0" outline="0" fieldPosition="0"/>
    </format>
    <format dxfId="617">
      <pivotArea outline="0" collapsedLevelsAreSubtotals="1" fieldPosition="0"/>
    </format>
  </formats>
  <pivotTableStyleInfo name="PivotStyleMedium3" showRowHeaders="1" showColHeaders="1" showRowStripes="1" showColStripes="1"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0000000-0007-0000-0800-000003000000}" name="K_H_CG_C" cacheId="0" applyNumberFormats="0" applyBorderFormats="0" applyFontFormats="0" applyPatternFormats="0" applyAlignmentFormats="0" applyWidthHeightFormats="1" dataCaption="Values" updatedVersion="6" minRefreshableVersion="3" rowGrandTotals="0" colGrandTotals="0" itemPrintTitles="1" createdVersion="6" indent="0" outline="1" outlineData="1" multipleFieldFilters="0" chartFormat="43" rowHeaderCaption="State" colHeaderCaption=" ">
  <location ref="B204:D208" firstHeaderRow="0" firstDataRow="1" firstDataCol="1" rowPageCount="3" colPageCount="1"/>
  <pivotFields count="119">
    <pivotField axis="axisPage" subtotalTop="0" multipleItemSelectionAllowed="1" showAll="0">
      <items count="15">
        <item m="1" x="12"/>
        <item m="1" x="5"/>
        <item h="1" m="1" x="7"/>
        <item h="1" m="1" x="3"/>
        <item m="1" x="13"/>
        <item m="1" x="4"/>
        <item h="1" m="1" x="11"/>
        <item h="1" m="1" x="8"/>
        <item h="1" m="1" x="9"/>
        <item m="1" x="10"/>
        <item m="1" x="6"/>
        <item h="1" x="0"/>
        <item x="2"/>
        <item h="1" x="1"/>
        <item t="default"/>
      </items>
    </pivotField>
    <pivotField showAll="0" defaultSubtotal="0"/>
    <pivotField showAll="0" defaultSubtotal="0"/>
    <pivotField subtotalTop="0" showAll="0"/>
    <pivotField axis="axisPage" subtotalTop="0" showAll="0">
      <items count="7">
        <item m="1" x="3"/>
        <item m="1" x="2"/>
        <item m="1" x="5"/>
        <item m="1" x="1"/>
        <item x="0"/>
        <item m="1" x="4"/>
        <item t="default"/>
      </items>
    </pivotField>
    <pivotField axis="axisRow" subtotalTop="0" showAll="0">
      <items count="42">
        <item m="1" x="13"/>
        <item m="1" x="16"/>
        <item m="1" x="36"/>
        <item m="1" x="30"/>
        <item m="1" x="25"/>
        <item m="1" x="29"/>
        <item m="1" x="22"/>
        <item m="1" x="7"/>
        <item x="2"/>
        <item x="3"/>
        <item m="1" x="12"/>
        <item m="1" x="33"/>
        <item m="1" x="9"/>
        <item m="1" x="15"/>
        <item m="1" x="26"/>
        <item m="1" x="11"/>
        <item m="1" x="20"/>
        <item m="1" x="31"/>
        <item m="1" x="23"/>
        <item m="1" x="35"/>
        <item m="1" x="14"/>
        <item x="4"/>
        <item m="1" x="24"/>
        <item m="1" x="17"/>
        <item m="1" x="21"/>
        <item m="1" x="27"/>
        <item m="1" x="10"/>
        <item x="0"/>
        <item m="1" x="28"/>
        <item m="1" x="18"/>
        <item m="1" x="38"/>
        <item m="1" x="32"/>
        <item m="1" x="39"/>
        <item x="1"/>
        <item m="1" x="40"/>
        <item m="1" x="37"/>
        <item m="1" x="34"/>
        <item m="1" x="6"/>
        <item m="1" x="8"/>
        <item m="1" x="5"/>
        <item m="1" x="19"/>
        <item t="default"/>
      </items>
    </pivotField>
    <pivotField multipleItemSelectionAllowed="1" showAll="0" defaultSubtotal="0"/>
    <pivotField subtotalTop="0" showAll="0"/>
    <pivotField subtotalTop="0" showAll="0"/>
    <pivotField subtotalTop="0" showAll="0"/>
    <pivotField showAll="0" defaultSubtotal="0"/>
    <pivotField showAll="0" defaultSubtotal="0"/>
    <pivotField showAll="0" defaultSubtotal="0"/>
    <pivotField showAll="0" defaultSubtotal="0"/>
    <pivotField showAll="0" defaultSubtotal="0"/>
    <pivotField subtotalTop="0" showAll="0"/>
    <pivotField showAll="0" defaultSubtotal="0"/>
    <pivotField showAll="0" defaultSubtota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numFmtId="9" showAll="0"/>
    <pivotField showAll="0" defaultSubtotal="0"/>
    <pivotField showAll="0"/>
    <pivotField subtotalTop="0" showAll="0"/>
    <pivotField numFmtId="9" showAll="0"/>
    <pivotField showAll="0" defaultSubtotal="0"/>
    <pivotField subtotalTop="0" showAll="0"/>
    <pivotField numFmtId="9" subtotalTop="0" showAll="0"/>
    <pivotField showAll="0" defaultSubtotal="0"/>
    <pivotField subtotalTop="0" showAll="0"/>
    <pivotField subtotalTop="0" showAll="0"/>
    <pivotField numFmtId="9" showAll="0"/>
    <pivotField numFmtId="1" showAll="0" defaultSubtotal="0"/>
    <pivotField showAll="0" defaultSubtotal="0"/>
    <pivotField subtotalTop="0" showAll="0"/>
    <pivotField numFmtId="1" subtotalTop="0" showAll="0"/>
    <pivotField numFmtId="9" subtotalTop="0" showAll="0"/>
    <pivotField numFmtId="9" showAll="0" defaultSubtotal="0"/>
    <pivotField numFmtId="1" showAll="0" defaultSubtotal="0"/>
    <pivotField numFmtId="1" showAll="0" defaultSubtotal="0"/>
    <pivotField numFmtId="1" showAll="0" defaultSubtotal="0"/>
    <pivotField numFmtId="1" showAll="0" defaultSubtotal="0"/>
    <pivotField numFmtId="1" showAll="0" defaultSubtotal="0"/>
    <pivotField numFmtId="9" subtotalTop="0" showAll="0"/>
    <pivotField subtotalTop="0" showAll="0"/>
    <pivotField subtotalTop="0" showAll="0"/>
    <pivotField numFmtId="9" subtotalTop="0" showAll="0"/>
    <pivotField showAll="0"/>
    <pivotField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axis="axisPage" subtotalTop="0" showAll="0">
      <items count="5">
        <item x="0"/>
        <item x="1"/>
        <item m="1" x="3"/>
        <item m="1" x="2"/>
        <item t="default"/>
      </items>
    </pivotField>
    <pivotField showAll="0"/>
    <pivotField showAll="0"/>
    <pivotField showAll="0"/>
    <pivotField subtotalTop="0" showAll="0"/>
    <pivotField showAll="0"/>
    <pivotField showAll="0"/>
    <pivotField showAll="0"/>
    <pivotField dataField="1" dragToRow="0" dragToCol="0" dragToPage="0" showAll="0" defaultSubtotal="0"/>
    <pivotField dataField="1"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s>
  <rowFields count="1">
    <field x="5"/>
  </rowFields>
  <rowItems count="4">
    <i>
      <x v="8"/>
    </i>
    <i>
      <x v="21"/>
    </i>
    <i>
      <x v="27"/>
    </i>
    <i>
      <x v="33"/>
    </i>
  </rowItems>
  <colFields count="1">
    <field x="-2"/>
  </colFields>
  <colItems count="2">
    <i>
      <x/>
    </i>
    <i i="1">
      <x v="1"/>
    </i>
  </colItems>
  <pageFields count="3">
    <pageField fld="0" hier="-1"/>
    <pageField fld="104" item="0" hier="-1"/>
    <pageField fld="4" item="4" hier="-1"/>
  </pageFields>
  <dataFields count="2">
    <dataField name="  % Hygiene Coverage" fld="113" baseField="0" baseItem="0" numFmtId="1"/>
    <dataField name="  % Hygiene Gap" fld="112" baseField="0" baseItem="0" numFmtId="1"/>
  </dataFields>
  <formats count="11">
    <format dxfId="202">
      <pivotArea type="all" dataOnly="0" outline="0" fieldPosition="0"/>
    </format>
    <format dxfId="201">
      <pivotArea outline="0" collapsedLevelsAreSubtotals="1" fieldPosition="0"/>
    </format>
    <format dxfId="200">
      <pivotArea field="4" type="button" dataOnly="0" labelOnly="1" outline="0" axis="axisPage" fieldPosition="2"/>
    </format>
    <format dxfId="199">
      <pivotArea type="all" dataOnly="0" outline="0" fieldPosition="0"/>
    </format>
    <format dxfId="198">
      <pivotArea outline="0" collapsedLevelsAreSubtotals="1" fieldPosition="0"/>
    </format>
    <format dxfId="197">
      <pivotArea outline="0" collapsedLevelsAreSubtotals="1" fieldPosition="0"/>
    </format>
    <format dxfId="196">
      <pivotArea field="5" type="button" dataOnly="0" labelOnly="1" outline="0" axis="axisRow" fieldPosition="0"/>
    </format>
    <format dxfId="195">
      <pivotArea field="5" type="button" dataOnly="0" labelOnly="1" outline="0" axis="axisRow" fieldPosition="0"/>
    </format>
    <format dxfId="194">
      <pivotArea field="5" type="button" dataOnly="0" labelOnly="1" outline="0" axis="axisRow" fieldPosition="0"/>
    </format>
    <format dxfId="193">
      <pivotArea field="4" type="button" dataOnly="0" labelOnly="1" outline="0" axis="axisPage" fieldPosition="2"/>
    </format>
    <format dxfId="192">
      <pivotArea dataOnly="0" labelOnly="1" outline="0" fieldPosition="0">
        <references count="2">
          <reference field="4" count="1">
            <x v="0"/>
          </reference>
          <reference field="104" count="1" selected="0">
            <x v="0"/>
          </reference>
        </references>
      </pivotArea>
    </format>
  </formats>
  <chartFormats count="2">
    <chartFormat chart="39" format="2" series="1">
      <pivotArea type="data" outline="0" fieldPosition="0">
        <references count="1">
          <reference field="4294967294" count="1" selected="0">
            <x v="0"/>
          </reference>
        </references>
      </pivotArea>
    </chartFormat>
    <chartFormat chart="39" format="3" series="1">
      <pivotArea type="data" outline="0" fieldPosition="0">
        <references count="1">
          <reference field="4294967294" count="1" selected="0">
            <x v="1"/>
          </reference>
        </references>
      </pivotArea>
    </chartFormat>
  </chartFormats>
  <pivotTableStyleInfo name="PivotStyleMedium14" showRowHeaders="1" showColHeaders="1" showRowStripes="1" showColStripes="1"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0.xml><?xml version="1.0" encoding="utf-8"?>
<pivotTableDefinition xmlns="http://schemas.openxmlformats.org/spreadsheetml/2006/main" xmlns:mc="http://schemas.openxmlformats.org/markup-compatibility/2006" xmlns:xr="http://schemas.microsoft.com/office/spreadsheetml/2014/revision" mc:Ignorable="xr" xr:uid="{D853C462-00E2-4219-9B98-11D3A79E532B}" name="PivotTable24" cacheId="0" dataOnRows="1" applyNumberFormats="0" applyBorderFormats="0" applyFontFormats="0" applyPatternFormats="0" applyAlignmentFormats="0" applyWidthHeightFormats="1" dataCaption="Values" updatedVersion="6" minRefreshableVersion="3" itemPrintTitles="1" createdVersion="6" indent="0" outline="1" outlineData="1" multipleFieldFilters="0" chartFormat="11">
  <location ref="J231:J232" firstHeaderRow="1" firstDataRow="1" firstDataCol="0" rowPageCount="2" colPageCount="1"/>
  <pivotFields count="119">
    <pivotField axis="axisPage" subtotalTop="0" multipleItemSelectionAllowed="1" showAll="0">
      <items count="15">
        <item h="1" m="1" x="12"/>
        <item m="1" x="5"/>
        <item m="1" x="13"/>
        <item h="1" m="1" x="7"/>
        <item m="1" x="4"/>
        <item h="1" m="1" x="3"/>
        <item h="1" m="1" x="11"/>
        <item h="1" m="1" x="8"/>
        <item h="1" m="1" x="9"/>
        <item m="1" x="10"/>
        <item m="1" x="6"/>
        <item h="1" x="0"/>
        <item x="2"/>
        <item h="1" x="1"/>
        <item t="default"/>
      </items>
    </pivotField>
    <pivotField showAll="0" defaultSubtotal="0"/>
    <pivotField showAll="0" defaultSubtotal="0"/>
    <pivotField subtotalTop="0" showAll="0"/>
    <pivotField subtotalTop="0" showAll="0">
      <items count="7">
        <item m="1" x="3"/>
        <item m="1" x="2"/>
        <item m="1" x="5"/>
        <item m="1" x="1"/>
        <item x="0"/>
        <item m="1" x="4"/>
        <item t="default"/>
      </items>
    </pivotField>
    <pivotField subtotalTop="0" showAll="0"/>
    <pivotField multipleItemSelectionAllowed="1" showAll="0" defaultSubtotal="0"/>
    <pivotField subtotalTop="0" showAll="0"/>
    <pivotField subtotalTop="0" showAll="0"/>
    <pivotField dataField="1" subtotalTop="0" showAll="0"/>
    <pivotField showAll="0" defaultSubtotal="0"/>
    <pivotField showAll="0" defaultSubtotal="0"/>
    <pivotField showAll="0" defaultSubtotal="0"/>
    <pivotField showAll="0" defaultSubtotal="0"/>
    <pivotField showAll="0" defaultSubtotal="0"/>
    <pivotField subtotalTop="0" showAll="0"/>
    <pivotField showAll="0" defaultSubtotal="0"/>
    <pivotField showAll="0" defaultSubtota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numFmtId="9" showAll="0"/>
    <pivotField showAll="0" defaultSubtotal="0"/>
    <pivotField showAll="0"/>
    <pivotField numFmtId="1" subtotalTop="0" showAll="0"/>
    <pivotField numFmtId="9" showAll="0"/>
    <pivotField showAll="0" defaultSubtotal="0"/>
    <pivotField subtotalTop="0" showAll="0"/>
    <pivotField subtotalTop="0" showAll="0"/>
    <pivotField showAll="0" defaultSubtotal="0"/>
    <pivotField numFmtId="1" subtotalTop="0" showAll="0"/>
    <pivotField numFmtId="1" subtotalTop="0" showAll="0"/>
    <pivotField numFmtId="9" showAll="0"/>
    <pivotField numFmtId="1" showAll="0" defaultSubtotal="0"/>
    <pivotField showAll="0" defaultSubtotal="0"/>
    <pivotField subtotalTop="0" showAll="0"/>
    <pivotField subtotalTop="0" showAll="0"/>
    <pivotField subtotalTop="0" showAll="0"/>
    <pivotField numFmtId="9" showAll="0" defaultSubtotal="0"/>
    <pivotField numFmtId="1" showAll="0" defaultSubtotal="0"/>
    <pivotField numFmtId="1" showAll="0" defaultSubtotal="0"/>
    <pivotField numFmtId="1" showAll="0" defaultSubtotal="0"/>
    <pivotField numFmtId="1" showAll="0" defaultSubtotal="0"/>
    <pivotField numFmtId="1" showAll="0" defaultSubtotal="0"/>
    <pivotField numFmtId="9" subtotalTop="0" showAll="0"/>
    <pivotField numFmtId="9" subtotalTop="0" showAll="0"/>
    <pivotField numFmtId="9" subtotalTop="0" showAll="0"/>
    <pivotField numFmtId="9" subtotalTop="0" showAll="0"/>
    <pivotField showAll="0"/>
    <pivotField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axis="axisPage" subtotalTop="0" showAll="0">
      <items count="5">
        <item x="0"/>
        <item x="1"/>
        <item m="1" x="3"/>
        <item m="1" x="2"/>
        <item t="default"/>
      </items>
    </pivotField>
    <pivotField showAll="0"/>
    <pivotField showAll="0"/>
    <pivotField showAll="0"/>
    <pivotField subtotalTop="0" showAll="0"/>
    <pivotField showAll="0"/>
    <pivotField showAll="0"/>
    <pivotField showAl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s>
  <rowItems count="1">
    <i/>
  </rowItems>
  <colItems count="1">
    <i/>
  </colItems>
  <pageFields count="2">
    <pageField fld="0" hier="-1"/>
    <pageField fld="104" item="0" hier="-1"/>
  </pageFields>
  <dataFields count="1">
    <dataField name="Sum of Total PoP " fld="9" baseField="0" baseItem="0"/>
  </dataFields>
  <formats count="10">
    <format dxfId="635">
      <pivotArea type="all" dataOnly="0" outline="0" fieldPosition="0"/>
    </format>
    <format dxfId="634">
      <pivotArea type="all" dataOnly="0" outline="0" fieldPosition="0"/>
    </format>
    <format dxfId="633">
      <pivotArea outline="0" collapsedLevelsAreSubtotals="1" fieldPosition="0"/>
    </format>
    <format dxfId="632">
      <pivotArea field="4" type="button" dataOnly="0" labelOnly="1" outline="0"/>
    </format>
    <format dxfId="631">
      <pivotArea dataOnly="0" labelOnly="1" grandRow="1" outline="0" fieldPosition="0"/>
    </format>
    <format dxfId="630">
      <pivotArea type="all" dataOnly="0" outline="0" fieldPosition="0"/>
    </format>
    <format dxfId="629">
      <pivotArea outline="0" collapsedLevelsAreSubtotals="1" fieldPosition="0"/>
    </format>
    <format dxfId="628">
      <pivotArea field="4" type="button" dataOnly="0" labelOnly="1" outline="0"/>
    </format>
    <format dxfId="627">
      <pivotArea dataOnly="0" labelOnly="1" grandRow="1" outline="0" fieldPosition="0"/>
    </format>
    <format dxfId="626">
      <pivotArea outline="0" collapsedLevelsAreSubtotals="1" fieldPosition="0"/>
    </format>
  </formats>
  <pivotTableStyleInfo name="PivotStyleLight14 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1.xml><?xml version="1.0" encoding="utf-8"?>
<pivotTableDefinition xmlns="http://schemas.openxmlformats.org/spreadsheetml/2006/main" xmlns:mc="http://schemas.openxmlformats.org/markup-compatibility/2006" xmlns:xr="http://schemas.microsoft.com/office/spreadsheetml/2014/revision" mc:Ignorable="xr" xr:uid="{00000000-0007-0000-0800-000018000000}" name="R_water1" cacheId="0" applyNumberFormats="0" applyBorderFormats="0" applyFontFormats="0" applyPatternFormats="0" applyAlignmentFormats="0" applyWidthHeightFormats="1" dataCaption="Values" updatedVersion="6" minRefreshableVersion="3" rowGrandTotals="0" colGrandTotals="0" itemPrintTitles="1" createdVersion="6" indent="0" outline="1" outlineData="1" multipleFieldFilters="0" chartFormat="46">
  <location ref="B28:D29" firstHeaderRow="0" firstDataRow="1" firstDataCol="1" rowPageCount="3" colPageCount="1"/>
  <pivotFields count="119">
    <pivotField axis="axisPage" subtotalTop="0" multipleItemSelectionAllowed="1" showAll="0">
      <items count="15">
        <item m="1" x="12"/>
        <item m="1" x="5"/>
        <item h="1" m="1" x="7"/>
        <item h="1" m="1" x="3"/>
        <item m="1" x="13"/>
        <item m="1" x="4"/>
        <item h="1" m="1" x="11"/>
        <item h="1" m="1" x="8"/>
        <item h="1" m="1" x="9"/>
        <item m="1" x="10"/>
        <item m="1" x="6"/>
        <item h="1" x="0"/>
        <item x="2"/>
        <item h="1" x="1"/>
        <item t="default"/>
      </items>
    </pivotField>
    <pivotField showAll="0" defaultSubtotal="0"/>
    <pivotField showAll="0" defaultSubtotal="0"/>
    <pivotField subtotalTop="0" showAll="0"/>
    <pivotField axis="axisPage" subtotalTop="0" multipleItemSelectionAllowed="1" showAll="0">
      <items count="7">
        <item h="1" m="1" x="3"/>
        <item m="1" x="2"/>
        <item h="1" m="1" x="5"/>
        <item m="1" x="1"/>
        <item x="0"/>
        <item m="1" x="4"/>
        <item t="default"/>
      </items>
    </pivotField>
    <pivotField subtotalTop="0" showAll="0"/>
    <pivotField axis="axisRow" multipleItemSelectionAllowed="1" showAll="0" defaultSubtotal="0">
      <items count="10">
        <item x="0"/>
        <item m="1" x="2"/>
        <item h="1" m="1" x="8"/>
        <item m="1" x="7"/>
        <item h="1" m="1" x="1"/>
        <item m="1" x="4"/>
        <item h="1" m="1" x="3"/>
        <item h="1" m="1" x="5"/>
        <item h="1" m="1" x="6"/>
        <item h="1" m="1" x="9"/>
      </items>
    </pivotField>
    <pivotField subtotalTop="0" showAll="0"/>
    <pivotField subtotalTop="0" showAll="0"/>
    <pivotField subtotalTop="0" showAll="0"/>
    <pivotField showAll="0" defaultSubtotal="0"/>
    <pivotField showAll="0" defaultSubtotal="0"/>
    <pivotField showAll="0" defaultSubtotal="0"/>
    <pivotField showAll="0" defaultSubtotal="0"/>
    <pivotField showAll="0" defaultSubtotal="0"/>
    <pivotField subtotalTop="0" showAll="0"/>
    <pivotField showAll="0" defaultSubtotal="0"/>
    <pivotField showAll="0" defaultSubtota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numFmtId="9" showAll="0"/>
    <pivotField showAll="0" defaultSubtotal="0"/>
    <pivotField showAll="0"/>
    <pivotField subtotalTop="0" showAll="0"/>
    <pivotField numFmtId="9" showAll="0"/>
    <pivotField showAll="0" defaultSubtotal="0"/>
    <pivotField dataField="1" subtotalTop="0" showAll="0"/>
    <pivotField numFmtId="9" subtotalTop="0" showAll="0"/>
    <pivotField showAll="0" defaultSubtotal="0"/>
    <pivotField subtotalTop="0" showAll="0"/>
    <pivotField dataField="1" subtotalTop="0" showAll="0"/>
    <pivotField numFmtId="9" showAll="0"/>
    <pivotField numFmtId="1" showAll="0" defaultSubtotal="0"/>
    <pivotField showAll="0" defaultSubtotal="0"/>
    <pivotField subtotalTop="0" showAll="0"/>
    <pivotField numFmtId="1" subtotalTop="0" showAll="0"/>
    <pivotField numFmtId="9" subtotalTop="0" showAll="0"/>
    <pivotField numFmtId="9" showAll="0" defaultSubtotal="0"/>
    <pivotField numFmtId="1" showAll="0" defaultSubtotal="0"/>
    <pivotField numFmtId="1" showAll="0" defaultSubtotal="0"/>
    <pivotField numFmtId="1" showAll="0" defaultSubtotal="0"/>
    <pivotField numFmtId="1" showAll="0" defaultSubtotal="0"/>
    <pivotField numFmtId="1" showAll="0" defaultSubtotal="0"/>
    <pivotField numFmtId="9" subtotalTop="0" showAll="0"/>
    <pivotField subtotalTop="0" showAll="0"/>
    <pivotField subtotalTop="0" showAll="0"/>
    <pivotField numFmtId="9" subtotalTop="0" showAll="0"/>
    <pivotField showAll="0"/>
    <pivotField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axis="axisPage" subtotalTop="0" multipleItemSelectionAllowed="1" showAll="0">
      <items count="5">
        <item x="0"/>
        <item h="1" x="1"/>
        <item m="1" x="3"/>
        <item m="1" x="2"/>
        <item t="default"/>
      </items>
    </pivotField>
    <pivotField showAll="0"/>
    <pivotField showAll="0"/>
    <pivotField showAll="0"/>
    <pivotField subtotalTop="0" showAll="0"/>
    <pivotField showAll="0"/>
    <pivotField showAll="0"/>
    <pivotField showAl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s>
  <rowFields count="1">
    <field x="6"/>
  </rowFields>
  <rowItems count="1">
    <i>
      <x/>
    </i>
  </rowItems>
  <colFields count="1">
    <field x="-2"/>
  </colFields>
  <colItems count="2">
    <i>
      <x/>
    </i>
    <i i="1">
      <x v="1"/>
    </i>
  </colItems>
  <pageFields count="3">
    <pageField fld="0" hier="-1"/>
    <pageField fld="4" hier="-1"/>
    <pageField fld="104" hier="-1"/>
  </pageFields>
  <dataFields count="2">
    <dataField name="Coverage" fld="73" baseField="77" baseItem="1" numFmtId="1"/>
    <dataField name="Gap" fld="77" baseField="77" baseItem="1" numFmtId="1"/>
  </dataFields>
  <formats count="11">
    <format dxfId="646">
      <pivotArea type="all" dataOnly="0" outline="0" fieldPosition="0"/>
    </format>
    <format dxfId="645">
      <pivotArea outline="0" collapsedLevelsAreSubtotals="1" fieldPosition="0"/>
    </format>
    <format dxfId="644">
      <pivotArea type="all" dataOnly="0" outline="0" fieldPosition="0"/>
    </format>
    <format dxfId="643">
      <pivotArea dataOnly="0" labelOnly="1" outline="0" fieldPosition="0">
        <references count="1">
          <reference field="4294967294" count="2">
            <x v="0"/>
            <x v="1"/>
          </reference>
        </references>
      </pivotArea>
    </format>
    <format dxfId="642">
      <pivotArea outline="0" fieldPosition="0">
        <references count="1">
          <reference field="4294967294" count="1">
            <x v="0"/>
          </reference>
        </references>
      </pivotArea>
    </format>
    <format dxfId="641">
      <pivotArea outline="0" fieldPosition="0">
        <references count="1">
          <reference field="4294967294" count="1">
            <x v="1"/>
          </reference>
        </references>
      </pivotArea>
    </format>
    <format dxfId="640">
      <pivotArea type="all" dataOnly="0" outline="0" fieldPosition="0"/>
    </format>
    <format dxfId="639">
      <pivotArea outline="0" collapsedLevelsAreSubtotals="1" fieldPosition="0"/>
    </format>
    <format dxfId="638">
      <pivotArea dataOnly="0" labelOnly="1" outline="0" fieldPosition="0">
        <references count="1">
          <reference field="4294967294" count="2">
            <x v="0"/>
            <x v="1"/>
          </reference>
        </references>
      </pivotArea>
    </format>
    <format dxfId="637">
      <pivotArea field="4" type="button" dataOnly="0" labelOnly="1" outline="0" axis="axisPage" fieldPosition="1"/>
    </format>
    <format dxfId="636">
      <pivotArea dataOnly="0" labelOnly="1" outline="0" fieldPosition="0">
        <references count="1">
          <reference field="4" count="1">
            <x v="1"/>
          </reference>
        </references>
      </pivotArea>
    </format>
  </formats>
  <chartFormats count="4">
    <chartFormat chart="7" format="0" series="1">
      <pivotArea type="data" outline="0" fieldPosition="0">
        <references count="1">
          <reference field="4294967294" count="1" selected="0">
            <x v="0"/>
          </reference>
        </references>
      </pivotArea>
    </chartFormat>
    <chartFormat chart="7" format="1" series="1">
      <pivotArea type="data" outline="0" fieldPosition="0">
        <references count="1">
          <reference field="4294967294" count="1" selected="0">
            <x v="1"/>
          </reference>
        </references>
      </pivotArea>
    </chartFormat>
    <chartFormat chart="15" format="8" series="1">
      <pivotArea type="data" outline="0" fieldPosition="0">
        <references count="1">
          <reference field="4294967294" count="1" selected="0">
            <x v="0"/>
          </reference>
        </references>
      </pivotArea>
    </chartFormat>
    <chartFormat chart="15" format="9" series="1">
      <pivotArea type="data" outline="0" fieldPosition="0">
        <references count="1">
          <reference field="4294967294" count="1" selected="0">
            <x v="1"/>
          </reference>
        </references>
      </pivotArea>
    </chartFormat>
  </chartFormats>
  <pivotTableStyleInfo name="CUSTOM" showRowHeaders="1" showColHeaders="1" showRowStripes="1" showColStripes="1"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2.xml><?xml version="1.0" encoding="utf-8"?>
<pivotTableDefinition xmlns="http://schemas.openxmlformats.org/spreadsheetml/2006/main" xmlns:mc="http://schemas.openxmlformats.org/markup-compatibility/2006" xmlns:xr="http://schemas.microsoft.com/office/spreadsheetml/2014/revision" mc:Ignorable="xr" xr:uid="{00000000-0007-0000-0700-00000D000000}" name="PivotTable9" cacheId="0" applyNumberFormats="0" applyBorderFormats="0" applyFontFormats="0" applyPatternFormats="0" applyAlignmentFormats="0" applyWidthHeightFormats="1" dataCaption="Values" updatedVersion="6" minRefreshableVersion="3" showDrill="0" itemPrintTitles="1" createdVersion="6" indent="0" showHeaders="0" compact="0" compactData="0" multipleFieldFilters="0">
  <location ref="M6:R10" firstHeaderRow="0" firstDataRow="1" firstDataCol="1" rowPageCount="3" colPageCount="1"/>
  <pivotFields count="119">
    <pivotField axis="axisRow" compact="0" outline="0" subtotalTop="0" showAll="0" sortType="ascending">
      <items count="15">
        <item m="1" x="11"/>
        <item m="1" x="12"/>
        <item m="1" x="5"/>
        <item m="1" x="13"/>
        <item m="1" x="7"/>
        <item m="1" x="8"/>
        <item m="1" x="9"/>
        <item m="1" x="10"/>
        <item m="1" x="4"/>
        <item m="1" x="6"/>
        <item x="0"/>
        <item x="1"/>
        <item x="2"/>
        <item m="1" x="3"/>
        <item t="default"/>
      </items>
    </pivotField>
    <pivotField compact="0" outline="0" showAll="0" defaultSubtotal="0"/>
    <pivotField compact="0" outline="0" showAll="0" defaultSubtotal="0"/>
    <pivotField compact="0" outline="0" subtotalTop="0" showAll="0"/>
    <pivotField axis="axisPage" compact="0" outline="0" subtotalTop="0" multipleItemSelectionAllowed="1" showAll="0">
      <items count="7">
        <item h="1" m="1" x="3"/>
        <item m="1" x="2"/>
        <item h="1" m="1" x="5"/>
        <item h="1" m="1" x="1"/>
        <item x="0"/>
        <item m="1" x="4"/>
        <item t="default"/>
      </items>
    </pivotField>
    <pivotField compact="0" outline="0" subtotalTop="0" showAll="0"/>
    <pivotField axis="axisPage" compact="0" outline="0" multipleItemSelectionAllowed="1" showAll="0" defaultSubtotal="0">
      <items count="10">
        <item x="0"/>
        <item m="1" x="2"/>
        <item m="1" x="8"/>
        <item m="1" x="4"/>
        <item h="1" m="1" x="5"/>
        <item h="1" m="1" x="7"/>
        <item m="1" x="3"/>
        <item m="1" x="1"/>
        <item h="1" m="1" x="6"/>
        <item h="1" m="1" x="9"/>
      </items>
    </pivotField>
    <pivotField compact="0" outline="0" subtotalTop="0" showAll="0"/>
    <pivotField compact="0" outline="0" subtotalTop="0" showAll="0"/>
    <pivotField dataField="1" compact="0" outline="0" subtotalTop="0" showAl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ubtotalTop="0" showAll="0"/>
    <pivotField compact="0" outline="0" showAll="0" defaultSubtotal="0"/>
    <pivotField compact="0" outline="0" showAll="0" defaultSubtotal="0"/>
    <pivotField compact="0" outline="0" showAll="0" defaultSubtota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defaultSubtotal="0"/>
    <pivotField compact="0" numFmtId="9" outline="0" showAll="0"/>
    <pivotField compact="0" outline="0" showAll="0" defaultSubtotal="0"/>
    <pivotField compact="0" outline="0" showAll="0"/>
    <pivotField compact="0" outline="0" subtotalTop="0" showAll="0"/>
    <pivotField compact="0" numFmtId="9" outline="0" showAll="0"/>
    <pivotField dataField="1" compact="0" outline="0" showAll="0" defaultSubtotal="0"/>
    <pivotField compact="0" outline="0" subtotalTop="0" showAll="0"/>
    <pivotField compact="0" outline="0" subtotalTop="0" showAll="0"/>
    <pivotField compact="0" outline="0" showAll="0" defaultSubtotal="0"/>
    <pivotField compact="0" numFmtId="1" outline="0" subtotalTop="0" showAll="0"/>
    <pivotField compact="0" outline="0" subtotalTop="0" showAll="0"/>
    <pivotField compact="0" numFmtId="9" outline="0" showAll="0"/>
    <pivotField dataField="1" compact="0" numFmtId="1" outline="0" showAll="0" defaultSubtotal="0"/>
    <pivotField compact="0" outline="0" showAll="0" defaultSubtotal="0"/>
    <pivotField compact="0" outline="0" subtotalTop="0" showAll="0"/>
    <pivotField compact="0" outline="0" subtotalTop="0" showAll="0"/>
    <pivotField compact="0" outline="0" subtotalTop="0" showAll="0"/>
    <pivotField compact="0" numFmtId="9" outline="0" showAll="0" defaultSubtotal="0"/>
    <pivotField compact="0" numFmtId="1" outline="0" showAll="0" defaultSubtotal="0"/>
    <pivotField compact="0" numFmtId="1" outline="0" showAll="0" defaultSubtotal="0"/>
    <pivotField compact="0" numFmtId="1" outline="0" showAll="0" defaultSubtotal="0"/>
    <pivotField dataField="1" compact="0" numFmtId="1" outline="0" showAll="0" defaultSubtotal="0"/>
    <pivotField dataField="1" compact="0" numFmtId="1" outline="0" showAll="0" defaultSubtotal="0"/>
    <pivotField compact="0" outline="0" subtotalTop="0" showAll="0"/>
    <pivotField compact="0" outline="0" subtotalTop="0" showAll="0"/>
    <pivotField compact="0" outline="0" subtotalTop="0" showAll="0"/>
    <pivotField compact="0" outline="0" subtotalTop="0" showAll="0"/>
    <pivotField compact="0" outline="0" showAll="0"/>
    <pivotField compact="0" outline="0" showAll="0"/>
    <pivotField compact="0" outline="0" subtotalTop="0" showAll="0"/>
    <pivotField compact="0" outline="0" subtotalTop="0" showAll="0"/>
    <pivotField compact="0" outline="0" subtotalTop="0" showAll="0"/>
    <pivotField compact="0" outline="0" subtotalTop="0" showAll="0"/>
    <pivotField compact="0" outline="0" subtotalTop="0" showAll="0"/>
    <pivotField compact="0" outline="0" subtotalTop="0" showAll="0"/>
    <pivotField compact="0" outline="0" subtotalTop="0" showAll="0"/>
    <pivotField compact="0" outline="0" subtotalTop="0" showAll="0"/>
    <pivotField axis="axisPage" compact="0" outline="0" subtotalTop="0" showAll="0">
      <items count="5">
        <item x="0"/>
        <item x="1"/>
        <item m="1" x="2"/>
        <item m="1" x="3"/>
        <item t="default"/>
      </items>
    </pivotField>
    <pivotField compact="0" outline="0" showAll="0"/>
    <pivotField compact="0" outline="0" showAll="0"/>
    <pivotField compact="0" outline="0" showAll="0"/>
    <pivotField compact="0" outline="0" subtotalTop="0" showAll="0"/>
    <pivotField compact="0" outline="0" showAll="0"/>
    <pivotField compact="0" outline="0" showAll="0"/>
    <pivotField compact="0" outline="0" showAll="0"/>
    <pivotField compact="0" outline="0" dragToRow="0" dragToCol="0" dragToPage="0" showAll="0" defaultSubtotal="0"/>
    <pivotField compact="0" outline="0" dragToRow="0" dragToCol="0" dragToPage="0" showAll="0" defaultSubtotal="0"/>
    <pivotField compact="0" outline="0" dragToRow="0" dragToCol="0" dragToPage="0" showAll="0" defaultSubtotal="0"/>
    <pivotField compact="0" outline="0" dragToRow="0" dragToCol="0" dragToPage="0" showAll="0" defaultSubtotal="0"/>
    <pivotField compact="0" outline="0" dragToRow="0" dragToCol="0" dragToPage="0" showAll="0" defaultSubtotal="0"/>
    <pivotField compact="0" outline="0" dragToRow="0" dragToCol="0" dragToPage="0" showAll="0" defaultSubtotal="0"/>
    <pivotField compact="0" outline="0" dragToRow="0" dragToCol="0" dragToPage="0" showAll="0" defaultSubtotal="0"/>
  </pivotFields>
  <rowFields count="1">
    <field x="0"/>
  </rowFields>
  <rowItems count="4">
    <i>
      <x v="10"/>
    </i>
    <i>
      <x v="11"/>
    </i>
    <i>
      <x v="12"/>
    </i>
    <i t="grand">
      <x/>
    </i>
  </rowItems>
  <colFields count="1">
    <field x="-2"/>
  </colFields>
  <colItems count="5">
    <i>
      <x/>
    </i>
    <i i="1">
      <x v="1"/>
    </i>
    <i i="2">
      <x v="2"/>
    </i>
    <i i="3">
      <x v="3"/>
    </i>
    <i i="4">
      <x v="4"/>
    </i>
  </colItems>
  <pageFields count="3">
    <pageField fld="104" item="0" hier="-1"/>
    <pageField fld="4" hier="-1"/>
    <pageField fld="6" hier="-1"/>
  </pageFields>
  <dataFields count="5">
    <dataField name="Total Population reached" fld="9" baseField="2" baseItem="0" numFmtId="3"/>
    <dataField name=" HRP1" fld="72" baseField="0" baseItem="9"/>
    <dataField name=" HRP2" fld="79" baseField="0" baseItem="9"/>
    <dataField name=" HRP3" fld="89" baseField="0" baseItem="9"/>
    <dataField name="Sum of # People received regular supply of hygiene items_6" fld="88" baseField="0" baseItem="0"/>
  </dataFields>
  <formats count="17">
    <format dxfId="126">
      <pivotArea field="4" type="button" dataOnly="0" labelOnly="1" outline="0" axis="axisPage" fieldPosition="1"/>
    </format>
    <format dxfId="125">
      <pivotArea type="all" dataOnly="0" outline="0" fieldPosition="0"/>
    </format>
    <format dxfId="124">
      <pivotArea field="4" type="button" dataOnly="0" labelOnly="1" outline="0" axis="axisPage" fieldPosition="1"/>
    </format>
    <format dxfId="123">
      <pivotArea outline="0" fieldPosition="0">
        <references count="1">
          <reference field="4294967294" count="1">
            <x v="0"/>
          </reference>
        </references>
      </pivotArea>
    </format>
    <format dxfId="122">
      <pivotArea dataOnly="0" labelOnly="1" outline="0" fieldPosition="0">
        <references count="1">
          <reference field="4294967294" count="1">
            <x v="0"/>
          </reference>
        </references>
      </pivotArea>
    </format>
    <format dxfId="121">
      <pivotArea type="all" dataOnly="0" outline="0" fieldPosition="0"/>
    </format>
    <format dxfId="120">
      <pivotArea outline="0" collapsedLevelsAreSubtotals="1" fieldPosition="0"/>
    </format>
    <format dxfId="119">
      <pivotArea dataOnly="0" labelOnly="1" fieldPosition="0">
        <references count="1">
          <reference field="4" count="0"/>
        </references>
      </pivotArea>
    </format>
    <format dxfId="118">
      <pivotArea dataOnly="0" labelOnly="1" grandRow="1" outline="0" fieldPosition="0"/>
    </format>
    <format dxfId="117">
      <pivotArea dataOnly="0" labelOnly="1" outline="0" fieldPosition="0">
        <references count="1">
          <reference field="4294967294" count="1">
            <x v="0"/>
          </reference>
        </references>
      </pivotArea>
    </format>
    <format dxfId="116">
      <pivotArea type="all" dataOnly="0" outline="0" fieldPosition="0"/>
    </format>
    <format dxfId="115">
      <pivotArea outline="0" collapsedLevelsAreSubtotals="1" fieldPosition="0"/>
    </format>
    <format dxfId="114">
      <pivotArea dataOnly="0" labelOnly="1" fieldPosition="0">
        <references count="1">
          <reference field="4" count="0"/>
        </references>
      </pivotArea>
    </format>
    <format dxfId="113">
      <pivotArea dataOnly="0" labelOnly="1" grandRow="1" outline="0" fieldPosition="0"/>
    </format>
    <format dxfId="112">
      <pivotArea dataOnly="0" labelOnly="1" outline="0" fieldPosition="0">
        <references count="1">
          <reference field="4294967294" count="1">
            <x v="0"/>
          </reference>
        </references>
      </pivotArea>
    </format>
    <format dxfId="111">
      <pivotArea dataOnly="0" labelOnly="1" outline="0" fieldPosition="0">
        <references count="1">
          <reference field="4294967294" count="1">
            <x v="1"/>
          </reference>
        </references>
      </pivotArea>
    </format>
    <format dxfId="110">
      <pivotArea field="0" grandRow="1" outline="0" axis="axisRow" fieldPosition="0">
        <references count="1">
          <reference field="4294967294" count="1" selected="0">
            <x v="1"/>
          </reference>
        </references>
      </pivotArea>
    </format>
  </formats>
  <pivotTableStyleInfo name="PivotStyleLight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3.xml><?xml version="1.0" encoding="utf-8"?>
<pivotTableDefinition xmlns="http://schemas.openxmlformats.org/spreadsheetml/2006/main" xmlns:mc="http://schemas.openxmlformats.org/markup-compatibility/2006" xmlns:xr="http://schemas.microsoft.com/office/spreadsheetml/2014/revision" mc:Ignorable="xr" xr:uid="{00000000-0007-0000-0700-000000000000}" name="HRP_1" cacheId="0" applyNumberFormats="0" applyBorderFormats="0" applyFontFormats="0" applyPatternFormats="0" applyAlignmentFormats="0" applyWidthHeightFormats="1" dataCaption="Values" updatedVersion="6" minRefreshableVersion="3" colGrandTotals="0" itemPrintTitles="1" createdVersion="6" indent="0" showHeaders="0" outline="1" outlineData="1" multipleFieldFilters="0">
  <location ref="B6:I8" firstHeaderRow="0" firstDataRow="1" firstDataCol="1" rowPageCount="3" colPageCount="1"/>
  <pivotFields count="119">
    <pivotField axis="axisPage" subtotalTop="0" showAll="0">
      <items count="15">
        <item m="1" x="12"/>
        <item m="1" x="7"/>
        <item m="1" x="3"/>
        <item m="1" x="5"/>
        <item m="1" x="13"/>
        <item m="1" x="4"/>
        <item m="1" x="11"/>
        <item m="1" x="8"/>
        <item m="1" x="9"/>
        <item m="1" x="10"/>
        <item m="1" x="6"/>
        <item x="0"/>
        <item x="2"/>
        <item x="1"/>
        <item t="default"/>
      </items>
    </pivotField>
    <pivotField showAll="0" defaultSubtotal="0"/>
    <pivotField showAll="0" defaultSubtotal="0"/>
    <pivotField subtotalTop="0" showAll="0"/>
    <pivotField axis="axisRow" subtotalTop="0" showAll="0">
      <items count="7">
        <item m="1" x="3"/>
        <item m="1" x="2"/>
        <item m="1" x="5"/>
        <item m="1" x="1"/>
        <item x="0"/>
        <item m="1" x="4"/>
        <item t="default"/>
      </items>
    </pivotField>
    <pivotField subtotalTop="0" showAll="0"/>
    <pivotField axis="axisPage" multipleItemSelectionAllowed="1" showAll="0" defaultSubtotal="0">
      <items count="10">
        <item x="0"/>
        <item m="1" x="2"/>
        <item m="1" x="8"/>
        <item h="1" m="1" x="4"/>
        <item h="1" m="1" x="5"/>
        <item h="1" m="1" x="7"/>
        <item h="1" m="1" x="3"/>
        <item h="1" m="1" x="1"/>
        <item h="1" m="1" x="6"/>
        <item h="1" m="1" x="9"/>
      </items>
    </pivotField>
    <pivotField subtotalTop="0" showAll="0"/>
    <pivotField subtotalTop="0" showAll="0"/>
    <pivotField dataField="1" subtotalTop="0" showAll="0"/>
    <pivotField showAll="0" defaultSubtotal="0"/>
    <pivotField showAll="0" defaultSubtotal="0"/>
    <pivotField dataField="1" showAll="0" defaultSubtotal="0"/>
    <pivotField showAll="0" defaultSubtotal="0"/>
    <pivotField showAll="0" defaultSubtotal="0"/>
    <pivotField subtotalTop="0" showAll="0"/>
    <pivotField showAll="0" defaultSubtotal="0"/>
    <pivotField showAll="0" defaultSubtota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numFmtId="9" showAll="0"/>
    <pivotField showAll="0" defaultSubtotal="0"/>
    <pivotField showAll="0"/>
    <pivotField subtotalTop="0" showAll="0"/>
    <pivotField numFmtId="9" showAll="0"/>
    <pivotField dataField="1" showAll="0" defaultSubtotal="0"/>
    <pivotField subtotalTop="0" showAll="0"/>
    <pivotField subtotalTop="0" showAll="0"/>
    <pivotField showAll="0" defaultSubtotal="0"/>
    <pivotField numFmtId="1" subtotalTop="0" showAll="0"/>
    <pivotField subtotalTop="0" showAll="0"/>
    <pivotField numFmtId="9" showAll="0"/>
    <pivotField dataField="1" numFmtId="1" showAll="0" defaultSubtotal="0"/>
    <pivotField showAll="0" defaultSubtotal="0"/>
    <pivotField subtotalTop="0" showAll="0"/>
    <pivotField subtotalTop="0" showAll="0"/>
    <pivotField subtotalTop="0" showAll="0"/>
    <pivotField numFmtId="9" showAll="0" defaultSubtotal="0"/>
    <pivotField dataField="1" numFmtId="1" showAll="0" defaultSubtotal="0"/>
    <pivotField numFmtId="1" showAll="0" defaultSubtotal="0"/>
    <pivotField numFmtId="1" showAll="0" defaultSubtotal="0"/>
    <pivotField dataField="1" numFmtId="1" showAll="0" defaultSubtotal="0"/>
    <pivotField dataField="1" numFmtId="1" showAll="0" defaultSubtotal="0"/>
    <pivotField subtotalTop="0" showAll="0"/>
    <pivotField subtotalTop="0" showAll="0"/>
    <pivotField subtotalTop="0" showAll="0"/>
    <pivotField subtotalTop="0" showAll="0"/>
    <pivotField showAll="0"/>
    <pivotField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axis="axisPage" subtotalTop="0" showAll="0">
      <items count="5">
        <item x="0"/>
        <item x="1"/>
        <item m="1" x="2"/>
        <item m="1" x="3"/>
        <item t="default"/>
      </items>
    </pivotField>
    <pivotField showAll="0"/>
    <pivotField showAll="0"/>
    <pivotField showAll="0"/>
    <pivotField subtotalTop="0" showAll="0"/>
    <pivotField showAll="0"/>
    <pivotField showAll="0"/>
    <pivotField showAl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s>
  <rowFields count="1">
    <field x="4"/>
  </rowFields>
  <rowItems count="2">
    <i>
      <x v="4"/>
    </i>
    <i t="grand">
      <x/>
    </i>
  </rowItems>
  <colFields count="1">
    <field x="-2"/>
  </colFields>
  <colItems count="7">
    <i>
      <x/>
    </i>
    <i i="1">
      <x v="1"/>
    </i>
    <i i="2">
      <x v="2"/>
    </i>
    <i i="3">
      <x v="3"/>
    </i>
    <i i="4">
      <x v="4"/>
    </i>
    <i i="5">
      <x v="5"/>
    </i>
    <i i="6">
      <x v="6"/>
    </i>
  </colItems>
  <pageFields count="3">
    <pageField fld="0" item="12" hier="-1"/>
    <pageField fld="104" item="0" hier="-1"/>
    <pageField fld="6" hier="-1"/>
  </pageFields>
  <dataFields count="7">
    <dataField name="Total Population reached" fld="9" baseField="2" baseItem="0" numFmtId="3"/>
    <dataField name=" HRP1" fld="72" baseField="4" baseItem="0"/>
    <dataField name=" HRP2" fld="79" baseField="0" baseItem="0"/>
    <dataField name=" HRP3" fld="89" baseField="0" baseItem="0"/>
    <dataField name=" # People received regular supply of hygiene items" fld="88" baseField="0" baseItem="0"/>
    <dataField name=" # people reached by regular dedicated hygiene promotion" fld="85" baseField="0" baseItem="0"/>
    <dataField name=" #_students at TLS_CFS" fld="12" baseField="0" baseItem="0"/>
  </dataFields>
  <formats count="46">
    <format dxfId="172">
      <pivotArea field="4" type="button" dataOnly="0" labelOnly="1" outline="0" axis="axisRow" fieldPosition="0"/>
    </format>
    <format dxfId="171">
      <pivotArea type="all" dataOnly="0" outline="0" fieldPosition="0"/>
    </format>
    <format dxfId="170">
      <pivotArea field="4" type="button" dataOnly="0" labelOnly="1" outline="0" axis="axisRow" fieldPosition="0"/>
    </format>
    <format dxfId="169">
      <pivotArea outline="0" fieldPosition="0">
        <references count="1">
          <reference field="4294967294" count="1">
            <x v="0"/>
          </reference>
        </references>
      </pivotArea>
    </format>
    <format dxfId="168">
      <pivotArea dataOnly="0" labelOnly="1" outline="0" fieldPosition="0">
        <references count="1">
          <reference field="4294967294" count="1">
            <x v="0"/>
          </reference>
        </references>
      </pivotArea>
    </format>
    <format dxfId="167">
      <pivotArea type="all" dataOnly="0" outline="0" fieldPosition="0"/>
    </format>
    <format dxfId="166">
      <pivotArea outline="0" collapsedLevelsAreSubtotals="1" fieldPosition="0"/>
    </format>
    <format dxfId="165">
      <pivotArea dataOnly="0" labelOnly="1" fieldPosition="0">
        <references count="1">
          <reference field="4" count="0"/>
        </references>
      </pivotArea>
    </format>
    <format dxfId="164">
      <pivotArea dataOnly="0" labelOnly="1" grandRow="1" outline="0" fieldPosition="0"/>
    </format>
    <format dxfId="163">
      <pivotArea dataOnly="0" labelOnly="1" outline="0" fieldPosition="0">
        <references count="1">
          <reference field="4294967294" count="1">
            <x v="0"/>
          </reference>
        </references>
      </pivotArea>
    </format>
    <format dxfId="162">
      <pivotArea type="all" dataOnly="0" outline="0" fieldPosition="0"/>
    </format>
    <format dxfId="161">
      <pivotArea outline="0" collapsedLevelsAreSubtotals="1" fieldPosition="0"/>
    </format>
    <format dxfId="160">
      <pivotArea dataOnly="0" labelOnly="1" fieldPosition="0">
        <references count="1">
          <reference field="4" count="0"/>
        </references>
      </pivotArea>
    </format>
    <format dxfId="159">
      <pivotArea dataOnly="0" labelOnly="1" grandRow="1" outline="0" fieldPosition="0"/>
    </format>
    <format dxfId="158">
      <pivotArea dataOnly="0" labelOnly="1" outline="0" fieldPosition="0">
        <references count="1">
          <reference field="4294967294" count="1">
            <x v="0"/>
          </reference>
        </references>
      </pivotArea>
    </format>
    <format dxfId="157">
      <pivotArea outline="0" collapsedLevelsAreSubtotals="1" fieldPosition="0"/>
    </format>
    <format dxfId="156">
      <pivotArea outline="0" collapsedLevelsAreSubtotals="1" fieldPosition="0">
        <references count="1">
          <reference field="4294967294" count="1" selected="0">
            <x v="1"/>
          </reference>
        </references>
      </pivotArea>
    </format>
    <format dxfId="155">
      <pivotArea dataOnly="0" labelOnly="1" outline="0" fieldPosition="0">
        <references count="1">
          <reference field="4294967294" count="1">
            <x v="1"/>
          </reference>
        </references>
      </pivotArea>
    </format>
    <format dxfId="154">
      <pivotArea outline="0" collapsedLevelsAreSubtotals="1" fieldPosition="0">
        <references count="1">
          <reference field="4294967294" count="1" selected="0">
            <x v="1"/>
          </reference>
        </references>
      </pivotArea>
    </format>
    <format dxfId="153">
      <pivotArea dataOnly="0" labelOnly="1" outline="0" fieldPosition="0">
        <references count="1">
          <reference field="4294967294" count="1">
            <x v="1"/>
          </reference>
        </references>
      </pivotArea>
    </format>
    <format dxfId="152">
      <pivotArea outline="0" collapsedLevelsAreSubtotals="1" fieldPosition="0">
        <references count="1">
          <reference field="4294967294" count="1" selected="0">
            <x v="2"/>
          </reference>
        </references>
      </pivotArea>
    </format>
    <format dxfId="151">
      <pivotArea dataOnly="0" labelOnly="1" outline="0" fieldPosition="0">
        <references count="1">
          <reference field="4294967294" count="1">
            <x v="2"/>
          </reference>
        </references>
      </pivotArea>
    </format>
    <format dxfId="150">
      <pivotArea outline="0" collapsedLevelsAreSubtotals="1" fieldPosition="0">
        <references count="1">
          <reference field="4294967294" count="1" selected="0">
            <x v="2"/>
          </reference>
        </references>
      </pivotArea>
    </format>
    <format dxfId="149">
      <pivotArea dataOnly="0" labelOnly="1" outline="0" fieldPosition="0">
        <references count="1">
          <reference field="4294967294" count="1">
            <x v="2"/>
          </reference>
        </references>
      </pivotArea>
    </format>
    <format dxfId="148">
      <pivotArea outline="0" collapsedLevelsAreSubtotals="1" fieldPosition="0">
        <references count="1">
          <reference field="4294967294" count="1" selected="0">
            <x v="3"/>
          </reference>
        </references>
      </pivotArea>
    </format>
    <format dxfId="147">
      <pivotArea dataOnly="0" labelOnly="1" outline="0" fieldPosition="0">
        <references count="1">
          <reference field="4294967294" count="1">
            <x v="3"/>
          </reference>
        </references>
      </pivotArea>
    </format>
    <format dxfId="146">
      <pivotArea outline="0" collapsedLevelsAreSubtotals="1" fieldPosition="0">
        <references count="1">
          <reference field="4294967294" count="1" selected="0">
            <x v="3"/>
          </reference>
        </references>
      </pivotArea>
    </format>
    <format dxfId="145">
      <pivotArea dataOnly="0" labelOnly="1" outline="0" fieldPosition="0">
        <references count="1">
          <reference field="4294967294" count="1">
            <x v="3"/>
          </reference>
        </references>
      </pivotArea>
    </format>
    <format dxfId="144">
      <pivotArea outline="0" collapsedLevelsAreSubtotals="1" fieldPosition="0">
        <references count="1">
          <reference field="4294967294" count="1" selected="0">
            <x v="0"/>
          </reference>
        </references>
      </pivotArea>
    </format>
    <format dxfId="143">
      <pivotArea dataOnly="0" labelOnly="1" outline="0" fieldPosition="0">
        <references count="1">
          <reference field="4294967294" count="1">
            <x v="0"/>
          </reference>
        </references>
      </pivotArea>
    </format>
    <format dxfId="142">
      <pivotArea outline="0" collapsedLevelsAreSubtotals="1" fieldPosition="0">
        <references count="1">
          <reference field="4294967294" count="1" selected="0">
            <x v="0"/>
          </reference>
        </references>
      </pivotArea>
    </format>
    <format dxfId="141">
      <pivotArea dataOnly="0" labelOnly="1" outline="0" fieldPosition="0">
        <references count="1">
          <reference field="4294967294" count="1">
            <x v="0"/>
          </reference>
        </references>
      </pivotArea>
    </format>
    <format dxfId="140">
      <pivotArea dataOnly="0" labelOnly="1" outline="0" fieldPosition="0">
        <references count="1">
          <reference field="4294967294" count="4">
            <x v="0"/>
            <x v="1"/>
            <x v="2"/>
            <x v="3"/>
          </reference>
        </references>
      </pivotArea>
    </format>
    <format dxfId="139">
      <pivotArea dataOnly="0" labelOnly="1" outline="0" fieldPosition="0">
        <references count="1">
          <reference field="4294967294" count="5">
            <x v="0"/>
            <x v="1"/>
            <x v="2"/>
            <x v="3"/>
            <x v="6"/>
          </reference>
        </references>
      </pivotArea>
    </format>
    <format dxfId="138">
      <pivotArea dataOnly="0" outline="0" fieldPosition="0">
        <references count="3">
          <reference field="4294967294" count="1">
            <x v="6"/>
          </reference>
          <reference field="0" count="0" selected="0"/>
          <reference field="104" count="1" selected="0">
            <x v="0"/>
          </reference>
        </references>
      </pivotArea>
    </format>
    <format dxfId="137">
      <pivotArea dataOnly="0" outline="0" fieldPosition="0">
        <references count="3">
          <reference field="4294967294" count="1">
            <x v="6"/>
          </reference>
          <reference field="0" count="0" selected="0"/>
          <reference field="104" count="1" selected="0">
            <x v="0"/>
          </reference>
        </references>
      </pivotArea>
    </format>
    <format dxfId="136">
      <pivotArea dataOnly="0" labelOnly="1" outline="0" fieldPosition="0">
        <references count="1">
          <reference field="4294967294" count="1">
            <x v="6"/>
          </reference>
        </references>
      </pivotArea>
    </format>
    <format dxfId="135">
      <pivotArea dataOnly="0" labelOnly="1" outline="0" fieldPosition="0">
        <references count="1">
          <reference field="4294967294" count="1">
            <x v="4"/>
          </reference>
        </references>
      </pivotArea>
    </format>
    <format dxfId="134">
      <pivotArea dataOnly="0" labelOnly="1" outline="0" fieldPosition="0">
        <references count="1">
          <reference field="4294967294" count="1">
            <x v="4"/>
          </reference>
        </references>
      </pivotArea>
    </format>
    <format dxfId="133">
      <pivotArea outline="0" collapsedLevelsAreSubtotals="1" fieldPosition="0">
        <references count="1">
          <reference field="4294967294" count="1" selected="0">
            <x v="4"/>
          </reference>
        </references>
      </pivotArea>
    </format>
    <format dxfId="132">
      <pivotArea dataOnly="0" labelOnly="1" outline="0" fieldPosition="0">
        <references count="1">
          <reference field="4294967294" count="1">
            <x v="5"/>
          </reference>
        </references>
      </pivotArea>
    </format>
    <format dxfId="131">
      <pivotArea collapsedLevelsAreSubtotals="1" fieldPosition="0">
        <references count="2">
          <reference field="4294967294" count="1" selected="0">
            <x v="5"/>
          </reference>
          <reference field="4" count="1">
            <x v="0"/>
          </reference>
        </references>
      </pivotArea>
    </format>
    <format dxfId="130">
      <pivotArea outline="0" collapsedLevelsAreSubtotals="1" fieldPosition="0">
        <references count="1">
          <reference field="4294967294" count="3" selected="0">
            <x v="4"/>
            <x v="5"/>
            <x v="6"/>
          </reference>
        </references>
      </pivotArea>
    </format>
    <format dxfId="129">
      <pivotArea dataOnly="0" labelOnly="1" outline="0" fieldPosition="0">
        <references count="1">
          <reference field="4294967294" count="3">
            <x v="4"/>
            <x v="5"/>
            <x v="6"/>
          </reference>
        </references>
      </pivotArea>
    </format>
    <format dxfId="128">
      <pivotArea outline="0" collapsedLevelsAreSubtotals="1" fieldPosition="0">
        <references count="1">
          <reference field="4294967294" count="3" selected="0">
            <x v="4"/>
            <x v="5"/>
            <x v="6"/>
          </reference>
        </references>
      </pivotArea>
    </format>
    <format dxfId="127">
      <pivotArea dataOnly="0" labelOnly="1" outline="0" fieldPosition="0">
        <references count="1">
          <reference field="4294967294" count="3">
            <x v="4"/>
            <x v="5"/>
            <x v="6"/>
          </reference>
        </references>
      </pivotArea>
    </format>
  </formats>
  <pivotTableStyleInfo name="PivotStyleLight23"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4.xml><?xml version="1.0" encoding="utf-8"?>
<pivotTableDefinition xmlns="http://schemas.openxmlformats.org/spreadsheetml/2006/main" xmlns:mc="http://schemas.openxmlformats.org/markup-compatibility/2006" xmlns:xr="http://schemas.microsoft.com/office/spreadsheetml/2014/revision" mc:Ignorable="xr" xr:uid="{8F315799-61F1-4D5F-97DF-F99E196AC441}" name="PivotTable19" cacheId="0" applyNumberFormats="0" applyBorderFormats="0" applyFontFormats="0" applyPatternFormats="0" applyAlignmentFormats="0" applyWidthHeightFormats="1" dataCaption="Values" updatedVersion="6" minRefreshableVersion="3" rowGrandTotals="0" colGrandTotals="0" itemPrintTitles="1" createdVersion="6" indent="0" compact="0" compactData="0" multipleFieldFilters="0" rowHeaderCaption="Township">
  <location ref="A7:B14" firstHeaderRow="1" firstDataRow="1" firstDataCol="2" rowPageCount="4" colPageCount="1"/>
  <pivotFields count="119">
    <pivotField axis="axisPage" compact="0" outline="0" subtotalTop="0" multipleItemSelectionAllowed="1" showAll="0" defaultSubtotal="0">
      <items count="14">
        <item m="1" x="12"/>
        <item m="1" x="5"/>
        <item h="1" m="1" x="7"/>
        <item m="1" x="3"/>
        <item m="1" x="13"/>
        <item m="1" x="4"/>
        <item m="1" x="11"/>
        <item h="1" m="1" x="8"/>
        <item h="1" m="1" x="9"/>
        <item m="1" x="10"/>
        <item m="1" x="6"/>
        <item h="1" x="0"/>
        <item x="2"/>
        <item h="1" x="1"/>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Row" compact="0" outline="0" showAll="0" defaultSubtotal="0">
      <items count="42">
        <item m="1" x="25"/>
        <item x="3"/>
        <item m="1" x="40"/>
        <item x="5"/>
        <item m="1" x="34"/>
        <item m="1" x="10"/>
        <item m="1" x="19"/>
        <item m="1" x="12"/>
        <item x="4"/>
        <item m="1" x="38"/>
        <item m="1" x="31"/>
        <item m="1" x="15"/>
        <item m="1" x="20"/>
        <item m="1" x="13"/>
        <item x="8"/>
        <item x="2"/>
        <item x="1"/>
        <item m="1" x="11"/>
        <item x="7"/>
        <item x="6"/>
        <item m="1" x="39"/>
        <item m="1" x="14"/>
        <item x="0"/>
        <item m="1" x="24"/>
        <item m="1" x="29"/>
        <item m="1" x="35"/>
        <item m="1" x="27"/>
        <item m="1" x="33"/>
        <item m="1" x="41"/>
        <item m="1" x="16"/>
        <item m="1" x="22"/>
        <item m="1" x="36"/>
        <item m="1" x="30"/>
        <item m="1" x="32"/>
        <item m="1" x="17"/>
        <item m="1" x="9"/>
        <item m="1" x="23"/>
        <item m="1" x="26"/>
        <item m="1" x="28"/>
        <item m="1" x="37"/>
        <item m="1" x="18"/>
        <item m="1" x="21"/>
      </items>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axis="axisPage" compact="0" outline="0" subtotalTop="0" multipleItemSelectionAllowed="1" showAll="0" defaultSubtotal="0">
      <items count="6">
        <item h="1" m="1" x="3"/>
        <item h="1" m="1" x="2"/>
        <item h="1" m="1" x="5"/>
        <item h="1" m="1" x="1"/>
        <item x="0"/>
        <item m="1" x="4"/>
      </items>
      <extLst>
        <ext xmlns:x14="http://schemas.microsoft.com/office/spreadsheetml/2009/9/main" uri="{2946ED86-A175-432a-8AC1-64E0C546D7DE}">
          <x14:pivotField fillDownLabels="1"/>
        </ext>
      </extLst>
    </pivotField>
    <pivotField axis="axisRow" compact="0" outline="0" subtotalTop="0" showAll="0" sortType="ascending" defaultSubtotal="0">
      <items count="41">
        <item m="1" x="13"/>
        <item m="1" x="16"/>
        <item m="1" x="36"/>
        <item m="1" x="19"/>
        <item m="1" x="30"/>
        <item m="1" x="25"/>
        <item m="1" x="29"/>
        <item m="1" x="22"/>
        <item m="1" x="7"/>
        <item x="2"/>
        <item x="3"/>
        <item m="1" x="12"/>
        <item m="1" x="33"/>
        <item m="1" x="9"/>
        <item m="1" x="15"/>
        <item m="1" x="26"/>
        <item m="1" x="11"/>
        <item m="1" x="20"/>
        <item m="1" x="31"/>
        <item m="1" x="6"/>
        <item m="1" x="23"/>
        <item m="1" x="35"/>
        <item m="1" x="14"/>
        <item x="4"/>
        <item m="1" x="24"/>
        <item m="1" x="17"/>
        <item m="1" x="21"/>
        <item m="1" x="27"/>
        <item m="1" x="8"/>
        <item m="1" x="10"/>
        <item x="0"/>
        <item m="1" x="28"/>
        <item m="1" x="18"/>
        <item m="1" x="38"/>
        <item m="1" x="32"/>
        <item m="1" x="39"/>
        <item x="1"/>
        <item m="1" x="40"/>
        <item m="1" x="37"/>
        <item m="1" x="34"/>
        <item m="1" x="5"/>
      </items>
      <extLst>
        <ext xmlns:x14="http://schemas.microsoft.com/office/spreadsheetml/2009/9/main" uri="{2946ED86-A175-432a-8AC1-64E0C546D7DE}">
          <x14:pivotField fillDownLabels="1"/>
        </ext>
      </extLst>
    </pivotField>
    <pivotField axis="axisPage" compact="0" outline="0" multipleItemSelectionAllowed="1" showAll="0" defaultSubtotal="0">
      <items count="10">
        <item x="0"/>
        <item h="1" m="1" x="2"/>
        <item m="1" x="8"/>
        <item m="1" x="7"/>
        <item h="1" m="1" x="1"/>
        <item h="1" m="1" x="4"/>
        <item h="1" m="1" x="3"/>
        <item h="1" m="1" x="5"/>
        <item m="1" x="6"/>
        <item m="1" x="9"/>
      </items>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9" outline="0" subtotalTop="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numFmtId="9" outline="0" subtotalTop="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numFmtId="9" outline="0" subtotalTop="0" showAll="0" defaultSubtotal="0">
      <extLst>
        <ext xmlns:x14="http://schemas.microsoft.com/office/spreadsheetml/2009/9/main" uri="{2946ED86-A175-432a-8AC1-64E0C546D7DE}">
          <x14:pivotField fillDownLabels="1"/>
        </ext>
      </extLst>
    </pivotField>
    <pivotField compact="0" numFmtId="1"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numFmtId="9" outline="0" showAll="0" defaultSubtotal="0">
      <extLst>
        <ext xmlns:x14="http://schemas.microsoft.com/office/spreadsheetml/2009/9/main" uri="{2946ED86-A175-432a-8AC1-64E0C546D7DE}">
          <x14:pivotField fillDownLabels="1"/>
        </ext>
      </extLst>
    </pivotField>
    <pivotField compact="0" numFmtId="1" outline="0" showAll="0" defaultSubtotal="0">
      <extLst>
        <ext xmlns:x14="http://schemas.microsoft.com/office/spreadsheetml/2009/9/main" uri="{2946ED86-A175-432a-8AC1-64E0C546D7DE}">
          <x14:pivotField fillDownLabels="1"/>
        </ext>
      </extLst>
    </pivotField>
    <pivotField compact="0" numFmtId="1" outline="0" showAll="0" defaultSubtotal="0">
      <extLst>
        <ext xmlns:x14="http://schemas.microsoft.com/office/spreadsheetml/2009/9/main" uri="{2946ED86-A175-432a-8AC1-64E0C546D7DE}">
          <x14:pivotField fillDownLabels="1"/>
        </ext>
      </extLst>
    </pivotField>
    <pivotField compact="0" numFmtId="1" outline="0" showAll="0" defaultSubtotal="0">
      <extLst>
        <ext xmlns:x14="http://schemas.microsoft.com/office/spreadsheetml/2009/9/main" uri="{2946ED86-A175-432a-8AC1-64E0C546D7DE}">
          <x14:pivotField fillDownLabels="1"/>
        </ext>
      </extLst>
    </pivotField>
    <pivotField compact="0" numFmtId="1" outline="0" showAll="0" defaultSubtotal="0">
      <extLst>
        <ext xmlns:x14="http://schemas.microsoft.com/office/spreadsheetml/2009/9/main" uri="{2946ED86-A175-432a-8AC1-64E0C546D7DE}">
          <x14:pivotField fillDownLabels="1"/>
        </ext>
      </extLst>
    </pivotField>
    <pivotField compact="0" numFmtId="1" outline="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axis="axisPage" compact="0" outline="0" subtotalTop="0" showAll="0" defaultSubtotal="0">
      <items count="4">
        <item x="0"/>
        <item x="1"/>
        <item m="1" x="3"/>
        <item m="1" x="2"/>
      </items>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dragToRow="0" dragToCol="0" dragToPage="0" showAll="0" defaultSubtotal="0">
      <extLst>
        <ext xmlns:x14="http://schemas.microsoft.com/office/spreadsheetml/2009/9/main" uri="{2946ED86-A175-432a-8AC1-64E0C546D7DE}">
          <x14:pivotField fillDownLabels="1"/>
        </ext>
      </extLst>
    </pivotField>
    <pivotField compact="0" outline="0" subtotalTop="0" dragToRow="0" dragToCol="0" dragToPage="0" showAll="0" defaultSubtotal="0">
      <extLst>
        <ext xmlns:x14="http://schemas.microsoft.com/office/spreadsheetml/2009/9/main" uri="{2946ED86-A175-432a-8AC1-64E0C546D7DE}">
          <x14:pivotField fillDownLabels="1"/>
        </ext>
      </extLst>
    </pivotField>
    <pivotField compact="0" outline="0" subtotalTop="0" dragToRow="0" dragToCol="0" dragToPage="0" showAll="0" defaultSubtotal="0">
      <extLst>
        <ext xmlns:x14="http://schemas.microsoft.com/office/spreadsheetml/2009/9/main" uri="{2946ED86-A175-432a-8AC1-64E0C546D7DE}">
          <x14:pivotField fillDownLabels="1"/>
        </ext>
      </extLst>
    </pivotField>
    <pivotField compact="0" outline="0" subtotalTop="0" dragToRow="0" dragToCol="0" dragToPage="0" showAll="0" defaultSubtotal="0">
      <extLst>
        <ext xmlns:x14="http://schemas.microsoft.com/office/spreadsheetml/2009/9/main" uri="{2946ED86-A175-432a-8AC1-64E0C546D7DE}">
          <x14:pivotField fillDownLabels="1"/>
        </ext>
      </extLst>
    </pivotField>
    <pivotField compact="0" outline="0" subtotalTop="0" dragToRow="0" dragToCol="0" dragToPage="0" showAll="0" defaultSubtotal="0">
      <extLst>
        <ext xmlns:x14="http://schemas.microsoft.com/office/spreadsheetml/2009/9/main" uri="{2946ED86-A175-432a-8AC1-64E0C546D7DE}">
          <x14:pivotField fillDownLabels="1"/>
        </ext>
      </extLst>
    </pivotField>
    <pivotField compact="0" outline="0" subtotalTop="0" dragToRow="0" dragToCol="0" dragToPage="0" showAll="0" defaultSubtotal="0">
      <extLst>
        <ext xmlns:x14="http://schemas.microsoft.com/office/spreadsheetml/2009/9/main" uri="{2946ED86-A175-432a-8AC1-64E0C546D7DE}">
          <x14:pivotField fillDownLabels="1"/>
        </ext>
      </extLst>
    </pivotField>
    <pivotField compact="0" outline="0" subtotalTop="0" dragToRow="0" dragToCol="0" dragToPage="0" showAll="0" defaultSubtotal="0">
      <extLst>
        <ext xmlns:x14="http://schemas.microsoft.com/office/spreadsheetml/2009/9/main" uri="{2946ED86-A175-432a-8AC1-64E0C546D7DE}">
          <x14:pivotField fillDownLabels="1"/>
        </ext>
      </extLst>
    </pivotField>
  </pivotFields>
  <rowFields count="2">
    <field x="5"/>
    <field x="2"/>
  </rowFields>
  <rowItems count="7">
    <i>
      <x v="9"/>
      <x v="1"/>
    </i>
    <i>
      <x v="23"/>
      <x v="18"/>
    </i>
    <i>
      <x v="30"/>
      <x v="19"/>
    </i>
    <i r="1">
      <x v="22"/>
    </i>
    <i>
      <x v="36"/>
      <x v="15"/>
    </i>
    <i r="1">
      <x v="16"/>
    </i>
    <i r="1">
      <x v="19"/>
    </i>
  </rowItems>
  <colItems count="1">
    <i/>
  </colItems>
  <pageFields count="4">
    <pageField fld="0" hier="-1"/>
    <pageField fld="104" item="0" hier="-1"/>
    <pageField fld="6" hier="-1"/>
    <pageField fld="4" hier="-1"/>
  </pageFields>
  <formats count="28">
    <format dxfId="109">
      <pivotArea type="all" dataOnly="0" outline="0" fieldPosition="0"/>
    </format>
    <format dxfId="108">
      <pivotArea outline="0" collapsedLevelsAreSubtotals="1" fieldPosition="0"/>
    </format>
    <format dxfId="107">
      <pivotArea field="5" type="button" dataOnly="0" labelOnly="1" outline="0" axis="axisRow" fieldPosition="0"/>
    </format>
    <format dxfId="106">
      <pivotArea dataOnly="0" labelOnly="1" outline="0" axis="axisValues" fieldPosition="0"/>
    </format>
    <format dxfId="105">
      <pivotArea dataOnly="0" labelOnly="1" fieldPosition="0">
        <references count="1">
          <reference field="5" count="0"/>
        </references>
      </pivotArea>
    </format>
    <format dxfId="104">
      <pivotArea dataOnly="0" labelOnly="1" grandRow="1" outline="0" fieldPosition="0"/>
    </format>
    <format dxfId="103">
      <pivotArea dataOnly="0" labelOnly="1" outline="0" axis="axisValues" fieldPosition="0"/>
    </format>
    <format dxfId="102">
      <pivotArea type="all" dataOnly="0" outline="0" fieldPosition="0"/>
    </format>
    <format dxfId="101">
      <pivotArea field="5" type="button" dataOnly="0" labelOnly="1" outline="0" axis="axisRow" fieldPosition="0"/>
    </format>
    <format dxfId="100">
      <pivotArea dataOnly="0" labelOnly="1" outline="0" axis="axisValues" fieldPosition="0"/>
    </format>
    <format dxfId="99">
      <pivotArea dataOnly="0" labelOnly="1" fieldPosition="0">
        <references count="1">
          <reference field="5" count="0"/>
        </references>
      </pivotArea>
    </format>
    <format dxfId="98">
      <pivotArea dataOnly="0" labelOnly="1" outline="0" axis="axisValues" fieldPosition="0"/>
    </format>
    <format dxfId="97">
      <pivotArea field="5" type="button" dataOnly="0" labelOnly="1" outline="0" axis="axisRow" fieldPosition="0"/>
    </format>
    <format dxfId="96">
      <pivotArea type="all" dataOnly="0" outline="0" fieldPosition="0"/>
    </format>
    <format dxfId="95">
      <pivotArea field="5" type="button" dataOnly="0" labelOnly="1" outline="0" axis="axisRow" fieldPosition="0"/>
    </format>
    <format dxfId="94">
      <pivotArea dataOnly="0" labelOnly="1" fieldPosition="0">
        <references count="1">
          <reference field="5" count="0"/>
        </references>
      </pivotArea>
    </format>
    <format dxfId="93">
      <pivotArea type="all" dataOnly="0" outline="0" fieldPosition="0"/>
    </format>
    <format dxfId="92">
      <pivotArea outline="0" collapsedLevelsAreSubtotals="1" fieldPosition="0"/>
    </format>
    <format dxfId="91">
      <pivotArea field="5" type="button" dataOnly="0" labelOnly="1" outline="0" axis="axisRow" fieldPosition="0"/>
    </format>
    <format dxfId="90">
      <pivotArea dataOnly="0" labelOnly="1" fieldPosition="0">
        <references count="1">
          <reference field="5" count="0"/>
        </references>
      </pivotArea>
    </format>
    <format dxfId="89">
      <pivotArea field="5" type="button" dataOnly="0" labelOnly="1" outline="0" axis="axisRow" fieldPosition="0"/>
    </format>
    <format dxfId="88">
      <pivotArea type="all" dataOnly="0" outline="0" fieldPosition="0"/>
    </format>
    <format dxfId="87">
      <pivotArea outline="0" collapsedLevelsAreSubtotals="1" fieldPosition="0"/>
    </format>
    <format dxfId="86">
      <pivotArea field="5" type="button" dataOnly="0" labelOnly="1" outline="0" axis="axisRow" fieldPosition="0"/>
    </format>
    <format dxfId="85">
      <pivotArea dataOnly="0" labelOnly="1" fieldPosition="0">
        <references count="1">
          <reference field="5" count="13">
            <x v="1"/>
            <x v="4"/>
            <x v="5"/>
            <x v="13"/>
            <x v="17"/>
            <x v="18"/>
            <x v="20"/>
            <x v="24"/>
            <x v="32"/>
            <x v="35"/>
            <x v="37"/>
            <x v="38"/>
            <x v="39"/>
          </reference>
        </references>
      </pivotArea>
    </format>
    <format dxfId="84">
      <pivotArea dataOnly="0" labelOnly="1" grandRow="1" outline="0" fieldPosition="0"/>
    </format>
    <format dxfId="83">
      <pivotArea field="4" type="button" dataOnly="0" labelOnly="1" outline="0" axis="axisPage" fieldPosition="3"/>
    </format>
    <format dxfId="82">
      <pivotArea dataOnly="0" labelOnly="1" outline="0" fieldPosition="0">
        <references count="2">
          <reference field="4" count="1">
            <x v="0"/>
          </reference>
          <reference field="104" count="1" selected="0">
            <x v="0"/>
          </reference>
        </references>
      </pivotArea>
    </format>
  </formats>
  <pivotTableStyleInfo name="CUSTOM" showRowHeaders="1" showColHeaders="1" showRowStripes="1"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pivotTables/pivotTable35.xml><?xml version="1.0" encoding="utf-8"?>
<pivotTableDefinition xmlns="http://schemas.openxmlformats.org/spreadsheetml/2006/main" xmlns:mc="http://schemas.openxmlformats.org/markup-compatibility/2006" xmlns:xr="http://schemas.microsoft.com/office/spreadsheetml/2014/revision" mc:Ignorable="xr" xr:uid="{00000000-0007-0000-0900-000000000000}" name="PivotTable1" cacheId="0" applyNumberFormats="0" applyBorderFormats="0" applyFontFormats="0" applyPatternFormats="0" applyAlignmentFormats="0" applyWidthHeightFormats="1" dataCaption="Values" updatedVersion="6" minRefreshableVersion="3" useAutoFormatting="1" itemPrintTitles="1" createdVersion="5" indent="0" compact="0" compactData="0" multipleFieldFilters="0" chartFormat="5">
  <location ref="A29:F36" firstHeaderRow="0" firstDataRow="1" firstDataCol="2" rowPageCount="1" colPageCount="1"/>
  <pivotFields count="119">
    <pivotField axis="axisPage" compact="0" outline="0" multipleItemSelectionAllowed="1" showAll="0">
      <items count="15">
        <item m="1" x="11"/>
        <item m="1" x="12"/>
        <item m="1" x="5"/>
        <item m="1" x="13"/>
        <item m="1" x="7"/>
        <item m="1" x="4"/>
        <item m="1" x="3"/>
        <item m="1" x="8"/>
        <item m="1" x="9"/>
        <item m="1" x="10"/>
        <item m="1" x="6"/>
        <item x="0"/>
        <item x="2"/>
        <item x="1"/>
        <item t="default"/>
      </items>
    </pivotField>
    <pivotField compact="0" outline="0" showAll="0" defaultSubtotal="0">
      <items count="43">
        <item m="1" x="27"/>
        <item m="1" x="36"/>
        <item m="1" x="37"/>
        <item x="3"/>
        <item m="1" x="42"/>
        <item x="5"/>
        <item m="1" x="32"/>
        <item m="1" x="10"/>
        <item m="1" x="22"/>
        <item m="1" x="12"/>
        <item x="4"/>
        <item m="1" x="40"/>
        <item m="1" x="30"/>
        <item m="1" x="15"/>
        <item m="1" x="13"/>
        <item m="1" x="31"/>
        <item m="1" x="29"/>
        <item m="1" x="25"/>
        <item m="1" x="19"/>
        <item m="1" x="35"/>
        <item m="1" x="17"/>
        <item m="1" x="16"/>
        <item m="1" x="38"/>
        <item x="8"/>
        <item m="1" x="24"/>
        <item m="1" x="23"/>
        <item m="1" x="21"/>
        <item x="2"/>
        <item m="1" x="20"/>
        <item x="1"/>
        <item m="1" x="39"/>
        <item m="1" x="11"/>
        <item m="1" x="18"/>
        <item x="7"/>
        <item x="6"/>
        <item m="1" x="41"/>
        <item m="1" x="14"/>
        <item x="0"/>
        <item m="1" x="26"/>
        <item m="1" x="28"/>
        <item m="1" x="34"/>
        <item m="1" x="33"/>
        <item m="1" x="9"/>
      </items>
    </pivotField>
    <pivotField compact="0" outline="0" showAll="0" defaultSubtotal="0"/>
    <pivotField compact="0" outline="0" showAll="0"/>
    <pivotField axis="axisRow" compact="0" outline="0" showAll="0">
      <items count="7">
        <item m="1" x="3"/>
        <item m="1" x="2"/>
        <item m="1" x="5"/>
        <item m="1" x="1"/>
        <item x="0"/>
        <item m="1" x="4"/>
        <item t="default"/>
      </items>
    </pivotField>
    <pivotField axis="axisRow" compact="0" outline="0" showAll="0">
      <items count="42">
        <item m="1" x="13"/>
        <item m="1" x="16"/>
        <item m="1" x="36"/>
        <item m="1" x="30"/>
        <item m="1" x="25"/>
        <item m="1" x="29"/>
        <item m="1" x="22"/>
        <item m="1" x="7"/>
        <item x="2"/>
        <item x="3"/>
        <item m="1" x="12"/>
        <item m="1" x="33"/>
        <item m="1" x="9"/>
        <item m="1" x="15"/>
        <item m="1" x="26"/>
        <item m="1" x="11"/>
        <item m="1" x="20"/>
        <item m="1" x="31"/>
        <item m="1" x="23"/>
        <item m="1" x="35"/>
        <item m="1" x="14"/>
        <item x="4"/>
        <item m="1" x="24"/>
        <item m="1" x="21"/>
        <item m="1" x="27"/>
        <item m="1" x="10"/>
        <item x="0"/>
        <item m="1" x="28"/>
        <item m="1" x="18"/>
        <item m="1" x="38"/>
        <item m="1" x="32"/>
        <item m="1" x="39"/>
        <item x="1"/>
        <item m="1" x="40"/>
        <item m="1" x="37"/>
        <item m="1" x="34"/>
        <item m="1" x="17"/>
        <item m="1" x="6"/>
        <item m="1" x="8"/>
        <item m="1" x="5"/>
        <item m="1" x="19"/>
        <item t="default"/>
      </items>
    </pivotField>
    <pivotField compact="0" outline="0" showAll="0" defaultSubtotal="0"/>
    <pivotField compact="0" outline="0" showAll="0"/>
    <pivotField compact="0" outline="0" showAll="0"/>
    <pivotField dataField="1" compact="0" numFmtId="1" outline="0" showAl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pivotField compact="0" outline="0" showAll="0" defaultSubtotal="0"/>
    <pivotField compact="0" outline="0" showAll="0" defaultSubtotal="0"/>
    <pivotField compact="0" outline="0" showAll="0" defaultSubtota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defaultSubtotal="0"/>
    <pivotField compact="0" numFmtId="9" outline="0" showAll="0"/>
    <pivotField compact="0" outline="0" showAll="0" defaultSubtotal="0"/>
    <pivotField compact="0" outline="0" showAll="0"/>
    <pivotField compact="0" numFmtId="1" outline="0" showAll="0"/>
    <pivotField compact="0" numFmtId="9" outline="0" showAll="0"/>
    <pivotField dataField="1" compact="0" outline="0" showAll="0" defaultSubtotal="0"/>
    <pivotField compact="0" outline="0" showAll="0"/>
    <pivotField compact="0" numFmtId="9" outline="0" showAll="0"/>
    <pivotField compact="0" outline="0" showAll="0" defaultSubtotal="0"/>
    <pivotField compact="0" numFmtId="1" outline="0" showAll="0"/>
    <pivotField compact="0" numFmtId="1" outline="0" showAll="0"/>
    <pivotField compact="0" numFmtId="9" outline="0" showAll="0"/>
    <pivotField dataField="1" compact="0" numFmtId="1" outline="0" showAll="0" defaultSubtotal="0"/>
    <pivotField compact="0" outline="0" showAll="0" defaultSubtotal="0"/>
    <pivotField compact="0" numFmtId="1" outline="0" showAll="0"/>
    <pivotField compact="0" numFmtId="1" outline="0" showAll="0"/>
    <pivotField compact="0" numFmtId="9" outline="0" showAll="0"/>
    <pivotField compact="0" numFmtId="9" outline="0" showAll="0"/>
    <pivotField compact="0" numFmtId="1" outline="0" showAll="0"/>
    <pivotField compact="0" numFmtId="1" outline="0" showAll="0"/>
    <pivotField compact="0" numFmtId="1" outline="0" showAll="0"/>
    <pivotField compact="0" numFmtId="1" outline="0" showAll="0"/>
    <pivotField dataField="1" compact="0" numFmtId="1" outline="0" showAll="0" defaultSubtotal="0"/>
    <pivotField compact="0" numFmtId="9" outline="0" showAll="0"/>
    <pivotField compact="0" numFmtId="9" outline="0" showAll="0"/>
    <pivotField compact="0" numFmtId="9" outline="0" showAll="0"/>
    <pivotField compact="0" numFmtId="9"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dragToRow="0" dragToCol="0" dragToPage="0" showAll="0" defaultSubtotal="0"/>
    <pivotField compact="0" outline="0" dragToRow="0" dragToCol="0" dragToPage="0" showAll="0" defaultSubtotal="0"/>
    <pivotField compact="0" outline="0" dragToRow="0" dragToCol="0" dragToPage="0" showAll="0" defaultSubtotal="0"/>
    <pivotField compact="0" outline="0" dragToRow="0" dragToCol="0" dragToPage="0" showAll="0" defaultSubtotal="0"/>
    <pivotField compact="0" outline="0" dragToRow="0" dragToCol="0" dragToPage="0" showAll="0" defaultSubtotal="0"/>
    <pivotField compact="0" outline="0" dragToRow="0" dragToCol="0" dragToPage="0" showAll="0" defaultSubtotal="0"/>
    <pivotField compact="0" outline="0" dragToRow="0" dragToCol="0" dragToPage="0" showAll="0" defaultSubtotal="0"/>
  </pivotFields>
  <rowFields count="2">
    <field x="4"/>
    <field x="5"/>
  </rowFields>
  <rowItems count="7">
    <i>
      <x v="4"/>
      <x v="8"/>
    </i>
    <i r="1">
      <x v="9"/>
    </i>
    <i r="1">
      <x v="21"/>
    </i>
    <i r="1">
      <x v="26"/>
    </i>
    <i r="1">
      <x v="32"/>
    </i>
    <i t="default">
      <x v="4"/>
    </i>
    <i t="grand">
      <x/>
    </i>
  </rowItems>
  <colFields count="1">
    <field x="-2"/>
  </colFields>
  <colItems count="4">
    <i>
      <x/>
    </i>
    <i i="1">
      <x v="1"/>
    </i>
    <i i="2">
      <x v="2"/>
    </i>
    <i i="3">
      <x v="3"/>
    </i>
  </colItems>
  <pageFields count="1">
    <pageField fld="0" hier="-1"/>
  </pageFields>
  <dataFields count="4">
    <dataField name="Total Population" fld="9" baseField="0" baseItem="0"/>
    <dataField name="Number of People adopt basic personal and community hygiene practices" fld="89" baseField="0" baseItem="0"/>
    <dataField name="Number of people with equitable and continuous access to safe sanitation facilities" fld="79" baseField="0" baseItem="0"/>
    <dataField name="Number of people with equitable and continuous access to sufficient quantity of domestic water" fld="72" baseField="0" baseItem="0"/>
  </dataFields>
  <formats count="25">
    <format dxfId="81">
      <pivotArea field="4" type="button" dataOnly="0" labelOnly="1" outline="0" axis="axisRow" fieldPosition="0"/>
    </format>
    <format dxfId="80">
      <pivotArea field="5" type="button" dataOnly="0" labelOnly="1" outline="0" axis="axisRow" fieldPosition="1"/>
    </format>
    <format dxfId="79">
      <pivotArea dataOnly="0" labelOnly="1" outline="0" fieldPosition="0">
        <references count="1">
          <reference field="4294967294" count="1">
            <x v="0"/>
          </reference>
        </references>
      </pivotArea>
    </format>
    <format dxfId="78">
      <pivotArea field="4" type="button" dataOnly="0" labelOnly="1" outline="0" axis="axisRow" fieldPosition="0"/>
    </format>
    <format dxfId="77">
      <pivotArea field="5" type="button" dataOnly="0" labelOnly="1" outline="0" axis="axisRow" fieldPosition="1"/>
    </format>
    <format dxfId="76">
      <pivotArea dataOnly="0" labelOnly="1" outline="0" fieldPosition="0">
        <references count="1">
          <reference field="4294967294" count="1">
            <x v="0"/>
          </reference>
        </references>
      </pivotArea>
    </format>
    <format dxfId="75">
      <pivotArea field="4" type="button" dataOnly="0" labelOnly="1" outline="0" axis="axisRow" fieldPosition="0"/>
    </format>
    <format dxfId="74">
      <pivotArea field="5" type="button" dataOnly="0" labelOnly="1" outline="0" axis="axisRow" fieldPosition="1"/>
    </format>
    <format dxfId="73">
      <pivotArea dataOnly="0" labelOnly="1" outline="0" fieldPosition="0">
        <references count="1">
          <reference field="4294967294" count="1">
            <x v="0"/>
          </reference>
        </references>
      </pivotArea>
    </format>
    <format dxfId="72">
      <pivotArea dataOnly="0" labelOnly="1" outline="0" fieldPosition="0">
        <references count="1">
          <reference field="4294967294" count="1">
            <x v="0"/>
          </reference>
        </references>
      </pivotArea>
    </format>
    <format dxfId="71">
      <pivotArea dataOnly="0" labelOnly="1" outline="0" fieldPosition="0">
        <references count="1">
          <reference field="4294967294" count="1">
            <x v="0"/>
          </reference>
        </references>
      </pivotArea>
    </format>
    <format dxfId="70">
      <pivotArea type="all" dataOnly="0" outline="0" fieldPosition="0"/>
    </format>
    <format dxfId="69">
      <pivotArea outline="0" collapsedLevelsAreSubtotals="1" fieldPosition="0"/>
    </format>
    <format dxfId="68">
      <pivotArea field="4" type="button" dataOnly="0" labelOnly="1" outline="0" axis="axisRow" fieldPosition="0"/>
    </format>
    <format dxfId="67">
      <pivotArea field="5" type="button" dataOnly="0" labelOnly="1" outline="0" axis="axisRow" fieldPosition="1"/>
    </format>
    <format dxfId="66">
      <pivotArea dataOnly="0" labelOnly="1" outline="0" fieldPosition="0">
        <references count="1">
          <reference field="4" count="0"/>
        </references>
      </pivotArea>
    </format>
    <format dxfId="65">
      <pivotArea dataOnly="0" labelOnly="1" outline="0" fieldPosition="0">
        <references count="1">
          <reference field="4" count="0" defaultSubtotal="1"/>
        </references>
      </pivotArea>
    </format>
    <format dxfId="64">
      <pivotArea dataOnly="0" labelOnly="1" grandRow="1" outline="0" fieldPosition="0"/>
    </format>
    <format dxfId="63">
      <pivotArea dataOnly="0" labelOnly="1" outline="0" fieldPosition="0">
        <references count="2">
          <reference field="4" count="1" selected="0">
            <x v="0"/>
          </reference>
          <reference field="5" count="13">
            <x v="1"/>
            <x v="3"/>
            <x v="4"/>
            <x v="12"/>
            <x v="16"/>
            <x v="17"/>
            <x v="18"/>
            <x v="22"/>
            <x v="28"/>
            <x v="31"/>
            <x v="33"/>
            <x v="34"/>
            <x v="35"/>
          </reference>
        </references>
      </pivotArea>
    </format>
    <format dxfId="62">
      <pivotArea dataOnly="0" labelOnly="1" outline="0" fieldPosition="0">
        <references count="2">
          <reference field="4" count="1" selected="0">
            <x v="0"/>
          </reference>
          <reference field="5" count="13" defaultSubtotal="1">
            <x v="1"/>
            <x v="3"/>
            <x v="4"/>
            <x v="12"/>
            <x v="16"/>
            <x v="17"/>
            <x v="18"/>
            <x v="22"/>
            <x v="28"/>
            <x v="31"/>
            <x v="33"/>
            <x v="34"/>
            <x v="35"/>
          </reference>
        </references>
      </pivotArea>
    </format>
    <format dxfId="61">
      <pivotArea dataOnly="0" labelOnly="1" outline="0" fieldPosition="0">
        <references count="2">
          <reference field="4" count="1" selected="0">
            <x v="1"/>
          </reference>
          <reference field="5" count="12">
            <x v="0"/>
            <x v="2"/>
            <x v="8"/>
            <x v="9"/>
            <x v="14"/>
            <x v="15"/>
            <x v="19"/>
            <x v="21"/>
            <x v="26"/>
            <x v="27"/>
            <x v="30"/>
            <x v="32"/>
          </reference>
        </references>
      </pivotArea>
    </format>
    <format dxfId="60">
      <pivotArea dataOnly="0" labelOnly="1" outline="0" fieldPosition="0">
        <references count="2">
          <reference field="4" count="1" selected="0">
            <x v="1"/>
          </reference>
          <reference field="5" count="12" defaultSubtotal="1">
            <x v="0"/>
            <x v="2"/>
            <x v="8"/>
            <x v="9"/>
            <x v="14"/>
            <x v="15"/>
            <x v="19"/>
            <x v="21"/>
            <x v="26"/>
            <x v="27"/>
            <x v="30"/>
            <x v="32"/>
          </reference>
        </references>
      </pivotArea>
    </format>
    <format dxfId="59">
      <pivotArea dataOnly="0" labelOnly="1" outline="0" fieldPosition="0">
        <references count="2">
          <reference field="4" count="1" selected="0">
            <x v="2"/>
          </reference>
          <reference field="5" count="7">
            <x v="5"/>
            <x v="6"/>
            <x v="7"/>
            <x v="13"/>
            <x v="20"/>
            <x v="23"/>
            <x v="24"/>
          </reference>
        </references>
      </pivotArea>
    </format>
    <format dxfId="58">
      <pivotArea dataOnly="0" labelOnly="1" outline="0" fieldPosition="0">
        <references count="2">
          <reference field="4" count="1" selected="0">
            <x v="2"/>
          </reference>
          <reference field="5" count="7" defaultSubtotal="1">
            <x v="5"/>
            <x v="6"/>
            <x v="7"/>
            <x v="13"/>
            <x v="20"/>
            <x v="23"/>
            <x v="24"/>
          </reference>
        </references>
      </pivotArea>
    </format>
    <format dxfId="57">
      <pivotArea dataOnly="0" labelOnly="1" outline="0" fieldPosition="0">
        <references count="1">
          <reference field="4294967294" count="1">
            <x v="0"/>
          </reference>
        </references>
      </pivotArea>
    </format>
  </formats>
  <chartFormats count="4">
    <chartFormat chart="1" format="0" series="1">
      <pivotArea type="data" outline="0" fieldPosition="0">
        <references count="1">
          <reference field="4294967294" count="1" selected="0">
            <x v="0"/>
          </reference>
        </references>
      </pivotArea>
    </chartFormat>
    <chartFormat chart="1" format="4" series="1">
      <pivotArea type="data" outline="0" fieldPosition="0">
        <references count="1">
          <reference field="4294967294" count="1" selected="0">
            <x v="3"/>
          </reference>
        </references>
      </pivotArea>
    </chartFormat>
    <chartFormat chart="1" format="5" series="1">
      <pivotArea type="data" outline="0" fieldPosition="0">
        <references count="1">
          <reference field="4294967294" count="1" selected="0">
            <x v="2"/>
          </reference>
        </references>
      </pivotArea>
    </chartFormat>
    <chartFormat chart="1" format="6"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6.xml><?xml version="1.0" encoding="utf-8"?>
<pivotTableDefinition xmlns="http://schemas.openxmlformats.org/spreadsheetml/2006/main" xmlns:mc="http://schemas.openxmlformats.org/markup-compatibility/2006" xmlns:xr="http://schemas.microsoft.com/office/spreadsheetml/2014/revision" mc:Ignorable="xr" xr:uid="{00000000-0007-0000-0D00-000000000000}" name="PivotTable1" cacheId="0" dataPosition="0" applyNumberFormats="0" applyBorderFormats="0" applyFontFormats="0" applyPatternFormats="0" applyAlignmentFormats="0" applyWidthHeightFormats="1" dataCaption="Values" updatedVersion="6" minRefreshableVersion="3" useAutoFormatting="1" itemPrintTitles="1" createdVersion="5" indent="0" compact="0" compactData="0" multipleFieldFilters="0" chartFormat="8">
  <location ref="A38:E64" firstHeaderRow="0" firstDataRow="1" firstDataCol="1" rowPageCount="3" colPageCount="1"/>
  <pivotFields count="119">
    <pivotField axis="axisPage" compact="0" outline="0" showAll="0">
      <items count="15">
        <item m="1" x="11"/>
        <item m="1" x="12"/>
        <item m="1" x="5"/>
        <item m="1" x="13"/>
        <item m="1" x="7"/>
        <item m="1" x="4"/>
        <item m="1" x="3"/>
        <item m="1" x="8"/>
        <item m="1" x="9"/>
        <item m="1" x="10"/>
        <item m="1" x="6"/>
        <item x="0"/>
        <item x="2"/>
        <item x="1"/>
        <item t="default"/>
      </items>
    </pivotField>
    <pivotField compact="0" outline="0" showAll="0" defaultSubtotal="0"/>
    <pivotField compact="0" outline="0" showAll="0" defaultSubtotal="0">
      <items count="42">
        <item m="1" x="25"/>
        <item m="1" x="36"/>
        <item m="1" x="37"/>
        <item x="3"/>
        <item m="1" x="40"/>
        <item x="5"/>
        <item m="1" x="34"/>
        <item m="1" x="10"/>
        <item m="1" x="19"/>
        <item m="1" x="12"/>
        <item x="4"/>
        <item m="1" x="38"/>
        <item m="1" x="31"/>
        <item m="1" x="15"/>
        <item m="1" x="20"/>
        <item m="1" x="13"/>
        <item m="1" x="26"/>
        <item m="1" x="32"/>
        <item m="1" x="30"/>
        <item m="1" x="23"/>
        <item m="1" x="41"/>
        <item m="1" x="17"/>
        <item m="1" x="33"/>
        <item m="1" x="16"/>
        <item x="8"/>
        <item m="1" x="22"/>
        <item m="1" x="21"/>
        <item m="1" x="18"/>
        <item x="2"/>
        <item x="1"/>
        <item m="1" x="11"/>
        <item x="7"/>
        <item x="6"/>
        <item m="1" x="39"/>
        <item m="1" x="14"/>
        <item x="0"/>
        <item m="1" x="24"/>
        <item m="1" x="28"/>
        <item m="1" x="27"/>
        <item m="1" x="29"/>
        <item m="1" x="35"/>
        <item m="1" x="9"/>
      </items>
    </pivotField>
    <pivotField compact="0" outline="0" showAll="0"/>
    <pivotField axis="axisPage" compact="0" outline="0" showAll="0">
      <items count="7">
        <item m="1" x="3"/>
        <item m="1" x="2"/>
        <item m="1" x="5"/>
        <item m="1" x="1"/>
        <item x="0"/>
        <item m="1" x="4"/>
        <item t="default"/>
      </items>
    </pivotField>
    <pivotField axis="axisPage" compact="0" outline="0" showAll="0">
      <items count="42">
        <item m="1" x="13"/>
        <item m="1" x="16"/>
        <item m="1" x="36"/>
        <item m="1" x="30"/>
        <item m="1" x="25"/>
        <item m="1" x="29"/>
        <item m="1" x="22"/>
        <item m="1" x="7"/>
        <item x="2"/>
        <item x="3"/>
        <item m="1" x="12"/>
        <item m="1" x="33"/>
        <item m="1" x="9"/>
        <item m="1" x="15"/>
        <item m="1" x="26"/>
        <item m="1" x="11"/>
        <item m="1" x="20"/>
        <item m="1" x="31"/>
        <item m="1" x="23"/>
        <item m="1" x="35"/>
        <item m="1" x="14"/>
        <item x="4"/>
        <item m="1" x="24"/>
        <item m="1" x="21"/>
        <item m="1" x="27"/>
        <item m="1" x="10"/>
        <item x="0"/>
        <item m="1" x="28"/>
        <item m="1" x="18"/>
        <item m="1" x="38"/>
        <item m="1" x="32"/>
        <item m="1" x="39"/>
        <item x="1"/>
        <item m="1" x="40"/>
        <item m="1" x="37"/>
        <item m="1" x="34"/>
        <item m="1" x="17"/>
        <item m="1" x="6"/>
        <item m="1" x="8"/>
        <item m="1" x="5"/>
        <item m="1" x="19"/>
        <item t="default"/>
      </items>
    </pivotField>
    <pivotField compact="0" outline="0" showAll="0" defaultSubtotal="0"/>
    <pivotField axis="axisRow" compact="0" outline="0" showAll="0">
      <items count="975">
        <item m="1" x="605"/>
        <item m="1" x="928"/>
        <item m="1" x="837"/>
        <item m="1" x="881"/>
        <item m="1" x="319"/>
        <item m="1" x="147"/>
        <item m="1" x="201"/>
        <item m="1" x="463"/>
        <item m="1" x="99"/>
        <item m="1" x="153"/>
        <item m="1" x="434"/>
        <item m="1" x="563"/>
        <item m="1" x="578"/>
        <item m="1" x="334"/>
        <item m="1" x="155"/>
        <item m="1" x="877"/>
        <item m="1" x="771"/>
        <item m="1" x="169"/>
        <item m="1" x="630"/>
        <item m="1" x="396"/>
        <item m="1" x="805"/>
        <item x="0"/>
        <item m="1" x="835"/>
        <item m="1" x="863"/>
        <item m="1" x="240"/>
        <item m="1" x="716"/>
        <item m="1" x="273"/>
        <item m="1" x="291"/>
        <item m="1" x="289"/>
        <item m="1" x="198"/>
        <item m="1" x="118"/>
        <item m="1" x="915"/>
        <item m="1" x="956"/>
        <item m="1" x="642"/>
        <item m="1" x="347"/>
        <item m="1" x="226"/>
        <item m="1" x="449"/>
        <item m="1" x="274"/>
        <item x="1"/>
        <item m="1" x="754"/>
        <item m="1" x="824"/>
        <item x="2"/>
        <item x="3"/>
        <item m="1" x="447"/>
        <item m="1" x="709"/>
        <item m="1" x="710"/>
        <item m="1" x="443"/>
        <item m="1" x="416"/>
        <item m="1" x="268"/>
        <item m="1" x="598"/>
        <item m="1" x="949"/>
        <item m="1" x="907"/>
        <item m="1" x="639"/>
        <item m="1" x="47"/>
        <item m="1" x="869"/>
        <item m="1" x="627"/>
        <item m="1" x="664"/>
        <item m="1" x="61"/>
        <item m="1" x="84"/>
        <item m="1" x="764"/>
        <item m="1" x="839"/>
        <item m="1" x="311"/>
        <item m="1" x="224"/>
        <item m="1" x="306"/>
        <item m="1" x="80"/>
        <item m="1" x="518"/>
        <item m="1" x="698"/>
        <item m="1" x="44"/>
        <item m="1" x="635"/>
        <item x="5"/>
        <item x="6"/>
        <item m="1" x="88"/>
        <item m="1" x="244"/>
        <item m="1" x="827"/>
        <item m="1" x="846"/>
        <item m="1" x="752"/>
        <item m="1" x="450"/>
        <item m="1" x="335"/>
        <item m="1" x="875"/>
        <item m="1" x="514"/>
        <item m="1" x="258"/>
        <item m="1" x="426"/>
        <item m="1" x="718"/>
        <item m="1" x="950"/>
        <item m="1" x="893"/>
        <item m="1" x="200"/>
        <item m="1" x="913"/>
        <item m="1" x="595"/>
        <item m="1" x="458"/>
        <item m="1" x="492"/>
        <item m="1" x="785"/>
        <item m="1" x="91"/>
        <item m="1" x="668"/>
        <item m="1" x="588"/>
        <item m="1" x="892"/>
        <item m="1" x="821"/>
        <item m="1" x="660"/>
        <item m="1" x="497"/>
        <item m="1" x="535"/>
        <item m="1" x="59"/>
        <item m="1" x="873"/>
        <item m="1" x="308"/>
        <item m="1" x="387"/>
        <item m="1" x="164"/>
        <item m="1" x="50"/>
        <item m="1" x="489"/>
        <item m="1" x="582"/>
        <item m="1" x="381"/>
        <item m="1" x="453"/>
        <item m="1" x="336"/>
        <item m="1" x="76"/>
        <item m="1" x="838"/>
        <item m="1" x="620"/>
        <item m="1" x="325"/>
        <item m="1" x="338"/>
        <item m="1" x="625"/>
        <item m="1" x="87"/>
        <item m="1" x="71"/>
        <item m="1" x="700"/>
        <item m="1" x="388"/>
        <item m="1" x="203"/>
        <item m="1" x="637"/>
        <item m="1" x="299"/>
        <item m="1" x="117"/>
        <item m="1" x="603"/>
        <item m="1" x="242"/>
        <item m="1" x="149"/>
        <item m="1" x="393"/>
        <item m="1" x="234"/>
        <item m="1" x="555"/>
        <item m="1" x="922"/>
        <item m="1" x="968"/>
        <item m="1" x="859"/>
        <item m="1" x="284"/>
        <item m="1" x="524"/>
        <item m="1" x="515"/>
        <item m="1" x="757"/>
        <item m="1" x="255"/>
        <item m="1" x="202"/>
        <item m="1" x="249"/>
        <item m="1" x="500"/>
        <item m="1" x="674"/>
        <item m="1" x="884"/>
        <item m="1" x="621"/>
        <item m="1" x="112"/>
        <item m="1" x="791"/>
        <item m="1" x="355"/>
        <item m="1" x="474"/>
        <item m="1" x="281"/>
        <item m="1" x="422"/>
        <item m="1" x="946"/>
        <item m="1" x="359"/>
        <item m="1" x="958"/>
        <item m="1" x="624"/>
        <item m="1" x="225"/>
        <item m="1" x="320"/>
        <item m="1" x="631"/>
        <item m="1" x="364"/>
        <item m="1" x="134"/>
        <item m="1" x="227"/>
        <item m="1" x="152"/>
        <item m="1" x="638"/>
        <item m="1" x="911"/>
        <item m="1" x="279"/>
        <item m="1" x="834"/>
        <item m="1" x="930"/>
        <item m="1" x="468"/>
        <item m="1" x="140"/>
        <item m="1" x="656"/>
        <item m="1" x="188"/>
        <item m="1" x="715"/>
        <item m="1" x="185"/>
        <item m="1" x="232"/>
        <item m="1" x="505"/>
        <item m="1" x="942"/>
        <item m="1" x="960"/>
        <item m="1" x="163"/>
        <item x="9"/>
        <item m="1" x="219"/>
        <item m="1" x="670"/>
        <item m="1" x="254"/>
        <item m="1" x="330"/>
        <item m="1" x="748"/>
        <item m="1" x="172"/>
        <item m="1" x="836"/>
        <item m="1" x="883"/>
        <item x="10"/>
        <item m="1" x="451"/>
        <item m="1" x="841"/>
        <item m="1" x="241"/>
        <item m="1" x="97"/>
        <item m="1" x="362"/>
        <item m="1" x="583"/>
        <item m="1" x="46"/>
        <item m="1" x="127"/>
        <item m="1" x="819"/>
        <item m="1" x="509"/>
        <item m="1" x="302"/>
        <item m="1" x="247"/>
        <item m="1" x="121"/>
        <item m="1" x="826"/>
        <item m="1" x="721"/>
        <item m="1" x="114"/>
        <item m="1" x="559"/>
        <item m="1" x="803"/>
        <item m="1" x="707"/>
        <item m="1" x="770"/>
        <item m="1" x="768"/>
        <item m="1" x="167"/>
        <item m="1" x="971"/>
        <item m="1" x="90"/>
        <item m="1" x="34"/>
        <item m="1" x="777"/>
        <item m="1" x="383"/>
        <item m="1" x="85"/>
        <item m="1" x="606"/>
        <item m="1" x="341"/>
        <item m="1" x="679"/>
        <item m="1" x="372"/>
        <item m="1" x="493"/>
        <item m="1" x="371"/>
        <item m="1" x="628"/>
        <item m="1" x="600"/>
        <item m="1" x="144"/>
        <item m="1" x="622"/>
        <item m="1" x="174"/>
        <item m="1" x="124"/>
        <item m="1" x="178"/>
        <item m="1" x="101"/>
        <item m="1" x="160"/>
        <item m="1" x="615"/>
        <item m="1" x="737"/>
        <item m="1" x="786"/>
        <item m="1" x="781"/>
        <item m="1" x="27"/>
        <item m="1" x="214"/>
        <item m="1" x="262"/>
        <item m="1" x="386"/>
        <item m="1" x="695"/>
        <item m="1" x="645"/>
        <item m="1" x="158"/>
        <item m="1" x="108"/>
        <item m="1" x="832"/>
        <item m="1" x="806"/>
        <item m="1" x="238"/>
        <item m="1" x="673"/>
        <item m="1" x="652"/>
        <item m="1" x="739"/>
        <item m="1" x="820"/>
        <item m="1" x="337"/>
        <item m="1" x="415"/>
        <item m="1" x="900"/>
        <item m="1" x="855"/>
        <item m="1" x="755"/>
        <item m="1" x="530"/>
        <item m="1" x="575"/>
        <item m="1" x="36"/>
        <item m="1" x="205"/>
        <item m="1" x="720"/>
        <item m="1" x="813"/>
        <item m="1" x="45"/>
        <item m="1" x="365"/>
        <item m="1" x="479"/>
        <item m="1" x="98"/>
        <item m="1" x="840"/>
        <item m="1" x="165"/>
        <item m="1" x="581"/>
        <item m="1" x="175"/>
        <item m="1" x="74"/>
        <item m="1" x="148"/>
        <item x="11"/>
        <item m="1" x="614"/>
        <item m="1" x="265"/>
        <item m="1" x="358"/>
        <item m="1" x="162"/>
        <item m="1" x="173"/>
        <item m="1" x="328"/>
        <item m="1" x="186"/>
        <item m="1" x="932"/>
        <item m="1" x="916"/>
        <item m="1" x="626"/>
        <item m="1" x="94"/>
        <item m="1" x="421"/>
        <item m="1" x="195"/>
        <item m="1" x="640"/>
        <item m="1" x="586"/>
        <item m="1" x="706"/>
        <item m="1" x="681"/>
        <item m="1" x="221"/>
        <item m="1" x="445"/>
        <item m="1" x="529"/>
        <item m="1" x="111"/>
        <item m="1" x="751"/>
        <item m="1" x="405"/>
        <item m="1" x="318"/>
        <item m="1" x="327"/>
        <item m="1" x="532"/>
        <item m="1" x="897"/>
        <item m="1" x="348"/>
        <item m="1" x="235"/>
        <item m="1" x="354"/>
        <item m="1" x="313"/>
        <item m="1" x="417"/>
        <item m="1" x="176"/>
        <item m="1" x="361"/>
        <item m="1" x="552"/>
        <item m="1" x="466"/>
        <item m="1" x="245"/>
        <item m="1" x="833"/>
        <item m="1" x="743"/>
        <item m="1" x="650"/>
        <item m="1" x="257"/>
        <item m="1" x="746"/>
        <item m="1" x="145"/>
        <item m="1" x="699"/>
        <item m="1" x="890"/>
        <item m="1" x="562"/>
        <item m="1" x="123"/>
        <item m="1" x="395"/>
        <item m="1" x="760"/>
        <item m="1" x="847"/>
        <item m="1" x="236"/>
        <item m="1" x="849"/>
        <item m="1" x="135"/>
        <item m="1" x="553"/>
        <item m="1" x="872"/>
        <item m="1" x="38"/>
        <item m="1" x="472"/>
        <item m="1" x="669"/>
        <item m="1" x="427"/>
        <item m="1" x="732"/>
        <item m="1" x="547"/>
        <item m="1" x="193"/>
        <item m="1" x="471"/>
        <item m="1" x="831"/>
        <item m="1" x="222"/>
        <item m="1" x="351"/>
        <item m="1" x="213"/>
        <item m="1" x="346"/>
        <item x="12"/>
        <item x="13"/>
        <item m="1" x="866"/>
        <item m="1" x="810"/>
        <item m="1" x="194"/>
        <item x="14"/>
        <item m="1" x="773"/>
        <item m="1" x="210"/>
        <item m="1" x="456"/>
        <item m="1" x="436"/>
        <item m="1" x="766"/>
        <item m="1" x="187"/>
        <item m="1" x="392"/>
        <item m="1" x="119"/>
        <item m="1" x="282"/>
        <item m="1" x="490"/>
        <item m="1" x="363"/>
        <item m="1" x="113"/>
        <item x="15"/>
        <item m="1" x="394"/>
        <item x="16"/>
        <item x="17"/>
        <item m="1" x="312"/>
        <item m="1" x="800"/>
        <item m="1" x="876"/>
        <item m="1" x="228"/>
        <item m="1" x="923"/>
        <item m="1" x="461"/>
        <item m="1" x="702"/>
        <item m="1" x="653"/>
        <item m="1" x="657"/>
        <item m="1" x="237"/>
        <item m="1" x="431"/>
        <item m="1" x="32"/>
        <item m="1" x="53"/>
        <item m="1" x="25"/>
        <item m="1" x="926"/>
        <item m="1" x="693"/>
        <item m="1" x="782"/>
        <item m="1" x="349"/>
        <item m="1" x="947"/>
        <item m="1" x="373"/>
        <item m="1" x="378"/>
        <item m="1" x="545"/>
        <item m="1" x="439"/>
        <item m="1" x="411"/>
        <item m="1" x="246"/>
        <item m="1" x="283"/>
        <item m="1" x="572"/>
        <item m="1" x="215"/>
        <item m="1" x="77"/>
        <item m="1" x="324"/>
        <item m="1" x="726"/>
        <item m="1" x="455"/>
        <item m="1" x="901"/>
        <item m="1" x="460"/>
        <item m="1" x="343"/>
        <item m="1" x="498"/>
        <item m="1" x="910"/>
        <item m="1" x="55"/>
        <item m="1" x="796"/>
        <item m="1" x="818"/>
        <item m="1" x="536"/>
        <item m="1" x="128"/>
        <item m="1" x="577"/>
        <item m="1" x="899"/>
        <item m="1" x="196"/>
        <item m="1" x="292"/>
        <item m="1" x="28"/>
        <item m="1" x="182"/>
        <item m="1" x="571"/>
        <item m="1" x="671"/>
        <item m="1" x="277"/>
        <item m="1" x="384"/>
        <item m="1" x="446"/>
        <item m="1" x="40"/>
        <item m="1" x="440"/>
        <item m="1" x="104"/>
        <item m="1" x="485"/>
        <item m="1" x="903"/>
        <item m="1" x="894"/>
        <item m="1" x="317"/>
        <item m="1" x="591"/>
        <item m="1" x="672"/>
        <item m="1" x="723"/>
        <item m="1" x="543"/>
        <item m="1" x="711"/>
        <item m="1" x="749"/>
        <item m="1" x="399"/>
        <item x="19"/>
        <item m="1" x="568"/>
        <item m="1" x="765"/>
        <item m="1" x="772"/>
        <item m="1" x="482"/>
        <item m="1" x="29"/>
        <item m="1" x="126"/>
        <item m="1" x="397"/>
        <item m="1" x="488"/>
        <item m="1" x="964"/>
        <item m="1" x="961"/>
        <item m="1" x="544"/>
        <item m="1" x="401"/>
        <item m="1" x="938"/>
        <item m="1" x="676"/>
        <item m="1" x="970"/>
        <item m="1" x="132"/>
        <item m="1" x="719"/>
        <item m="1" x="31"/>
        <item m="1" x="496"/>
        <item m="1" x="548"/>
        <item m="1" x="368"/>
        <item m="1" x="692"/>
        <item m="1" x="512"/>
        <item m="1" x="857"/>
        <item m="1" x="57"/>
        <item m="1" x="808"/>
        <item m="1" x="722"/>
        <item m="1" x="63"/>
        <item m="1" x="817"/>
        <item m="1" x="717"/>
        <item m="1" x="332"/>
        <item x="20"/>
        <item m="1" x="661"/>
        <item m="1" x="418"/>
        <item m="1" x="734"/>
        <item m="1" x="538"/>
        <item m="1" x="424"/>
        <item m="1" x="736"/>
        <item m="1" x="794"/>
        <item m="1" x="701"/>
        <item m="1" x="102"/>
        <item m="1" x="889"/>
        <item m="1" x="798"/>
        <item m="1" x="648"/>
        <item m="1" x="744"/>
        <item m="1" x="809"/>
        <item m="1" x="30"/>
        <item m="1" x="339"/>
        <item m="1" x="499"/>
        <item m="1" x="557"/>
        <item m="1" x="356"/>
        <item m="1" x="180"/>
        <item m="1" x="741"/>
        <item m="1" x="179"/>
        <item m="1" x="619"/>
        <item m="1" x="546"/>
        <item m="1" x="613"/>
        <item m="1" x="633"/>
        <item m="1" x="425"/>
        <item m="1" x="56"/>
        <item m="1" x="936"/>
        <item m="1" x="675"/>
        <item x="21"/>
        <item m="1" x="694"/>
        <item m="1" x="830"/>
        <item m="1" x="590"/>
        <item m="1" x="962"/>
        <item m="1" x="919"/>
        <item m="1" x="579"/>
        <item m="1" x="329"/>
        <item m="1" x="233"/>
        <item m="1" x="68"/>
        <item x="22"/>
        <item m="1" x="402"/>
        <item m="1" x="420"/>
        <item m="1" x="646"/>
        <item m="1" x="972"/>
        <item m="1" x="476"/>
        <item m="1" x="802"/>
        <item m="1" x="100"/>
        <item m="1" x="522"/>
        <item m="1" x="556"/>
        <item m="1" x="908"/>
        <item m="1" x="931"/>
        <item m="1" x="909"/>
        <item m="1" x="367"/>
        <item m="1" x="276"/>
        <item m="1" x="231"/>
        <item m="1" x="66"/>
        <item m="1" x="229"/>
        <item x="23"/>
        <item x="24"/>
        <item m="1" x="733"/>
        <item m="1" x="248"/>
        <item m="1" x="191"/>
        <item m="1" x="651"/>
        <item m="1" x="865"/>
        <item m="1" x="181"/>
        <item m="1" x="957"/>
        <item m="1" x="369"/>
        <item m="1" x="623"/>
        <item m="1" x="564"/>
        <item m="1" x="138"/>
        <item m="1" x="727"/>
        <item m="1" x="184"/>
        <item m="1" x="714"/>
        <item m="1" x="473"/>
        <item m="1" x="740"/>
        <item m="1" x="285"/>
        <item m="1" x="513"/>
        <item m="1" x="682"/>
        <item m="1" x="89"/>
        <item m="1" x="921"/>
        <item m="1" x="853"/>
        <item m="1" x="783"/>
        <item m="1" x="150"/>
        <item m="1" x="769"/>
        <item m="1" x="141"/>
        <item m="1" x="658"/>
        <item m="1" x="340"/>
        <item m="1" x="437"/>
        <item m="1" x="787"/>
        <item m="1" x="587"/>
        <item m="1" x="433"/>
        <item m="1" x="969"/>
        <item m="1" x="952"/>
        <item m="1" x="763"/>
        <item m="1" x="484"/>
        <item m="1" x="70"/>
        <item m="1" x="750"/>
        <item m="1" x="774"/>
        <item m="1" x="775"/>
        <item m="1" x="858"/>
        <item m="1" x="151"/>
        <item m="1" x="469"/>
        <item m="1" x="263"/>
        <item m="1" x="264"/>
        <item m="1" x="929"/>
        <item m="1" x="870"/>
        <item m="1" x="851"/>
        <item m="1" x="464"/>
        <item m="1" x="914"/>
        <item m="1" x="385"/>
        <item m="1" x="596"/>
        <item m="1" x="792"/>
        <item m="1" x="75"/>
        <item m="1" x="307"/>
        <item m="1" x="96"/>
        <item m="1" x="592"/>
        <item m="1" x="528"/>
        <item m="1" x="560"/>
        <item m="1" x="967"/>
        <item m="1" x="629"/>
        <item m="1" x="854"/>
        <item m="1" x="142"/>
        <item m="1" x="441"/>
        <item m="1" x="882"/>
        <item m="1" x="136"/>
        <item m="1" x="940"/>
        <item m="1" x="519"/>
        <item m="1" x="663"/>
        <item m="1" x="611"/>
        <item m="1" x="35"/>
        <item m="1" x="103"/>
        <item m="1" x="109"/>
        <item m="1" x="724"/>
        <item m="1" x="510"/>
        <item m="1" x="331"/>
        <item m="1" x="78"/>
        <item m="1" x="944"/>
        <item m="1" x="684"/>
        <item m="1" x="212"/>
        <item m="1" x="574"/>
        <item m="1" x="470"/>
        <item m="1" x="966"/>
        <item m="1" x="886"/>
        <item m="1" x="407"/>
        <item m="1" x="286"/>
        <item m="1" x="382"/>
        <item m="1" x="122"/>
        <item m="1" x="828"/>
        <item m="1" x="607"/>
        <item m="1" x="924"/>
        <item m="1" x="39"/>
        <item m="1" x="662"/>
        <item m="1" x="902"/>
        <item m="1" x="632"/>
        <item m="1" x="271"/>
        <item m="1" x="93"/>
        <item m="1" x="259"/>
        <item m="1" x="129"/>
        <item m="1" x="260"/>
        <item m="1" x="558"/>
        <item m="1" x="920"/>
        <item m="1" x="444"/>
        <item m="1" x="604"/>
        <item m="1" x="429"/>
        <item m="1" x="735"/>
        <item m="1" x="703"/>
        <item m="1" x="322"/>
        <item m="1" x="845"/>
        <item m="1" x="438"/>
        <item m="1" x="566"/>
        <item m="1" x="687"/>
        <item m="1" x="261"/>
        <item m="1" x="139"/>
        <item m="1" x="965"/>
        <item m="1" x="110"/>
        <item m="1" x="696"/>
        <item m="1" x="955"/>
        <item m="1" x="888"/>
        <item m="1" x="953"/>
        <item m="1" x="918"/>
        <item m="1" x="295"/>
        <item m="1" x="243"/>
        <item m="1" x="477"/>
        <item m="1" x="350"/>
        <item m="1" x="959"/>
        <item m="1" x="728"/>
        <item m="1" x="880"/>
        <item m="1" x="83"/>
        <item m="1" x="375"/>
        <item m="1" x="288"/>
        <item m="1" x="92"/>
        <item m="1" x="589"/>
        <item m="1" x="511"/>
        <item m="1" x="822"/>
        <item m="1" x="252"/>
        <item m="1" x="352"/>
        <item m="1" x="549"/>
        <item m="1" x="465"/>
        <item m="1" x="844"/>
        <item m="1" x="495"/>
        <item m="1" x="304"/>
        <item m="1" x="935"/>
        <item m="1" x="747"/>
        <item m="1" x="934"/>
        <item m="1" x="933"/>
        <item m="1" x="161"/>
        <item m="1" x="554"/>
        <item m="1" x="207"/>
        <item m="1" x="761"/>
        <item m="1" x="856"/>
        <item m="1" x="353"/>
        <item m="1" x="130"/>
        <item m="1" x="33"/>
        <item m="1" x="269"/>
        <item m="1" x="895"/>
        <item m="1" x="250"/>
        <item m="1" x="380"/>
        <item m="1" x="917"/>
        <item m="1" x="565"/>
        <item m="1" x="667"/>
        <item m="1" x="300"/>
        <item m="1" x="608"/>
        <item m="1" x="116"/>
        <item m="1" x="487"/>
        <item m="1" x="321"/>
        <item m="1" x="655"/>
        <item m="1" x="366"/>
        <item m="1" x="414"/>
        <item m="1" x="287"/>
        <item m="1" x="223"/>
        <item m="1" x="647"/>
        <item m="1" x="804"/>
        <item m="1" x="166"/>
        <item m="1" x="137"/>
        <item m="1" x="874"/>
        <item m="1" x="115"/>
        <item m="1" x="730"/>
        <item m="1" x="688"/>
        <item m="1" x="462"/>
        <item m="1" x="753"/>
        <item m="1" x="506"/>
        <item m="1" x="551"/>
        <item m="1" x="525"/>
        <item m="1" x="170"/>
        <item m="1" x="825"/>
        <item m="1" x="759"/>
        <item m="1" x="204"/>
        <item m="1" x="342"/>
        <item m="1" x="81"/>
        <item m="1" x="467"/>
        <item m="1" x="67"/>
        <item m="1" x="106"/>
        <item m="1" x="72"/>
        <item m="1" x="898"/>
        <item m="1" x="290"/>
        <item m="1" x="542"/>
        <item m="1" x="550"/>
        <item m="1" x="82"/>
        <item m="1" x="725"/>
        <item m="1" x="344"/>
        <item m="1" x="963"/>
        <item m="1" x="480"/>
        <item x="8"/>
        <item x="7"/>
        <item x="18"/>
        <item m="1" x="797"/>
        <item m="1" x="278"/>
        <item m="1" x="267"/>
        <item m="1" x="790"/>
        <item m="1" x="256"/>
        <item m="1" x="799"/>
        <item m="1" x="297"/>
        <item m="1" x="37"/>
        <item m="1" x="885"/>
        <item m="1" x="517"/>
        <item m="1" x="712"/>
        <item m="1" x="570"/>
        <item m="1" x="454"/>
        <item m="1" x="298"/>
        <item m="1" x="435"/>
        <item m="1" x="521"/>
        <item m="1" x="389"/>
        <item m="1" x="220"/>
        <item m="1" x="927"/>
        <item m="1" x="199"/>
        <item m="1" x="303"/>
        <item m="1" x="879"/>
        <item m="1" x="404"/>
        <item m="1" x="374"/>
        <item m="1" x="780"/>
        <item m="1" x="491"/>
        <item m="1" x="211"/>
        <item m="1" x="689"/>
        <item m="1" x="410"/>
        <item m="1" x="430"/>
        <item m="1" x="423"/>
        <item m="1" x="48"/>
        <item m="1" x="481"/>
        <item m="1" x="266"/>
        <item m="1" x="154"/>
        <item m="1" x="954"/>
        <item m="1" x="475"/>
        <item m="1" x="157"/>
        <item m="1" x="801"/>
        <item m="1" x="428"/>
        <item m="1" x="457"/>
        <item m="1" x="64"/>
        <item m="1" x="189"/>
        <item m="1" x="742"/>
        <item m="1" x="398"/>
        <item m="1" x="520"/>
        <item m="1" x="73"/>
        <item m="1" x="504"/>
        <item m="1" x="644"/>
        <item m="1" x="190"/>
        <item m="1" x="294"/>
        <item m="1" x="206"/>
        <item m="1" x="315"/>
        <item m="1" x="301"/>
        <item m="1" x="131"/>
        <item m="1" x="867"/>
        <item m="1" x="713"/>
        <item m="1" x="486"/>
        <item m="1" x="54"/>
        <item m="1" x="593"/>
        <item m="1" x="823"/>
        <item m="1" x="691"/>
        <item m="1" x="412"/>
        <item m="1" x="448"/>
        <item m="1" x="610"/>
        <item m="1" x="217"/>
        <item m="1" x="756"/>
        <item m="1" x="527"/>
        <item m="1" x="432"/>
        <item m="1" x="690"/>
        <item m="1" x="654"/>
        <item m="1" x="618"/>
        <item m="1" x="584"/>
        <item m="1" x="843"/>
        <item m="1" x="599"/>
        <item m="1" x="60"/>
        <item m="1" x="49"/>
        <item m="1" x="209"/>
        <item m="1" x="612"/>
        <item m="1" x="251"/>
        <item m="1" x="597"/>
        <item m="1" x="816"/>
        <item m="1" x="270"/>
        <item m="1" x="218"/>
        <item m="1" x="601"/>
        <item m="1" x="569"/>
        <item m="1" x="314"/>
        <item m="1" x="309"/>
        <item m="1" x="815"/>
        <item m="1" x="345"/>
        <item m="1" x="677"/>
        <item m="1" x="594"/>
        <item m="1" x="852"/>
        <item m="1" x="891"/>
        <item m="1" x="105"/>
        <item m="1" x="939"/>
        <item m="1" x="541"/>
        <item m="1" x="360"/>
        <item m="1" x="784"/>
        <item m="1" x="120"/>
        <item m="1" x="860"/>
        <item m="1" x="685"/>
        <item m="1" x="357"/>
        <item m="1" x="333"/>
        <item m="1" x="310"/>
        <item m="1" x="377"/>
        <item m="1" x="758"/>
        <item m="1" x="305"/>
        <item m="1" x="43"/>
        <item m="1" x="862"/>
        <item m="1" x="778"/>
        <item m="1" x="502"/>
        <item m="1" x="406"/>
        <item m="1" x="811"/>
        <item m="1" x="478"/>
        <item m="1" x="442"/>
        <item m="1" x="133"/>
        <item m="1" x="390"/>
        <item m="1" x="526"/>
        <item m="1" x="494"/>
        <item m="1" x="501"/>
        <item m="1" x="52"/>
        <item m="1" x="146"/>
        <item m="1" x="293"/>
        <item m="1" x="216"/>
        <item m="1" x="776"/>
        <item m="1" x="779"/>
        <item m="1" x="704"/>
        <item m="1" x="729"/>
        <item m="1" x="280"/>
        <item m="1" x="951"/>
        <item m="1" x="419"/>
        <item m="1" x="107"/>
        <item m="1" x="762"/>
        <item m="1" x="403"/>
        <item m="1" x="316"/>
        <item m="1" x="239"/>
        <item x="4"/>
        <item m="1" x="26"/>
        <item m="1" x="616"/>
        <item m="1" x="275"/>
        <item m="1" x="641"/>
        <item m="1" x="65"/>
        <item m="1" x="697"/>
        <item m="1" x="666"/>
        <item m="1" x="69"/>
        <item m="1" x="483"/>
        <item m="1" x="795"/>
        <item m="1" x="452"/>
        <item m="1" x="904"/>
        <item m="1" x="731"/>
        <item m="1" x="842"/>
        <item m="1" x="503"/>
        <item m="1" x="79"/>
        <item m="1" x="812"/>
        <item m="1" x="680"/>
        <item m="1" x="708"/>
        <item m="1" x="253"/>
        <item m="1" x="409"/>
        <item m="1" x="745"/>
        <item m="1" x="379"/>
        <item m="1" x="793"/>
        <item m="1" x="197"/>
        <item m="1" x="561"/>
        <item m="1" x="296"/>
        <item m="1" x="125"/>
        <item m="1" x="636"/>
        <item m="1" x="659"/>
        <item m="1" x="459"/>
        <item m="1" x="539"/>
        <item m="1" x="540"/>
        <item m="1" x="534"/>
        <item m="1" x="850"/>
        <item m="1" x="208"/>
        <item m="1" x="864"/>
        <item m="1" x="925"/>
        <item m="1" x="171"/>
        <item m="1" x="86"/>
        <item m="1" x="168"/>
        <item m="1" x="617"/>
        <item m="1" x="585"/>
        <item m="1" x="230"/>
        <item m="1" x="868"/>
        <item m="1" x="683"/>
        <item m="1" x="42"/>
        <item m="1" x="159"/>
        <item m="1" x="814"/>
        <item m="1" x="413"/>
        <item m="1" x="686"/>
        <item m="1" x="665"/>
        <item m="1" x="643"/>
        <item m="1" x="516"/>
        <item m="1" x="400"/>
        <item m="1" x="370"/>
        <item m="1" x="62"/>
        <item m="1" x="192"/>
        <item m="1" x="829"/>
        <item m="1" x="905"/>
        <item m="1" x="567"/>
        <item m="1" x="945"/>
        <item m="1" x="95"/>
        <item m="1" x="609"/>
        <item m="1" x="678"/>
        <item m="1" x="896"/>
        <item m="1" x="767"/>
        <item m="1" x="705"/>
        <item m="1" x="912"/>
        <item m="1" x="649"/>
        <item m="1" x="537"/>
        <item m="1" x="177"/>
        <item m="1" x="573"/>
        <item m="1" x="789"/>
        <item m="1" x="973"/>
        <item m="1" x="738"/>
        <item m="1" x="326"/>
        <item m="1" x="580"/>
        <item m="1" x="941"/>
        <item m="1" x="523"/>
        <item m="1" x="376"/>
        <item m="1" x="508"/>
        <item m="1" x="408"/>
        <item m="1" x="906"/>
        <item m="1" x="531"/>
        <item m="1" x="878"/>
        <item m="1" x="602"/>
        <item m="1" x="272"/>
        <item m="1" x="143"/>
        <item m="1" x="41"/>
        <item m="1" x="887"/>
        <item m="1" x="58"/>
        <item m="1" x="507"/>
        <item m="1" x="156"/>
        <item m="1" x="871"/>
        <item m="1" x="948"/>
        <item m="1" x="576"/>
        <item m="1" x="861"/>
        <item m="1" x="937"/>
        <item m="1" x="533"/>
        <item m="1" x="848"/>
        <item m="1" x="183"/>
        <item m="1" x="807"/>
        <item m="1" x="51"/>
        <item m="1" x="634"/>
        <item m="1" x="323"/>
        <item m="1" x="391"/>
        <item m="1" x="943"/>
        <item m="1" x="788"/>
        <item t="default"/>
      </items>
    </pivotField>
    <pivotField compact="0" outline="0" showAll="0"/>
    <pivotField dataField="1" compact="0" numFmtId="1" outline="0" showAl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pivotField compact="0" outline="0" showAll="0" defaultSubtotal="0"/>
    <pivotField compact="0" outline="0" showAll="0" defaultSubtotal="0"/>
    <pivotField compact="0" outline="0" showAll="0" defaultSubtota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defaultSubtotal="0"/>
    <pivotField compact="0" numFmtId="9" outline="0" showAll="0"/>
    <pivotField compact="0" outline="0" showAll="0" defaultSubtotal="0"/>
    <pivotField compact="0" outline="0" showAll="0"/>
    <pivotField compact="0" numFmtId="1" outline="0" showAll="0"/>
    <pivotField compact="0" numFmtId="9" outline="0" showAll="0"/>
    <pivotField dataField="1" compact="0" outline="0" showAll="0" defaultSubtotal="0"/>
    <pivotField compact="0" outline="0" showAll="0"/>
    <pivotField compact="0" numFmtId="9" outline="0" showAll="0"/>
    <pivotField compact="0" outline="0" showAll="0" defaultSubtotal="0"/>
    <pivotField compact="0" numFmtId="1" outline="0" showAll="0"/>
    <pivotField compact="0" numFmtId="1" outline="0" showAll="0"/>
    <pivotField compact="0" numFmtId="9" outline="0" showAll="0"/>
    <pivotField dataField="1" compact="0" numFmtId="1" outline="0" showAll="0" defaultSubtotal="0"/>
    <pivotField compact="0" outline="0" showAll="0" defaultSubtotal="0"/>
    <pivotField compact="0" numFmtId="1" outline="0" showAll="0"/>
    <pivotField compact="0" numFmtId="1" outline="0" showAll="0"/>
    <pivotField compact="0" numFmtId="9" outline="0" showAll="0"/>
    <pivotField compact="0" numFmtId="9" outline="0" showAll="0"/>
    <pivotField compact="0" numFmtId="1" outline="0" showAll="0"/>
    <pivotField compact="0" numFmtId="1" outline="0" showAll="0"/>
    <pivotField compact="0" numFmtId="1" outline="0" showAll="0"/>
    <pivotField compact="0" numFmtId="1" outline="0" showAll="0"/>
    <pivotField dataField="1" compact="0" numFmtId="1" outline="0" showAll="0" defaultSubtotal="0"/>
    <pivotField compact="0" numFmtId="9" outline="0" showAll="0"/>
    <pivotField compact="0" numFmtId="9" outline="0" showAll="0"/>
    <pivotField compact="0" numFmtId="9" outline="0" showAll="0"/>
    <pivotField compact="0" numFmtId="9"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dragToRow="0" dragToCol="0" dragToPage="0" showAll="0" defaultSubtotal="0"/>
    <pivotField compact="0" outline="0" dragToRow="0" dragToCol="0" dragToPage="0" showAll="0" defaultSubtotal="0"/>
    <pivotField compact="0" outline="0" dragToRow="0" dragToCol="0" dragToPage="0" showAll="0" defaultSubtotal="0"/>
    <pivotField compact="0" outline="0" dragToRow="0" dragToCol="0" dragToPage="0" showAll="0" defaultSubtotal="0"/>
    <pivotField compact="0" outline="0" dragToRow="0" dragToCol="0" dragToPage="0" showAll="0" defaultSubtotal="0"/>
    <pivotField compact="0" outline="0" dragToRow="0" dragToCol="0" dragToPage="0" showAll="0" defaultSubtotal="0"/>
    <pivotField compact="0" outline="0" dragToRow="0" dragToCol="0" dragToPage="0" showAll="0" defaultSubtotal="0"/>
  </pivotFields>
  <rowFields count="1">
    <field x="7"/>
  </rowFields>
  <rowItems count="26">
    <i>
      <x v="21"/>
    </i>
    <i>
      <x v="38"/>
    </i>
    <i>
      <x v="41"/>
    </i>
    <i>
      <x v="42"/>
    </i>
    <i>
      <x v="69"/>
    </i>
    <i>
      <x v="70"/>
    </i>
    <i>
      <x v="177"/>
    </i>
    <i>
      <x v="186"/>
    </i>
    <i>
      <x v="270"/>
    </i>
    <i>
      <x v="339"/>
    </i>
    <i>
      <x v="340"/>
    </i>
    <i>
      <x v="344"/>
    </i>
    <i>
      <x v="357"/>
    </i>
    <i>
      <x v="359"/>
    </i>
    <i>
      <x v="360"/>
    </i>
    <i>
      <x v="428"/>
    </i>
    <i>
      <x v="460"/>
    </i>
    <i>
      <x v="491"/>
    </i>
    <i>
      <x v="501"/>
    </i>
    <i>
      <x v="519"/>
    </i>
    <i>
      <x v="520"/>
    </i>
    <i>
      <x v="724"/>
    </i>
    <i>
      <x v="725"/>
    </i>
    <i>
      <x v="726"/>
    </i>
    <i>
      <x v="864"/>
    </i>
    <i t="grand">
      <x/>
    </i>
  </rowItems>
  <colFields count="1">
    <field x="-2"/>
  </colFields>
  <colItems count="4">
    <i>
      <x/>
    </i>
    <i i="1">
      <x v="1"/>
    </i>
    <i i="2">
      <x v="2"/>
    </i>
    <i i="3">
      <x v="3"/>
    </i>
  </colItems>
  <pageFields count="3">
    <pageField fld="0" item="12" hier="-1"/>
    <pageField fld="5" hier="-1"/>
    <pageField fld="4" hier="-1"/>
  </pageFields>
  <dataFields count="4">
    <dataField name="Total Population" fld="9" baseField="0" baseItem="0"/>
    <dataField name="# of People adopt basic personal and community hygiene practices" fld="89" baseField="0" baseItem="0"/>
    <dataField name="# of people access to functioning  sanitation facilities" fld="79" baseField="0" baseItem="0"/>
    <dataField name="# of people Equitable and continuous access to sufficient quantity of domestic water" fld="72" baseField="0" baseItem="0"/>
  </dataFields>
  <formats count="25">
    <format dxfId="30">
      <pivotArea field="4" type="button" dataOnly="0" labelOnly="1" outline="0" axis="axisPage" fieldPosition="2"/>
    </format>
    <format dxfId="29">
      <pivotArea field="5" type="button" dataOnly="0" labelOnly="1" outline="0" axis="axisPage" fieldPosition="1"/>
    </format>
    <format dxfId="28">
      <pivotArea dataOnly="0" labelOnly="1" outline="0" fieldPosition="0">
        <references count="1">
          <reference field="4294967294" count="1">
            <x v="0"/>
          </reference>
        </references>
      </pivotArea>
    </format>
    <format dxfId="27">
      <pivotArea field="4" type="button" dataOnly="0" labelOnly="1" outline="0" axis="axisPage" fieldPosition="2"/>
    </format>
    <format dxfId="26">
      <pivotArea field="5" type="button" dataOnly="0" labelOnly="1" outline="0" axis="axisPage" fieldPosition="1"/>
    </format>
    <format dxfId="25">
      <pivotArea dataOnly="0" labelOnly="1" outline="0" fieldPosition="0">
        <references count="1">
          <reference field="4294967294" count="1">
            <x v="0"/>
          </reference>
        </references>
      </pivotArea>
    </format>
    <format dxfId="24">
      <pivotArea field="4" type="button" dataOnly="0" labelOnly="1" outline="0" axis="axisPage" fieldPosition="2"/>
    </format>
    <format dxfId="23">
      <pivotArea field="5" type="button" dataOnly="0" labelOnly="1" outline="0" axis="axisPage" fieldPosition="1"/>
    </format>
    <format dxfId="22">
      <pivotArea dataOnly="0" labelOnly="1" outline="0" fieldPosition="0">
        <references count="1">
          <reference field="4294967294" count="1">
            <x v="0"/>
          </reference>
        </references>
      </pivotArea>
    </format>
    <format dxfId="21">
      <pivotArea dataOnly="0" labelOnly="1" outline="0" fieldPosition="0">
        <references count="1">
          <reference field="4294967294" count="1">
            <x v="0"/>
          </reference>
        </references>
      </pivotArea>
    </format>
    <format dxfId="20">
      <pivotArea dataOnly="0" labelOnly="1" outline="0" fieldPosition="0">
        <references count="1">
          <reference field="4294967294" count="1">
            <x v="0"/>
          </reference>
        </references>
      </pivotArea>
    </format>
    <format dxfId="19">
      <pivotArea type="all" dataOnly="0" outline="0" fieldPosition="0"/>
    </format>
    <format dxfId="18">
      <pivotArea outline="0" collapsedLevelsAreSubtotals="1" fieldPosition="0"/>
    </format>
    <format dxfId="17">
      <pivotArea field="4" type="button" dataOnly="0" labelOnly="1" outline="0" axis="axisPage" fieldPosition="2"/>
    </format>
    <format dxfId="16">
      <pivotArea field="5" type="button" dataOnly="0" labelOnly="1" outline="0" axis="axisPage" fieldPosition="1"/>
    </format>
    <format dxfId="15">
      <pivotArea dataOnly="0" labelOnly="1" outline="0" fieldPosition="0">
        <references count="1">
          <reference field="4" count="0"/>
        </references>
      </pivotArea>
    </format>
    <format dxfId="14">
      <pivotArea dataOnly="0" labelOnly="1" outline="0" fieldPosition="0">
        <references count="1">
          <reference field="4" count="0" defaultSubtotal="1"/>
        </references>
      </pivotArea>
    </format>
    <format dxfId="13">
      <pivotArea dataOnly="0" labelOnly="1" grandRow="1" outline="0" fieldPosition="0"/>
    </format>
    <format dxfId="12">
      <pivotArea dataOnly="0" labelOnly="1" outline="0" fieldPosition="0">
        <references count="2">
          <reference field="4" count="1" selected="0">
            <x v="0"/>
          </reference>
          <reference field="5" count="13">
            <x v="1"/>
            <x v="3"/>
            <x v="4"/>
            <x v="12"/>
            <x v="16"/>
            <x v="17"/>
            <x v="18"/>
            <x v="22"/>
            <x v="28"/>
            <x v="31"/>
            <x v="33"/>
            <x v="34"/>
            <x v="35"/>
          </reference>
        </references>
      </pivotArea>
    </format>
    <format dxfId="11">
      <pivotArea dataOnly="0" labelOnly="1" outline="0" fieldPosition="0">
        <references count="2">
          <reference field="4" count="1" selected="0">
            <x v="0"/>
          </reference>
          <reference field="5" count="13" defaultSubtotal="1">
            <x v="1"/>
            <x v="3"/>
            <x v="4"/>
            <x v="12"/>
            <x v="16"/>
            <x v="17"/>
            <x v="18"/>
            <x v="22"/>
            <x v="28"/>
            <x v="31"/>
            <x v="33"/>
            <x v="34"/>
            <x v="35"/>
          </reference>
        </references>
      </pivotArea>
    </format>
    <format dxfId="10">
      <pivotArea dataOnly="0" labelOnly="1" outline="0" fieldPosition="0">
        <references count="2">
          <reference field="4" count="1" selected="0">
            <x v="1"/>
          </reference>
          <reference field="5" count="12">
            <x v="0"/>
            <x v="2"/>
            <x v="8"/>
            <x v="9"/>
            <x v="14"/>
            <x v="15"/>
            <x v="19"/>
            <x v="21"/>
            <x v="26"/>
            <x v="27"/>
            <x v="30"/>
            <x v="32"/>
          </reference>
        </references>
      </pivotArea>
    </format>
    <format dxfId="9">
      <pivotArea dataOnly="0" labelOnly="1" outline="0" fieldPosition="0">
        <references count="2">
          <reference field="4" count="1" selected="0">
            <x v="1"/>
          </reference>
          <reference field="5" count="12" defaultSubtotal="1">
            <x v="0"/>
            <x v="2"/>
            <x v="8"/>
            <x v="9"/>
            <x v="14"/>
            <x v="15"/>
            <x v="19"/>
            <x v="21"/>
            <x v="26"/>
            <x v="27"/>
            <x v="30"/>
            <x v="32"/>
          </reference>
        </references>
      </pivotArea>
    </format>
    <format dxfId="8">
      <pivotArea dataOnly="0" labelOnly="1" outline="0" fieldPosition="0">
        <references count="2">
          <reference field="4" count="1" selected="0">
            <x v="2"/>
          </reference>
          <reference field="5" count="7">
            <x v="5"/>
            <x v="6"/>
            <x v="7"/>
            <x v="13"/>
            <x v="20"/>
            <x v="23"/>
            <x v="24"/>
          </reference>
        </references>
      </pivotArea>
    </format>
    <format dxfId="7">
      <pivotArea dataOnly="0" labelOnly="1" outline="0" fieldPosition="0">
        <references count="2">
          <reference field="4" count="1" selected="0">
            <x v="2"/>
          </reference>
          <reference field="5" count="7" defaultSubtotal="1">
            <x v="5"/>
            <x v="6"/>
            <x v="7"/>
            <x v="13"/>
            <x v="20"/>
            <x v="23"/>
            <x v="24"/>
          </reference>
        </references>
      </pivotArea>
    </format>
    <format dxfId="6">
      <pivotArea dataOnly="0" labelOnly="1" outline="0" fieldPosition="0">
        <references count="1">
          <reference field="4294967294" count="1">
            <x v="0"/>
          </reference>
        </references>
      </pivotArea>
    </format>
  </formats>
  <chartFormats count="5">
    <chartFormat chart="1" format="0" series="1">
      <pivotArea type="data" outline="0" fieldPosition="0">
        <references count="1">
          <reference field="4294967294" count="1" selected="0">
            <x v="0"/>
          </reference>
        </references>
      </pivotArea>
    </chartFormat>
    <chartFormat chart="4" format="2" series="1">
      <pivotArea type="data" outline="0" fieldPosition="0">
        <references count="1">
          <reference field="4294967294" count="1" selected="0">
            <x v="0"/>
          </reference>
        </references>
      </pivotArea>
    </chartFormat>
    <chartFormat chart="4" format="7" series="1">
      <pivotArea type="data" outline="0" fieldPosition="0">
        <references count="1">
          <reference field="4294967294" count="1" selected="0">
            <x v="1"/>
          </reference>
        </references>
      </pivotArea>
    </chartFormat>
    <chartFormat chart="4" format="8" series="1">
      <pivotArea type="data" outline="0" fieldPosition="0">
        <references count="1">
          <reference field="4294967294" count="1" selected="0">
            <x v="2"/>
          </reference>
        </references>
      </pivotArea>
    </chartFormat>
    <chartFormat chart="4" format="9" series="1">
      <pivotArea type="data" outline="0" fieldPosition="0">
        <references count="1">
          <reference field="4294967294" count="1" selected="0">
            <x v="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7.xml><?xml version="1.0" encoding="utf-8"?>
<pivotTableDefinition xmlns="http://schemas.openxmlformats.org/spreadsheetml/2006/main" xmlns:mc="http://schemas.openxmlformats.org/markup-compatibility/2006" xmlns:xr="http://schemas.microsoft.com/office/spreadsheetml/2014/revision" mc:Ignorable="xr" xr:uid="{00000000-0007-0000-0E00-000000000000}" name="PivotTable1" cacheId="0" applyNumberFormats="0" applyBorderFormats="0" applyFontFormats="0" applyPatternFormats="0" applyAlignmentFormats="0" applyWidthHeightFormats="1" dataCaption="Values" updatedVersion="6" minRefreshableVersion="3" useAutoFormatting="1" itemPrintTitles="1" createdVersion="5" indent="0" compact="0" compactData="0" multipleFieldFilters="0" chartFormat="10">
  <location ref="L4:P105" firstHeaderRow="0" firstDataRow="1" firstDataCol="2" rowPageCount="1" colPageCount="1"/>
  <pivotFields count="119">
    <pivotField axis="axisRow" compact="0" outline="0" showAll="0">
      <items count="15">
        <item m="1" x="11"/>
        <item m="1" x="12"/>
        <item m="1" x="5"/>
        <item m="1" x="13"/>
        <item m="1" x="7"/>
        <item m="1" x="8"/>
        <item m="1" x="9"/>
        <item m="1" x="10"/>
        <item m="1" x="4"/>
        <item m="1" x="3"/>
        <item m="1" x="6"/>
        <item x="0"/>
        <item x="2"/>
        <item x="1"/>
        <item t="default"/>
      </items>
    </pivotField>
    <pivotField compact="0" outline="0" showAll="0" defaultSubtotal="0"/>
    <pivotField compact="0" outline="0" showAll="0" defaultSubtotal="0">
      <items count="42">
        <item m="1" x="25"/>
        <item m="1" x="36"/>
        <item m="1" x="37"/>
        <item x="3"/>
        <item m="1" x="40"/>
        <item x="5"/>
        <item m="1" x="34"/>
        <item m="1" x="10"/>
        <item m="1" x="19"/>
        <item m="1" x="12"/>
        <item x="4"/>
        <item m="1" x="38"/>
        <item m="1" x="31"/>
        <item m="1" x="15"/>
        <item m="1" x="20"/>
        <item m="1" x="13"/>
        <item m="1" x="26"/>
        <item m="1" x="32"/>
        <item m="1" x="30"/>
        <item m="1" x="23"/>
        <item m="1" x="41"/>
        <item m="1" x="17"/>
        <item m="1" x="33"/>
        <item m="1" x="16"/>
        <item x="8"/>
        <item m="1" x="22"/>
        <item m="1" x="21"/>
        <item m="1" x="18"/>
        <item x="2"/>
        <item x="1"/>
        <item m="1" x="11"/>
        <item x="7"/>
        <item x="6"/>
        <item m="1" x="39"/>
        <item m="1" x="14"/>
        <item x="0"/>
        <item m="1" x="24"/>
        <item m="1" x="28"/>
        <item m="1" x="27"/>
        <item m="1" x="29"/>
        <item m="1" x="35"/>
        <item m="1" x="9"/>
      </items>
    </pivotField>
    <pivotField compact="0" outline="0" showAll="0"/>
    <pivotField compact="0" outline="0" showAll="0"/>
    <pivotField compact="0" outline="0" showAll="0">
      <items count="42">
        <item m="1" x="13"/>
        <item m="1" x="16"/>
        <item m="1" x="36"/>
        <item m="1" x="19"/>
        <item m="1" x="30"/>
        <item m="1" x="25"/>
        <item m="1" x="29"/>
        <item m="1" x="22"/>
        <item m="1" x="7"/>
        <item x="2"/>
        <item x="3"/>
        <item m="1" x="12"/>
        <item m="1" x="33"/>
        <item m="1" x="9"/>
        <item m="1" x="15"/>
        <item m="1" x="26"/>
        <item m="1" x="11"/>
        <item m="1" x="20"/>
        <item m="1" x="31"/>
        <item m="1" x="6"/>
        <item m="1" x="23"/>
        <item m="1" x="35"/>
        <item m="1" x="14"/>
        <item x="4"/>
        <item m="1" x="24"/>
        <item m="1" x="17"/>
        <item m="1" x="21"/>
        <item m="1" x="27"/>
        <item m="1" x="8"/>
        <item m="1" x="10"/>
        <item x="0"/>
        <item m="1" x="28"/>
        <item m="1" x="18"/>
        <item m="1" x="38"/>
        <item m="1" x="32"/>
        <item m="1" x="39"/>
        <item x="1"/>
        <item m="1" x="40"/>
        <item m="1" x="37"/>
        <item m="1" x="34"/>
        <item m="1" x="5"/>
        <item t="default"/>
      </items>
    </pivotField>
    <pivotField compact="0" outline="0" showAll="0" defaultSubtotal="0"/>
    <pivotField axis="axisRow" compact="0" outline="0" showAll="0">
      <items count="975">
        <item m="1" x="605"/>
        <item m="1" x="350"/>
        <item m="1" x="477"/>
        <item m="1" x="928"/>
        <item m="1" x="837"/>
        <item m="1" x="881"/>
        <item m="1" x="319"/>
        <item m="1" x="147"/>
        <item m="1" x="321"/>
        <item m="1" x="201"/>
        <item m="1" x="463"/>
        <item m="1" x="99"/>
        <item m="1" x="153"/>
        <item m="1" x="434"/>
        <item m="1" x="563"/>
        <item m="1" x="578"/>
        <item m="1" x="728"/>
        <item m="1" x="334"/>
        <item m="1" x="155"/>
        <item m="1" x="877"/>
        <item m="1" x="771"/>
        <item m="1" x="169"/>
        <item m="1" x="630"/>
        <item m="1" x="396"/>
        <item m="1" x="805"/>
        <item x="0"/>
        <item m="1" x="835"/>
        <item m="1" x="863"/>
        <item m="1" x="240"/>
        <item m="1" x="716"/>
        <item m="1" x="273"/>
        <item m="1" x="291"/>
        <item m="1" x="604"/>
        <item m="1" x="289"/>
        <item m="1" x="955"/>
        <item m="1" x="198"/>
        <item m="1" x="953"/>
        <item m="1" x="118"/>
        <item m="1" x="915"/>
        <item m="1" x="956"/>
        <item m="1" x="642"/>
        <item m="1" x="347"/>
        <item m="1" x="550"/>
        <item m="1" x="965"/>
        <item m="1" x="226"/>
        <item m="1" x="72"/>
        <item m="1" x="259"/>
        <item m="1" x="449"/>
        <item m="1" x="274"/>
        <item x="1"/>
        <item m="1" x="754"/>
        <item m="1" x="824"/>
        <item x="2"/>
        <item x="3"/>
        <item m="1" x="447"/>
        <item m="1" x="709"/>
        <item m="1" x="710"/>
        <item m="1" x="443"/>
        <item m="1" x="611"/>
        <item m="1" x="416"/>
        <item m="1" x="268"/>
        <item m="1" x="598"/>
        <item m="1" x="949"/>
        <item m="1" x="907"/>
        <item m="1" x="639"/>
        <item m="1" x="47"/>
        <item m="1" x="869"/>
        <item m="1" x="300"/>
        <item m="1" x="627"/>
        <item m="1" x="664"/>
        <item m="1" x="61"/>
        <item m="1" x="84"/>
        <item m="1" x="764"/>
        <item m="1" x="839"/>
        <item m="1" x="311"/>
        <item m="1" x="224"/>
        <item m="1" x="306"/>
        <item m="1" x="80"/>
        <item m="1" x="518"/>
        <item m="1" x="260"/>
        <item m="1" x="655"/>
        <item m="1" x="698"/>
        <item m="1" x="44"/>
        <item m="1" x="635"/>
        <item x="5"/>
        <item x="6"/>
        <item m="1" x="88"/>
        <item m="1" x="244"/>
        <item m="1" x="83"/>
        <item m="1" x="827"/>
        <item m="1" x="846"/>
        <item m="1" x="752"/>
        <item m="1" x="450"/>
        <item m="1" x="335"/>
        <item m="1" x="875"/>
        <item m="1" x="514"/>
        <item m="1" x="258"/>
        <item m="1" x="426"/>
        <item m="1" x="718"/>
        <item m="1" x="950"/>
        <item m="1" x="882"/>
        <item m="1" x="893"/>
        <item m="1" x="200"/>
        <item m="1" x="344"/>
        <item m="1" x="913"/>
        <item m="1" x="595"/>
        <item m="1" x="458"/>
        <item m="1" x="845"/>
        <item m="1" x="492"/>
        <item m="1" x="785"/>
        <item m="1" x="91"/>
        <item m="1" x="668"/>
        <item m="1" x="588"/>
        <item m="1" x="892"/>
        <item m="1" x="821"/>
        <item m="1" x="660"/>
        <item m="1" x="497"/>
        <item m="1" x="33"/>
        <item m="1" x="535"/>
        <item m="1" x="59"/>
        <item m="1" x="873"/>
        <item m="1" x="308"/>
        <item m="1" x="387"/>
        <item m="1" x="164"/>
        <item m="1" x="50"/>
        <item m="1" x="489"/>
        <item m="1" x="582"/>
        <item m="1" x="381"/>
        <item m="1" x="453"/>
        <item m="1" x="336"/>
        <item m="1" x="76"/>
        <item m="1" x="838"/>
        <item m="1" x="620"/>
        <item m="1" x="325"/>
        <item m="1" x="338"/>
        <item m="1" x="625"/>
        <item m="1" x="888"/>
        <item m="1" x="87"/>
        <item m="1" x="71"/>
        <item m="1" x="700"/>
        <item m="1" x="558"/>
        <item m="1" x="388"/>
        <item m="1" x="963"/>
        <item m="1" x="203"/>
        <item m="1" x="637"/>
        <item m="1" x="684"/>
        <item m="1" x="299"/>
        <item m="1" x="117"/>
        <item m="1" x="223"/>
        <item m="1" x="647"/>
        <item m="1" x="603"/>
        <item m="1" x="242"/>
        <item m="1" x="149"/>
        <item m="1" x="393"/>
        <item m="1" x="753"/>
        <item m="1" x="234"/>
        <item m="1" x="555"/>
        <item m="1" x="724"/>
        <item m="1" x="922"/>
        <item m="1" x="968"/>
        <item m="1" x="429"/>
        <item m="1" x="822"/>
        <item m="1" x="859"/>
        <item m="1" x="284"/>
        <item m="1" x="566"/>
        <item m="1" x="524"/>
        <item m="1" x="515"/>
        <item m="1" x="757"/>
        <item m="1" x="255"/>
        <item m="1" x="687"/>
        <item m="1" x="202"/>
        <item m="1" x="249"/>
        <item m="1" x="500"/>
        <item m="1" x="674"/>
        <item m="1" x="884"/>
        <item m="1" x="621"/>
        <item m="1" x="112"/>
        <item m="1" x="791"/>
        <item m="1" x="525"/>
        <item m="1" x="825"/>
        <item m="1" x="109"/>
        <item m="1" x="116"/>
        <item m="1" x="290"/>
        <item m="1" x="355"/>
        <item m="1" x="474"/>
        <item m="1" x="281"/>
        <item m="1" x="422"/>
        <item m="1" x="946"/>
        <item m="1" x="359"/>
        <item m="1" x="958"/>
        <item m="1" x="624"/>
        <item m="1" x="225"/>
        <item m="1" x="320"/>
        <item m="1" x="631"/>
        <item m="1" x="364"/>
        <item m="1" x="134"/>
        <item m="1" x="227"/>
        <item m="1" x="152"/>
        <item m="1" x="638"/>
        <item m="1" x="911"/>
        <item m="1" x="161"/>
        <item m="1" x="279"/>
        <item m="1" x="834"/>
        <item m="1" x="930"/>
        <item m="1" x="468"/>
        <item m="1" x="140"/>
        <item m="1" x="924"/>
        <item m="1" x="656"/>
        <item m="1" x="188"/>
        <item m="1" x="715"/>
        <item m="1" x="92"/>
        <item m="1" x="185"/>
        <item m="1" x="804"/>
        <item m="1" x="232"/>
        <item m="1" x="505"/>
        <item m="1" x="942"/>
        <item m="1" x="960"/>
        <item m="1" x="163"/>
        <item x="9"/>
        <item m="1" x="219"/>
        <item m="1" x="670"/>
        <item m="1" x="254"/>
        <item m="1" x="330"/>
        <item m="1" x="748"/>
        <item m="1" x="172"/>
        <item m="1" x="696"/>
        <item m="1" x="110"/>
        <item m="1" x="836"/>
        <item m="1" x="883"/>
        <item x="10"/>
        <item m="1" x="451"/>
        <item m="1" x="841"/>
        <item m="1" x="241"/>
        <item m="1" x="886"/>
        <item m="1" x="97"/>
        <item m="1" x="362"/>
        <item m="1" x="583"/>
        <item m="1" x="46"/>
        <item m="1" x="127"/>
        <item m="1" x="819"/>
        <item m="1" x="509"/>
        <item m="1" x="302"/>
        <item m="1" x="880"/>
        <item m="1" x="247"/>
        <item m="1" x="121"/>
        <item m="1" x="826"/>
        <item m="1" x="78"/>
        <item m="1" x="331"/>
        <item m="1" x="441"/>
        <item m="1" x="142"/>
        <item m="1" x="721"/>
        <item m="1" x="114"/>
        <item m="1" x="559"/>
        <item m="1" x="130"/>
        <item m="1" x="803"/>
        <item m="1" x="103"/>
        <item m="1" x="707"/>
        <item m="1" x="770"/>
        <item m="1" x="93"/>
        <item m="1" x="768"/>
        <item m="1" x="167"/>
        <item m="1" x="971"/>
        <item m="1" x="90"/>
        <item m="1" x="34"/>
        <item m="1" x="777"/>
        <item m="1" x="383"/>
        <item m="1" x="85"/>
        <item m="1" x="606"/>
        <item m="1" x="341"/>
        <item m="1" x="679"/>
        <item m="1" x="372"/>
        <item m="1" x="493"/>
        <item m="1" x="371"/>
        <item m="1" x="628"/>
        <item m="1" x="600"/>
        <item m="1" x="144"/>
        <item m="1" x="622"/>
        <item m="1" x="174"/>
        <item m="1" x="124"/>
        <item m="1" x="632"/>
        <item m="1" x="178"/>
        <item m="1" x="101"/>
        <item m="1" x="160"/>
        <item m="1" x="615"/>
        <item m="1" x="737"/>
        <item m="1" x="786"/>
        <item m="1" x="166"/>
        <item m="1" x="781"/>
        <item m="1" x="212"/>
        <item m="1" x="27"/>
        <item m="1" x="214"/>
        <item m="1" x="115"/>
        <item m="1" x="262"/>
        <item m="1" x="386"/>
        <item m="1" x="695"/>
        <item m="1" x="645"/>
        <item m="1" x="158"/>
        <item m="1" x="108"/>
        <item m="1" x="832"/>
        <item m="1" x="806"/>
        <item m="1" x="238"/>
        <item m="1" x="673"/>
        <item m="1" x="652"/>
        <item m="1" x="739"/>
        <item m="1" x="820"/>
        <item m="1" x="337"/>
        <item m="1" x="415"/>
        <item m="1" x="900"/>
        <item m="1" x="855"/>
        <item m="1" x="755"/>
        <item m="1" x="530"/>
        <item m="1" x="575"/>
        <item m="1" x="36"/>
        <item m="1" x="205"/>
        <item m="1" x="720"/>
        <item m="1" x="813"/>
        <item m="1" x="45"/>
        <item m="1" x="365"/>
        <item m="1" x="479"/>
        <item m="1" x="98"/>
        <item m="1" x="840"/>
        <item m="1" x="252"/>
        <item m="1" x="165"/>
        <item m="1" x="581"/>
        <item m="1" x="175"/>
        <item m="1" x="74"/>
        <item m="1" x="148"/>
        <item x="11"/>
        <item m="1" x="614"/>
        <item m="1" x="265"/>
        <item m="1" x="358"/>
        <item m="1" x="67"/>
        <item m="1" x="304"/>
        <item m="1" x="162"/>
        <item m="1" x="173"/>
        <item m="1" x="328"/>
        <item m="1" x="186"/>
        <item m="1" x="366"/>
        <item m="1" x="932"/>
        <item m="1" x="243"/>
        <item m="1" x="856"/>
        <item m="1" x="916"/>
        <item m="1" x="626"/>
        <item m="1" x="730"/>
        <item m="1" x="761"/>
        <item m="1" x="94"/>
        <item m="1" x="421"/>
        <item m="1" x="195"/>
        <item m="1" x="444"/>
        <item m="1" x="640"/>
        <item m="1" x="586"/>
        <item m="1" x="706"/>
        <item m="1" x="681"/>
        <item m="1" x="221"/>
        <item m="1" x="445"/>
        <item m="1" x="529"/>
        <item m="1" x="111"/>
        <item m="1" x="751"/>
        <item m="1" x="405"/>
        <item m="1" x="318"/>
        <item m="1" x="327"/>
        <item m="1" x="959"/>
        <item m="1" x="532"/>
        <item m="1" x="897"/>
        <item m="1" x="348"/>
        <item m="1" x="854"/>
        <item m="1" x="235"/>
        <item m="1" x="380"/>
        <item m="1" x="354"/>
        <item m="1" x="313"/>
        <item m="1" x="417"/>
        <item m="1" x="176"/>
        <item m="1" x="361"/>
        <item m="1" x="552"/>
        <item m="1" x="466"/>
        <item m="1" x="245"/>
        <item m="1" x="874"/>
        <item m="1" x="833"/>
        <item m="1" x="743"/>
        <item m="1" x="650"/>
        <item m="1" x="920"/>
        <item m="1" x="257"/>
        <item m="1" x="688"/>
        <item m="1" x="746"/>
        <item m="1" x="145"/>
        <item m="1" x="699"/>
        <item m="1" x="890"/>
        <item m="1" x="562"/>
        <item m="1" x="123"/>
        <item m="1" x="395"/>
        <item m="1" x="760"/>
        <item m="1" x="847"/>
        <item m="1" x="236"/>
        <item m="1" x="849"/>
        <item m="1" x="135"/>
        <item m="1" x="553"/>
        <item m="1" x="872"/>
        <item m="1" x="519"/>
        <item m="1" x="38"/>
        <item m="1" x="472"/>
        <item m="1" x="669"/>
        <item m="1" x="565"/>
        <item m="1" x="427"/>
        <item m="1" x="667"/>
        <item m="1" x="732"/>
        <item m="1" x="547"/>
        <item m="1" x="382"/>
        <item m="1" x="193"/>
        <item m="1" x="471"/>
        <item m="1" x="831"/>
        <item m="1" x="222"/>
        <item m="1" x="510"/>
        <item m="1" x="351"/>
        <item m="1" x="895"/>
        <item m="1" x="213"/>
        <item m="1" x="269"/>
        <item m="1" x="759"/>
        <item m="1" x="346"/>
        <item x="12"/>
        <item x="13"/>
        <item m="1" x="866"/>
        <item m="1" x="810"/>
        <item m="1" x="194"/>
        <item x="14"/>
        <item m="1" x="773"/>
        <item m="1" x="210"/>
        <item m="1" x="456"/>
        <item m="1" x="436"/>
        <item m="1" x="766"/>
        <item m="1" x="187"/>
        <item m="1" x="392"/>
        <item m="1" x="119"/>
        <item m="1" x="282"/>
        <item m="1" x="490"/>
        <item m="1" x="363"/>
        <item m="1" x="113"/>
        <item x="15"/>
        <item m="1" x="394"/>
        <item x="16"/>
        <item x="17"/>
        <item m="1" x="312"/>
        <item m="1" x="800"/>
        <item m="1" x="876"/>
        <item m="1" x="228"/>
        <item m="1" x="295"/>
        <item m="1" x="944"/>
        <item m="1" x="923"/>
        <item m="1" x="551"/>
        <item m="1" x="461"/>
        <item m="1" x="702"/>
        <item m="1" x="653"/>
        <item m="1" x="657"/>
        <item m="1" x="237"/>
        <item m="1" x="431"/>
        <item m="1" x="32"/>
        <item m="1" x="53"/>
        <item m="1" x="352"/>
        <item m="1" x="25"/>
        <item m="1" x="902"/>
        <item m="1" x="926"/>
        <item m="1" x="693"/>
        <item m="1" x="782"/>
        <item m="1" x="349"/>
        <item m="1" x="947"/>
        <item m="1" x="373"/>
        <item m="1" x="378"/>
        <item m="1" x="545"/>
        <item m="1" x="439"/>
        <item m="1" x="411"/>
        <item m="1" x="246"/>
        <item m="1" x="574"/>
        <item m="1" x="283"/>
        <item m="1" x="572"/>
        <item m="1" x="467"/>
        <item m="1" x="542"/>
        <item m="1" x="215"/>
        <item m="1" x="77"/>
        <item m="1" x="324"/>
        <item m="1" x="726"/>
        <item m="1" x="170"/>
        <item m="1" x="455"/>
        <item m="1" x="901"/>
        <item m="1" x="460"/>
        <item m="1" x="82"/>
        <item m="1" x="343"/>
        <item m="1" x="498"/>
        <item m="1" x="910"/>
        <item m="1" x="375"/>
        <item m="1" x="725"/>
        <item m="1" x="607"/>
        <item m="1" x="55"/>
        <item m="1" x="796"/>
        <item m="1" x="818"/>
        <item m="1" x="536"/>
        <item m="1" x="128"/>
        <item m="1" x="577"/>
        <item m="1" x="899"/>
        <item m="1" x="196"/>
        <item m="1" x="292"/>
        <item m="1" x="28"/>
        <item m="1" x="182"/>
        <item m="1" x="571"/>
        <item m="1" x="671"/>
        <item m="1" x="277"/>
        <item m="1" x="384"/>
        <item m="1" x="608"/>
        <item m="1" x="446"/>
        <item m="1" x="40"/>
        <item m="1" x="204"/>
        <item m="1" x="35"/>
        <item m="1" x="440"/>
        <item m="1" x="104"/>
        <item m="1" x="485"/>
        <item m="1" x="903"/>
        <item m="1" x="894"/>
        <item m="1" x="342"/>
        <item m="1" x="317"/>
        <item m="1" x="591"/>
        <item m="1" x="917"/>
        <item m="1" x="672"/>
        <item m="1" x="723"/>
        <item m="1" x="543"/>
        <item m="1" x="711"/>
        <item m="1" x="749"/>
        <item m="1" x="399"/>
        <item x="19"/>
        <item m="1" x="568"/>
        <item m="1" x="765"/>
        <item m="1" x="772"/>
        <item m="1" x="482"/>
        <item m="1" x="29"/>
        <item m="1" x="126"/>
        <item m="1" x="397"/>
        <item m="1" x="488"/>
        <item m="1" x="964"/>
        <item m="1" x="961"/>
        <item m="1" x="544"/>
        <item m="1" x="401"/>
        <item m="1" x="938"/>
        <item m="1" x="676"/>
        <item m="1" x="970"/>
        <item m="1" x="132"/>
        <item m="1" x="719"/>
        <item m="1" x="31"/>
        <item m="1" x="496"/>
        <item m="1" x="548"/>
        <item m="1" x="368"/>
        <item m="1" x="692"/>
        <item m="1" x="512"/>
        <item m="1" x="549"/>
        <item m="1" x="139"/>
        <item m="1" x="261"/>
        <item m="1" x="322"/>
        <item m="1" x="438"/>
        <item m="1" x="735"/>
        <item m="1" x="857"/>
        <item m="1" x="57"/>
        <item m="1" x="808"/>
        <item m="1" x="722"/>
        <item m="1" x="63"/>
        <item m="1" x="817"/>
        <item m="1" x="717"/>
        <item m="1" x="332"/>
        <item x="20"/>
        <item m="1" x="661"/>
        <item m="1" x="418"/>
        <item m="1" x="734"/>
        <item m="1" x="538"/>
        <item m="1" x="106"/>
        <item m="1" x="424"/>
        <item m="1" x="736"/>
        <item m="1" x="129"/>
        <item m="1" x="794"/>
        <item m="1" x="701"/>
        <item m="1" x="966"/>
        <item m="1" x="207"/>
        <item m="1" x="102"/>
        <item m="1" x="889"/>
        <item m="1" x="798"/>
        <item m="1" x="648"/>
        <item m="1" x="629"/>
        <item m="1" x="744"/>
        <item m="1" x="809"/>
        <item m="1" x="137"/>
        <item m="1" x="30"/>
        <item m="1" x="339"/>
        <item m="1" x="940"/>
        <item m="1" x="499"/>
        <item m="1" x="557"/>
        <item m="1" x="356"/>
        <item m="1" x="180"/>
        <item m="1" x="741"/>
        <item m="1" x="179"/>
        <item m="1" x="619"/>
        <item m="1" x="546"/>
        <item m="1" x="613"/>
        <item m="1" x="633"/>
        <item m="1" x="425"/>
        <item m="1" x="56"/>
        <item m="1" x="470"/>
        <item m="1" x="936"/>
        <item m="1" x="675"/>
        <item x="21"/>
        <item m="1" x="933"/>
        <item m="1" x="934"/>
        <item m="1" x="747"/>
        <item m="1" x="935"/>
        <item m="1" x="694"/>
        <item m="1" x="830"/>
        <item m="1" x="39"/>
        <item m="1" x="590"/>
        <item m="1" x="962"/>
        <item m="1" x="919"/>
        <item m="1" x="579"/>
        <item m="1" x="414"/>
        <item m="1" x="329"/>
        <item m="1" x="233"/>
        <item m="1" x="68"/>
        <item x="22"/>
        <item m="1" x="402"/>
        <item m="1" x="420"/>
        <item m="1" x="646"/>
        <item m="1" x="972"/>
        <item m="1" x="898"/>
        <item m="1" x="476"/>
        <item m="1" x="802"/>
        <item m="1" x="100"/>
        <item m="1" x="288"/>
        <item m="1" x="522"/>
        <item m="1" x="556"/>
        <item m="1" x="908"/>
        <item m="1" x="931"/>
        <item m="1" x="909"/>
        <item m="1" x="589"/>
        <item m="1" x="511"/>
        <item m="1" x="367"/>
        <item m="1" x="276"/>
        <item m="1" x="231"/>
        <item m="1" x="66"/>
        <item m="1" x="229"/>
        <item x="23"/>
        <item x="24"/>
        <item m="1" x="733"/>
        <item m="1" x="248"/>
        <item m="1" x="480"/>
        <item m="1" x="250"/>
        <item m="1" x="407"/>
        <item m="1" x="81"/>
        <item m="1" x="191"/>
        <item m="1" x="651"/>
        <item m="1" x="865"/>
        <item m="1" x="181"/>
        <item m="1" x="353"/>
        <item m="1" x="957"/>
        <item m="1" x="369"/>
        <item m="1" x="287"/>
        <item m="1" x="663"/>
        <item m="1" x="623"/>
        <item m="1" x="462"/>
        <item m="1" x="136"/>
        <item m="1" x="564"/>
        <item m="1" x="495"/>
        <item m="1" x="138"/>
        <item m="1" x="727"/>
        <item m="1" x="184"/>
        <item m="1" x="714"/>
        <item m="1" x="473"/>
        <item m="1" x="740"/>
        <item m="1" x="285"/>
        <item m="1" x="506"/>
        <item m="1" x="513"/>
        <item m="1" x="122"/>
        <item m="1" x="682"/>
        <item m="1" x="89"/>
        <item m="1" x="921"/>
        <item m="1" x="918"/>
        <item m="1" x="853"/>
        <item m="1" x="783"/>
        <item m="1" x="286"/>
        <item m="1" x="150"/>
        <item m="1" x="769"/>
        <item m="1" x="141"/>
        <item m="1" x="828"/>
        <item m="1" x="658"/>
        <item m="1" x="554"/>
        <item m="1" x="340"/>
        <item m="1" x="437"/>
        <item m="1" x="787"/>
        <item m="1" x="662"/>
        <item m="1" x="587"/>
        <item m="1" x="433"/>
        <item m="1" x="969"/>
        <item m="1" x="952"/>
        <item m="1" x="763"/>
        <item m="1" x="484"/>
        <item m="1" x="70"/>
        <item m="1" x="750"/>
        <item m="1" x="774"/>
        <item m="1" x="775"/>
        <item m="1" x="858"/>
        <item m="1" x="151"/>
        <item m="1" x="469"/>
        <item m="1" x="263"/>
        <item m="1" x="264"/>
        <item m="1" x="929"/>
        <item m="1" x="870"/>
        <item m="1" x="487"/>
        <item m="1" x="851"/>
        <item m="1" x="464"/>
        <item m="1" x="914"/>
        <item m="1" x="465"/>
        <item m="1" x="844"/>
        <item m="1" x="385"/>
        <item m="1" x="703"/>
        <item m="1" x="596"/>
        <item m="1" x="792"/>
        <item m="1" x="75"/>
        <item m="1" x="307"/>
        <item m="1" x="96"/>
        <item m="1" x="592"/>
        <item m="1" x="528"/>
        <item m="1" x="560"/>
        <item m="1" x="967"/>
        <item m="1" x="271"/>
        <item x="8"/>
        <item x="7"/>
        <item x="18"/>
        <item m="1" x="797"/>
        <item m="1" x="278"/>
        <item m="1" x="267"/>
        <item m="1" x="790"/>
        <item m="1" x="256"/>
        <item m="1" x="799"/>
        <item m="1" x="297"/>
        <item m="1" x="37"/>
        <item m="1" x="885"/>
        <item m="1" x="517"/>
        <item m="1" x="712"/>
        <item m="1" x="570"/>
        <item m="1" x="454"/>
        <item m="1" x="298"/>
        <item m="1" x="435"/>
        <item m="1" x="521"/>
        <item m="1" x="389"/>
        <item m="1" x="220"/>
        <item m="1" x="927"/>
        <item m="1" x="199"/>
        <item m="1" x="303"/>
        <item m="1" x="879"/>
        <item m="1" x="404"/>
        <item m="1" x="374"/>
        <item m="1" x="780"/>
        <item m="1" x="491"/>
        <item m="1" x="211"/>
        <item m="1" x="689"/>
        <item m="1" x="410"/>
        <item m="1" x="430"/>
        <item m="1" x="423"/>
        <item m="1" x="48"/>
        <item m="1" x="481"/>
        <item m="1" x="266"/>
        <item m="1" x="154"/>
        <item m="1" x="954"/>
        <item m="1" x="475"/>
        <item m="1" x="157"/>
        <item m="1" x="801"/>
        <item m="1" x="428"/>
        <item m="1" x="457"/>
        <item m="1" x="64"/>
        <item m="1" x="189"/>
        <item m="1" x="742"/>
        <item m="1" x="398"/>
        <item m="1" x="520"/>
        <item m="1" x="73"/>
        <item m="1" x="504"/>
        <item m="1" x="644"/>
        <item m="1" x="190"/>
        <item m="1" x="294"/>
        <item m="1" x="206"/>
        <item m="1" x="315"/>
        <item m="1" x="301"/>
        <item m="1" x="131"/>
        <item m="1" x="867"/>
        <item m="1" x="713"/>
        <item m="1" x="486"/>
        <item m="1" x="54"/>
        <item m="1" x="593"/>
        <item m="1" x="823"/>
        <item m="1" x="691"/>
        <item m="1" x="412"/>
        <item m="1" x="448"/>
        <item m="1" x="610"/>
        <item m="1" x="217"/>
        <item m="1" x="756"/>
        <item m="1" x="527"/>
        <item m="1" x="432"/>
        <item m="1" x="690"/>
        <item m="1" x="654"/>
        <item m="1" x="618"/>
        <item m="1" x="584"/>
        <item m="1" x="843"/>
        <item m="1" x="599"/>
        <item m="1" x="60"/>
        <item m="1" x="49"/>
        <item m="1" x="209"/>
        <item m="1" x="612"/>
        <item m="1" x="251"/>
        <item m="1" x="597"/>
        <item m="1" x="816"/>
        <item m="1" x="270"/>
        <item m="1" x="218"/>
        <item m="1" x="601"/>
        <item m="1" x="569"/>
        <item m="1" x="314"/>
        <item m="1" x="309"/>
        <item m="1" x="815"/>
        <item m="1" x="345"/>
        <item m="1" x="677"/>
        <item m="1" x="594"/>
        <item m="1" x="852"/>
        <item m="1" x="891"/>
        <item m="1" x="105"/>
        <item m="1" x="939"/>
        <item m="1" x="541"/>
        <item m="1" x="360"/>
        <item m="1" x="784"/>
        <item m="1" x="120"/>
        <item m="1" x="860"/>
        <item m="1" x="685"/>
        <item m="1" x="357"/>
        <item m="1" x="333"/>
        <item m="1" x="310"/>
        <item m="1" x="377"/>
        <item m="1" x="758"/>
        <item m="1" x="305"/>
        <item m="1" x="43"/>
        <item m="1" x="862"/>
        <item m="1" x="778"/>
        <item m="1" x="502"/>
        <item m="1" x="406"/>
        <item m="1" x="811"/>
        <item m="1" x="478"/>
        <item m="1" x="442"/>
        <item m="1" x="133"/>
        <item m="1" x="390"/>
        <item m="1" x="526"/>
        <item m="1" x="494"/>
        <item m="1" x="501"/>
        <item m="1" x="52"/>
        <item m="1" x="146"/>
        <item m="1" x="293"/>
        <item m="1" x="216"/>
        <item m="1" x="776"/>
        <item m="1" x="779"/>
        <item m="1" x="704"/>
        <item m="1" x="729"/>
        <item m="1" x="280"/>
        <item m="1" x="951"/>
        <item m="1" x="419"/>
        <item m="1" x="107"/>
        <item m="1" x="762"/>
        <item m="1" x="403"/>
        <item m="1" x="316"/>
        <item m="1" x="239"/>
        <item x="4"/>
        <item m="1" x="26"/>
        <item m="1" x="616"/>
        <item m="1" x="275"/>
        <item m="1" x="641"/>
        <item m="1" x="65"/>
        <item m="1" x="697"/>
        <item m="1" x="666"/>
        <item m="1" x="69"/>
        <item m="1" x="483"/>
        <item m="1" x="795"/>
        <item m="1" x="452"/>
        <item m="1" x="904"/>
        <item m="1" x="731"/>
        <item m="1" x="842"/>
        <item m="1" x="503"/>
        <item m="1" x="79"/>
        <item m="1" x="812"/>
        <item m="1" x="680"/>
        <item m="1" x="708"/>
        <item m="1" x="253"/>
        <item m="1" x="409"/>
        <item m="1" x="745"/>
        <item m="1" x="379"/>
        <item m="1" x="793"/>
        <item m="1" x="197"/>
        <item m="1" x="561"/>
        <item m="1" x="296"/>
        <item m="1" x="125"/>
        <item m="1" x="636"/>
        <item m="1" x="659"/>
        <item m="1" x="459"/>
        <item m="1" x="539"/>
        <item m="1" x="540"/>
        <item m="1" x="534"/>
        <item m="1" x="850"/>
        <item m="1" x="208"/>
        <item m="1" x="864"/>
        <item m="1" x="925"/>
        <item m="1" x="171"/>
        <item m="1" x="86"/>
        <item m="1" x="168"/>
        <item m="1" x="617"/>
        <item m="1" x="585"/>
        <item m="1" x="230"/>
        <item m="1" x="868"/>
        <item m="1" x="683"/>
        <item m="1" x="42"/>
        <item m="1" x="159"/>
        <item m="1" x="814"/>
        <item m="1" x="413"/>
        <item m="1" x="686"/>
        <item m="1" x="665"/>
        <item m="1" x="643"/>
        <item m="1" x="516"/>
        <item m="1" x="400"/>
        <item m="1" x="370"/>
        <item m="1" x="62"/>
        <item m="1" x="192"/>
        <item m="1" x="829"/>
        <item m="1" x="905"/>
        <item m="1" x="567"/>
        <item m="1" x="945"/>
        <item m="1" x="95"/>
        <item m="1" x="609"/>
        <item m="1" x="678"/>
        <item m="1" x="896"/>
        <item m="1" x="767"/>
        <item m="1" x="705"/>
        <item m="1" x="912"/>
        <item m="1" x="649"/>
        <item m="1" x="537"/>
        <item m="1" x="177"/>
        <item m="1" x="573"/>
        <item m="1" x="789"/>
        <item m="1" x="973"/>
        <item m="1" x="738"/>
        <item m="1" x="326"/>
        <item m="1" x="580"/>
        <item m="1" x="941"/>
        <item m="1" x="523"/>
        <item m="1" x="376"/>
        <item m="1" x="508"/>
        <item m="1" x="408"/>
        <item m="1" x="906"/>
        <item m="1" x="531"/>
        <item m="1" x="878"/>
        <item m="1" x="602"/>
        <item m="1" x="272"/>
        <item m="1" x="143"/>
        <item m="1" x="41"/>
        <item m="1" x="887"/>
        <item m="1" x="58"/>
        <item m="1" x="507"/>
        <item m="1" x="156"/>
        <item m="1" x="871"/>
        <item m="1" x="948"/>
        <item m="1" x="576"/>
        <item m="1" x="861"/>
        <item m="1" x="937"/>
        <item m="1" x="533"/>
        <item m="1" x="848"/>
        <item m="1" x="183"/>
        <item m="1" x="807"/>
        <item m="1" x="51"/>
        <item m="1" x="634"/>
        <item m="1" x="323"/>
        <item m="1" x="391"/>
        <item m="1" x="943"/>
        <item m="1" x="788"/>
        <item t="default"/>
      </items>
    </pivotField>
    <pivotField compact="0" outline="0" showAll="0"/>
    <pivotField compact="0" numFmtId="1" outline="0" showAl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pivotField compact="0" outline="0" showAll="0" defaultSubtotal="0"/>
    <pivotField compact="0" outline="0" showAll="0" defaultSubtotal="0"/>
    <pivotField compact="0" outline="0" showAll="0" defaultSubtota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defaultSubtotal="0"/>
    <pivotField compact="0" numFmtId="9" outline="0" showAll="0"/>
    <pivotField compact="0" outline="0" showAll="0" defaultSubtotal="0"/>
    <pivotField compact="0" outline="0" showAll="0"/>
    <pivotField compact="0" numFmtId="1" outline="0" showAll="0"/>
    <pivotField compact="0" numFmtId="9" outline="0" showAll="0"/>
    <pivotField dataField="1" compact="0" outline="0" showAll="0" defaultSubtotal="0"/>
    <pivotField compact="0" outline="0" showAll="0"/>
    <pivotField compact="0" numFmtId="9" outline="0" showAll="0"/>
    <pivotField compact="0" outline="0" showAll="0" defaultSubtotal="0"/>
    <pivotField compact="0" numFmtId="1" outline="0" showAll="0"/>
    <pivotField compact="0" numFmtId="1" outline="0" showAll="0"/>
    <pivotField compact="0" numFmtId="9" outline="0" showAll="0"/>
    <pivotField dataField="1" compact="0" numFmtId="1" outline="0" showAll="0" defaultSubtotal="0"/>
    <pivotField compact="0" outline="0" showAll="0" defaultSubtotal="0"/>
    <pivotField compact="0" numFmtId="1" outline="0" showAll="0"/>
    <pivotField compact="0" numFmtId="1" outline="0" showAll="0"/>
    <pivotField compact="0" numFmtId="9" outline="0" showAll="0"/>
    <pivotField compact="0" numFmtId="9" outline="0" showAll="0"/>
    <pivotField compact="0" numFmtId="1" outline="0" showAll="0"/>
    <pivotField compact="0" numFmtId="1" outline="0" showAll="0"/>
    <pivotField compact="0" numFmtId="1" outline="0" showAll="0"/>
    <pivotField compact="0" numFmtId="1" outline="0" showAll="0"/>
    <pivotField dataField="1" compact="0" numFmtId="1" outline="0" showAll="0" defaultSubtotal="0"/>
    <pivotField compact="0" numFmtId="9" outline="0" showAll="0"/>
    <pivotField compact="0" numFmtId="9" outline="0" showAll="0"/>
    <pivotField compact="0" numFmtId="9" outline="0" showAll="0"/>
    <pivotField compact="0" numFmtId="9"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Page" compact="0" outline="0" multipleItemSelectionAllowed="1" showAll="0">
      <items count="5">
        <item x="0"/>
        <item x="1"/>
        <item m="1" x="3"/>
        <item m="1" x="2"/>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dragToRow="0" dragToCol="0" dragToPage="0" showAll="0" defaultSubtotal="0"/>
    <pivotField compact="0" outline="0" dragToRow="0" dragToCol="0" dragToPage="0" showAll="0" defaultSubtotal="0"/>
    <pivotField compact="0" outline="0" dragToRow="0" dragToCol="0" dragToPage="0" showAll="0" defaultSubtotal="0"/>
    <pivotField compact="0" outline="0" dragToRow="0" dragToCol="0" dragToPage="0" showAll="0" defaultSubtotal="0"/>
    <pivotField compact="0" outline="0" dragToRow="0" dragToCol="0" dragToPage="0" showAll="0" defaultSubtotal="0"/>
    <pivotField compact="0" outline="0" dragToRow="0" dragToCol="0" dragToPage="0" showAll="0" defaultSubtotal="0"/>
    <pivotField compact="0" outline="0" dragToRow="0" dragToCol="0" dragToPage="0" showAll="0" defaultSubtotal="0"/>
  </pivotFields>
  <rowFields count="2">
    <field x="7"/>
    <field x="0"/>
  </rowFields>
  <rowItems count="101">
    <i>
      <x v="25"/>
      <x v="11"/>
    </i>
    <i r="1">
      <x v="12"/>
    </i>
    <i r="1">
      <x v="13"/>
    </i>
    <i t="default">
      <x v="25"/>
    </i>
    <i>
      <x v="49"/>
      <x v="11"/>
    </i>
    <i r="1">
      <x v="12"/>
    </i>
    <i r="1">
      <x v="13"/>
    </i>
    <i t="default">
      <x v="49"/>
    </i>
    <i>
      <x v="52"/>
      <x v="11"/>
    </i>
    <i r="1">
      <x v="12"/>
    </i>
    <i r="1">
      <x v="13"/>
    </i>
    <i t="default">
      <x v="52"/>
    </i>
    <i>
      <x v="53"/>
      <x v="11"/>
    </i>
    <i r="1">
      <x v="12"/>
    </i>
    <i r="1">
      <x v="13"/>
    </i>
    <i t="default">
      <x v="53"/>
    </i>
    <i>
      <x v="84"/>
      <x v="11"/>
    </i>
    <i r="1">
      <x v="12"/>
    </i>
    <i r="1">
      <x v="13"/>
    </i>
    <i t="default">
      <x v="84"/>
    </i>
    <i>
      <x v="85"/>
      <x v="11"/>
    </i>
    <i r="1">
      <x v="12"/>
    </i>
    <i r="1">
      <x v="13"/>
    </i>
    <i t="default">
      <x v="85"/>
    </i>
    <i>
      <x v="218"/>
      <x v="11"/>
    </i>
    <i r="1">
      <x v="12"/>
    </i>
    <i r="1">
      <x v="13"/>
    </i>
    <i t="default">
      <x v="218"/>
    </i>
    <i>
      <x v="229"/>
      <x v="11"/>
    </i>
    <i r="1">
      <x v="12"/>
    </i>
    <i r="1">
      <x v="13"/>
    </i>
    <i t="default">
      <x v="229"/>
    </i>
    <i>
      <x v="327"/>
      <x v="11"/>
    </i>
    <i r="1">
      <x v="12"/>
    </i>
    <i r="1">
      <x v="13"/>
    </i>
    <i t="default">
      <x v="327"/>
    </i>
    <i>
      <x v="418"/>
      <x v="11"/>
    </i>
    <i r="1">
      <x v="12"/>
    </i>
    <i r="1">
      <x v="13"/>
    </i>
    <i t="default">
      <x v="418"/>
    </i>
    <i>
      <x v="419"/>
      <x v="11"/>
    </i>
    <i r="1">
      <x v="12"/>
    </i>
    <i r="1">
      <x v="13"/>
    </i>
    <i t="default">
      <x v="419"/>
    </i>
    <i>
      <x v="423"/>
      <x v="11"/>
    </i>
    <i r="1">
      <x v="12"/>
    </i>
    <i r="1">
      <x v="13"/>
    </i>
    <i t="default">
      <x v="423"/>
    </i>
    <i>
      <x v="436"/>
      <x v="11"/>
    </i>
    <i r="1">
      <x v="12"/>
    </i>
    <i r="1">
      <x v="13"/>
    </i>
    <i t="default">
      <x v="436"/>
    </i>
    <i>
      <x v="438"/>
      <x v="11"/>
    </i>
    <i r="1">
      <x v="12"/>
    </i>
    <i r="1">
      <x v="13"/>
    </i>
    <i t="default">
      <x v="438"/>
    </i>
    <i>
      <x v="439"/>
      <x v="11"/>
    </i>
    <i r="1">
      <x v="12"/>
    </i>
    <i r="1">
      <x v="13"/>
    </i>
    <i t="default">
      <x v="439"/>
    </i>
    <i>
      <x v="525"/>
      <x v="11"/>
    </i>
    <i r="1">
      <x v="12"/>
    </i>
    <i r="1">
      <x v="13"/>
    </i>
    <i t="default">
      <x v="525"/>
    </i>
    <i>
      <x v="563"/>
      <x v="11"/>
    </i>
    <i r="1">
      <x v="12"/>
    </i>
    <i r="1">
      <x v="13"/>
    </i>
    <i t="default">
      <x v="563"/>
    </i>
    <i>
      <x v="602"/>
      <x v="11"/>
    </i>
    <i r="1">
      <x v="12"/>
    </i>
    <i r="1">
      <x v="13"/>
    </i>
    <i t="default">
      <x v="602"/>
    </i>
    <i>
      <x v="618"/>
      <x v="11"/>
    </i>
    <i r="1">
      <x v="12"/>
    </i>
    <i r="1">
      <x v="13"/>
    </i>
    <i t="default">
      <x v="618"/>
    </i>
    <i>
      <x v="640"/>
      <x v="11"/>
    </i>
    <i r="1">
      <x v="12"/>
    </i>
    <i r="1">
      <x v="13"/>
    </i>
    <i t="default">
      <x v="640"/>
    </i>
    <i>
      <x v="641"/>
      <x v="11"/>
    </i>
    <i r="1">
      <x v="12"/>
    </i>
    <i r="1">
      <x v="13"/>
    </i>
    <i t="default">
      <x v="641"/>
    </i>
    <i>
      <x v="724"/>
      <x v="11"/>
    </i>
    <i r="1">
      <x v="12"/>
    </i>
    <i r="1">
      <x v="13"/>
    </i>
    <i t="default">
      <x v="724"/>
    </i>
    <i>
      <x v="725"/>
      <x v="11"/>
    </i>
    <i r="1">
      <x v="12"/>
    </i>
    <i r="1">
      <x v="13"/>
    </i>
    <i t="default">
      <x v="725"/>
    </i>
    <i>
      <x v="726"/>
      <x v="11"/>
    </i>
    <i r="1">
      <x v="12"/>
    </i>
    <i r="1">
      <x v="13"/>
    </i>
    <i t="default">
      <x v="726"/>
    </i>
    <i>
      <x v="864"/>
      <x v="11"/>
    </i>
    <i r="1">
      <x v="12"/>
    </i>
    <i r="1">
      <x v="13"/>
    </i>
    <i t="default">
      <x v="864"/>
    </i>
    <i t="grand">
      <x/>
    </i>
  </rowItems>
  <colFields count="1">
    <field x="-2"/>
  </colFields>
  <colItems count="3">
    <i>
      <x/>
    </i>
    <i i="1">
      <x v="1"/>
    </i>
    <i i="2">
      <x v="2"/>
    </i>
  </colItems>
  <pageFields count="1">
    <pageField fld="104" hier="-1"/>
  </pageFields>
  <dataFields count="3">
    <dataField name="# of People adopt basic personal and community hygiene practices" fld="89" baseField="0" baseItem="0"/>
    <dataField name="# of people access to functioning  sanitation facilities" fld="79" baseField="0" baseItem="0"/>
    <dataField name="# of people Equitable and continuous access to sufficient quantity of domestic water" fld="72" baseField="0" baseItem="0"/>
  </dataFields>
  <chartFormats count="3">
    <chartFormat chart="3" format="5" series="1">
      <pivotArea type="data" outline="0" fieldPosition="0">
        <references count="1">
          <reference field="4294967294" count="1" selected="0">
            <x v="0"/>
          </reference>
        </references>
      </pivotArea>
    </chartFormat>
    <chartFormat chart="3" format="6" series="1">
      <pivotArea type="data" outline="0" fieldPosition="0">
        <references count="1">
          <reference field="4294967294" count="1" selected="0">
            <x v="1"/>
          </reference>
        </references>
      </pivotArea>
    </chartFormat>
    <chartFormat chart="3" format="7" series="1">
      <pivotArea type="data" outline="0" fieldPosition="0">
        <references count="1">
          <reference field="4294967294"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00000000-0007-0000-0800-00000E000000}" name="PivotTable14" cacheId="0" applyNumberFormats="0" applyBorderFormats="0" applyFontFormats="0" applyPatternFormats="0" applyAlignmentFormats="0" applyWidthHeightFormats="1" dataCaption="Values" updatedVersion="6" minRefreshableVersion="3" rowGrandTotals="0" colGrandTotals="0" itemPrintTitles="1" createdVersion="6" indent="0" outline="1" outlineData="1" multipleFieldFilters="0" chartFormat="13" rowHeaderCaption="State">
  <location ref="C312:E313" firstHeaderRow="0" firstDataRow="1" firstDataCol="1" rowPageCount="2" colPageCount="1"/>
  <pivotFields count="119">
    <pivotField axis="axisPage" subtotalTop="0" showAll="0">
      <items count="15">
        <item m="1" x="12"/>
        <item m="1" x="5"/>
        <item m="1" x="13"/>
        <item m="1" x="7"/>
        <item m="1" x="4"/>
        <item m="1" x="3"/>
        <item m="1" x="11"/>
        <item m="1" x="8"/>
        <item m="1" x="9"/>
        <item m="1" x="10"/>
        <item m="1" x="6"/>
        <item x="0"/>
        <item x="2"/>
        <item x="1"/>
        <item t="default"/>
      </items>
    </pivotField>
    <pivotField showAll="0" defaultSubtotal="0"/>
    <pivotField showAll="0" defaultSubtotal="0"/>
    <pivotField subtotalTop="0" showAll="0"/>
    <pivotField axis="axisRow" subtotalTop="0" multipleItemSelectionAllowed="1" showAll="0">
      <items count="7">
        <item m="1" x="3"/>
        <item m="1" x="2"/>
        <item m="1" x="5"/>
        <item h="1" m="1" x="1"/>
        <item x="0"/>
        <item m="1" x="4"/>
        <item t="default"/>
      </items>
    </pivotField>
    <pivotField subtotalTop="0" showAll="0"/>
    <pivotField showAll="0" defaultSubtotal="0"/>
    <pivotField subtotalTop="0" showAll="0"/>
    <pivotField subtotalTop="0" showAll="0"/>
    <pivotField subtotalTop="0" showAll="0"/>
    <pivotField showAll="0" defaultSubtotal="0"/>
    <pivotField showAll="0" defaultSubtotal="0"/>
    <pivotField showAll="0" defaultSubtotal="0"/>
    <pivotField showAll="0" defaultSubtotal="0"/>
    <pivotField showAll="0" defaultSubtotal="0"/>
    <pivotField subtotalTop="0" showAll="0"/>
    <pivotField showAll="0" defaultSubtotal="0"/>
    <pivotField showAll="0" defaultSubtotal="0"/>
    <pivotField showAll="0" defaultSubtota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numFmtId="9" showAll="0"/>
    <pivotField showAll="0" defaultSubtotal="0"/>
    <pivotField showAll="0"/>
    <pivotField numFmtId="1" subtotalTop="0" showAll="0"/>
    <pivotField numFmtId="9" showAll="0"/>
    <pivotField showAll="0" defaultSubtotal="0"/>
    <pivotField subtotalTop="0" showAll="0"/>
    <pivotField subtotalTop="0" showAll="0"/>
    <pivotField showAll="0" defaultSubtotal="0"/>
    <pivotField numFmtId="1" subtotalTop="0" showAll="0"/>
    <pivotField numFmtId="1" subtotalTop="0" showAll="0"/>
    <pivotField numFmtId="9" showAll="0"/>
    <pivotField numFmtId="1" showAll="0" defaultSubtotal="0"/>
    <pivotField showAll="0" defaultSubtotal="0"/>
    <pivotField subtotalTop="0" showAll="0"/>
    <pivotField subtotalTop="0" showAll="0"/>
    <pivotField subtotalTop="0" showAll="0"/>
    <pivotField numFmtId="9" showAll="0" defaultSubtotal="0"/>
    <pivotField numFmtId="1" showAll="0" defaultSubtotal="0"/>
    <pivotField numFmtId="1" showAll="0" defaultSubtotal="0"/>
    <pivotField numFmtId="1" showAll="0" defaultSubtotal="0"/>
    <pivotField numFmtId="1" showAll="0" defaultSubtotal="0"/>
    <pivotField numFmtId="1" showAll="0" defaultSubtotal="0"/>
    <pivotField numFmtId="9" subtotalTop="0" showAll="0"/>
    <pivotField numFmtId="9" subtotalTop="0" showAll="0"/>
    <pivotField numFmtId="9" subtotalTop="0" showAll="0"/>
    <pivotField numFmtId="9" subtotalTop="0" showAll="0"/>
    <pivotField showAll="0"/>
    <pivotField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axis="axisPage" subtotalTop="0" multipleItemSelectionAllowed="1" showAll="0">
      <items count="5">
        <item x="0"/>
        <item n="Gap" h="1" x="1"/>
        <item h="1" m="1" x="3"/>
        <item h="1" m="1" x="2"/>
        <item t="default"/>
      </items>
    </pivotField>
    <pivotField showAll="0"/>
    <pivotField showAll="0"/>
    <pivotField showAll="0"/>
    <pivotField subtotalTop="0" showAll="0"/>
    <pivotField showAll="0"/>
    <pivotField showAll="0"/>
    <pivotField showAl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s>
  <rowFields count="1">
    <field x="4"/>
  </rowFields>
  <rowItems count="1">
    <i>
      <x v="4"/>
    </i>
  </rowItems>
  <colFields count="1">
    <field x="-2"/>
  </colFields>
  <colItems count="2">
    <i>
      <x/>
    </i>
    <i i="1">
      <x v="1"/>
    </i>
  </colItems>
  <pageFields count="2">
    <pageField fld="0" item="12" hier="-1"/>
    <pageField fld="104" hier="-1"/>
  </pageFields>
  <dataFields count="2">
    <dataField name="# of latrines in TLS/CFS" fld="42" baseField="0" baseItem="0"/>
    <dataField name=" # Functional water points in TLS/CFS" fld="29" baseField="0" baseItem="0"/>
  </dataFields>
  <formats count="18">
    <format dxfId="220">
      <pivotArea type="all" dataOnly="0" outline="0" fieldPosition="0"/>
    </format>
    <format dxfId="219">
      <pivotArea outline="0" collapsedLevelsAreSubtotals="1" fieldPosition="0"/>
    </format>
    <format dxfId="218">
      <pivotArea field="4" type="button" dataOnly="0" labelOnly="1" outline="0" axis="axisRow" fieldPosition="0"/>
    </format>
    <format dxfId="217">
      <pivotArea dataOnly="0" labelOnly="1" grandRow="1" outline="0" fieldPosition="0"/>
    </format>
    <format dxfId="216">
      <pivotArea type="all" dataOnly="0" outline="0" fieldPosition="0"/>
    </format>
    <format dxfId="215">
      <pivotArea outline="0" collapsedLevelsAreSubtotals="1" fieldPosition="0"/>
    </format>
    <format dxfId="214">
      <pivotArea type="origin" dataOnly="0" labelOnly="1" outline="0" fieldPosition="0"/>
    </format>
    <format dxfId="213">
      <pivotArea field="104" type="button" dataOnly="0" labelOnly="1" outline="0" axis="axisPage" fieldPosition="1"/>
    </format>
    <format dxfId="212">
      <pivotArea type="topRight" dataOnly="0" labelOnly="1" outline="0" fieldPosition="0"/>
    </format>
    <format dxfId="211">
      <pivotArea dataOnly="0" labelOnly="1" fieldPosition="0">
        <references count="1">
          <reference field="104" count="0"/>
        </references>
      </pivotArea>
    </format>
    <format dxfId="210">
      <pivotArea type="all" dataOnly="0" outline="0" fieldPosition="0"/>
    </format>
    <format dxfId="209">
      <pivotArea outline="0" collapsedLevelsAreSubtotals="1" fieldPosition="0"/>
    </format>
    <format dxfId="208">
      <pivotArea field="4" type="button" dataOnly="0" labelOnly="1" outline="0" axis="axisRow" fieldPosition="0"/>
    </format>
    <format dxfId="207">
      <pivotArea dataOnly="0" labelOnly="1" fieldPosition="0">
        <references count="1">
          <reference field="4" count="0"/>
        </references>
      </pivotArea>
    </format>
    <format dxfId="206">
      <pivotArea outline="0" collapsedLevelsAreSubtotals="1" fieldPosition="0"/>
    </format>
    <format dxfId="205">
      <pivotArea field="4" type="button" dataOnly="0" labelOnly="1" outline="0" axis="axisRow" fieldPosition="0"/>
    </format>
    <format dxfId="204">
      <pivotArea field="4" type="button" dataOnly="0" labelOnly="1" outline="0" axis="axisRow" fieldPosition="0"/>
    </format>
    <format dxfId="203">
      <pivotArea field="4" type="button" dataOnly="0" labelOnly="1" outline="0" axis="axisRow" fieldPosition="0"/>
    </format>
  </formats>
  <chartFormats count="4">
    <chartFormat chart="8" format="0" series="1">
      <pivotArea type="data" outline="0" fieldPosition="0">
        <references count="1">
          <reference field="4294967294" count="1" selected="0">
            <x v="1"/>
          </reference>
        </references>
      </pivotArea>
    </chartFormat>
    <chartFormat chart="8" format="1" series="1">
      <pivotArea type="data" outline="0" fieldPosition="0">
        <references count="1">
          <reference field="4294967294" count="1" selected="0">
            <x v="0"/>
          </reference>
        </references>
      </pivotArea>
    </chartFormat>
    <chartFormat chart="9" format="0" series="1">
      <pivotArea type="data" outline="0" fieldPosition="0">
        <references count="1">
          <reference field="4294967294" count="1" selected="0">
            <x v="1"/>
          </reference>
        </references>
      </pivotArea>
    </chartFormat>
    <chartFormat chart="9" format="1" series="1">
      <pivotArea type="data" outline="0" fieldPosition="0">
        <references count="1">
          <reference field="4294967294" count="1" selected="0">
            <x v="0"/>
          </reference>
        </references>
      </pivotArea>
    </chartFormat>
  </chartFormats>
  <pivotTableStyleInfo name="PivotStyleLight18"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00000000-0007-0000-0800-000001000000}" name="Hygiene_1" cacheId="0" applyNumberFormats="0" applyBorderFormats="0" applyFontFormats="0" applyPatternFormats="0" applyAlignmentFormats="0" applyWidthHeightFormats="1" dataCaption="Values" updatedVersion="6" minRefreshableVersion="3" itemPrintTitles="1" createdVersion="6" indent="0" outline="1" outlineData="1" multipleFieldFilters="0">
  <location ref="B188:F190" firstHeaderRow="0" firstDataRow="1" firstDataCol="1" rowPageCount="3" colPageCount="1"/>
  <pivotFields count="119">
    <pivotField axis="axisPage" subtotalTop="0" multipleItemSelectionAllowed="1" showAll="0">
      <items count="15">
        <item h="1" m="1" x="12"/>
        <item m="1" x="5"/>
        <item m="1" x="13"/>
        <item h="1" m="1" x="7"/>
        <item m="1" x="4"/>
        <item h="1" m="1" x="3"/>
        <item h="1" m="1" x="11"/>
        <item h="1" m="1" x="8"/>
        <item h="1" m="1" x="9"/>
        <item m="1" x="10"/>
        <item m="1" x="6"/>
        <item h="1" x="0"/>
        <item x="2"/>
        <item h="1" x="1"/>
        <item t="default"/>
      </items>
    </pivotField>
    <pivotField showAll="0" defaultSubtotal="0"/>
    <pivotField showAll="0" defaultSubtotal="0"/>
    <pivotField subtotalTop="0" showAll="0"/>
    <pivotField axis="axisRow" subtotalTop="0" showAll="0">
      <items count="7">
        <item m="1" x="3"/>
        <item m="1" x="2"/>
        <item m="1" x="5"/>
        <item m="1" x="1"/>
        <item x="0"/>
        <item m="1" x="4"/>
        <item t="default"/>
      </items>
    </pivotField>
    <pivotField subtotalTop="0" showAll="0"/>
    <pivotField axis="axisPage" multipleItemSelectionAllowed="1" showAll="0" defaultSubtotal="0">
      <items count="10">
        <item x="0"/>
        <item m="1" x="2"/>
        <item m="1" x="8"/>
        <item h="1" m="1" x="9"/>
        <item m="1" x="7"/>
        <item m="1" x="1"/>
        <item h="1" m="1" x="4"/>
        <item m="1" x="3"/>
        <item h="1" m="1" x="5"/>
        <item m="1" x="6"/>
      </items>
    </pivotField>
    <pivotField subtotalTop="0" showAll="0"/>
    <pivotField dataField="1" subtotalTop="0" showAll="0"/>
    <pivotField subtotalTop="0" showAll="0"/>
    <pivotField showAll="0" defaultSubtotal="0"/>
    <pivotField showAll="0" defaultSubtotal="0"/>
    <pivotField showAll="0" defaultSubtotal="0"/>
    <pivotField showAll="0" defaultSubtotal="0"/>
    <pivotField showAll="0" defaultSubtotal="0"/>
    <pivotField subtotalTop="0" showAll="0"/>
    <pivotField showAll="0" defaultSubtotal="0"/>
    <pivotField showAll="0" defaultSubtota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numFmtId="9" showAll="0"/>
    <pivotField showAll="0" defaultSubtotal="0"/>
    <pivotField showAll="0"/>
    <pivotField numFmtId="1" subtotalTop="0" showAll="0"/>
    <pivotField numFmtId="9" showAll="0"/>
    <pivotField showAll="0" defaultSubtotal="0"/>
    <pivotField subtotalTop="0" showAll="0"/>
    <pivotField subtotalTop="0" showAll="0"/>
    <pivotField showAll="0" defaultSubtotal="0"/>
    <pivotField numFmtId="1" subtotalTop="0" showAll="0"/>
    <pivotField numFmtId="1" subtotalTop="0" showAll="0"/>
    <pivotField numFmtId="9" showAll="0"/>
    <pivotField numFmtId="1" showAll="0" defaultSubtotal="0"/>
    <pivotField showAll="0" defaultSubtotal="0"/>
    <pivotField subtotalTop="0" showAll="0"/>
    <pivotField subtotalTop="0" showAll="0"/>
    <pivotField subtotalTop="0" showAll="0"/>
    <pivotField numFmtId="9" showAll="0" defaultSubtotal="0"/>
    <pivotField dataField="1" numFmtId="1" showAll="0" defaultSubtotal="0"/>
    <pivotField numFmtId="1" showAll="0" defaultSubtotal="0"/>
    <pivotField numFmtId="1" showAll="0" defaultSubtotal="0"/>
    <pivotField numFmtId="1" showAll="0" defaultSubtotal="0"/>
    <pivotField numFmtId="1" showAll="0" defaultSubtotal="0"/>
    <pivotField numFmtId="9" subtotalTop="0" showAll="0"/>
    <pivotField numFmtId="9" subtotalTop="0" showAll="0"/>
    <pivotField numFmtId="9" subtotalTop="0" showAll="0"/>
    <pivotField numFmtId="9" subtotalTop="0" showAll="0"/>
    <pivotField showAll="0"/>
    <pivotField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axis="axisPage" subtotalTop="0" showAll="0">
      <items count="5">
        <item x="0"/>
        <item x="1"/>
        <item m="1" x="3"/>
        <item m="1" x="2"/>
        <item t="default"/>
      </items>
    </pivotField>
    <pivotField showAll="0"/>
    <pivotField showAll="0"/>
    <pivotField showAll="0"/>
    <pivotField subtotalTop="0" showAll="0"/>
    <pivotField showAll="0"/>
    <pivotField showAll="0"/>
    <pivotField showAl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s>
  <rowFields count="1">
    <field x="4"/>
  </rowFields>
  <rowItems count="2">
    <i>
      <x v="4"/>
    </i>
    <i t="grand">
      <x/>
    </i>
  </rowItems>
  <colFields count="1">
    <field x="-2"/>
  </colFields>
  <colItems count="4">
    <i>
      <x/>
    </i>
    <i i="1">
      <x v="1"/>
    </i>
    <i i="2">
      <x v="2"/>
    </i>
    <i i="3">
      <x v="3"/>
    </i>
  </colItems>
  <pageFields count="3">
    <pageField fld="0" hier="-1"/>
    <pageField fld="104" item="0" hier="-1"/>
    <pageField fld="6" hier="-1"/>
  </pageFields>
  <dataFields count="4">
    <dataField name="Sum of Total HH" fld="8" baseField="2" baseItem="0" numFmtId="3"/>
    <dataField name="Sum of # people reached by regular dedicated hygiene promotion_5" fld="85" baseField="0" baseItem="0"/>
    <dataField name="Sum of #_of_affected_households_receiving_a_sufficient_quantity_of_soap" fld="49" baseField="0" baseItem="0"/>
    <dataField name="Sum of #_of_affected_women_and_girls_receiving_a_sufficient_quantity_of_sanitary_pads" fld="50" baseField="0" baseItem="0"/>
  </dataFields>
  <formats count="14">
    <format dxfId="234">
      <pivotArea type="all" dataOnly="0" outline="0" fieldPosition="0"/>
    </format>
    <format dxfId="233">
      <pivotArea type="all" dataOnly="0" outline="0" fieldPosition="0"/>
    </format>
    <format dxfId="232">
      <pivotArea outline="0" collapsedLevelsAreSubtotals="1" fieldPosition="0"/>
    </format>
    <format dxfId="231">
      <pivotArea field="4" type="button" dataOnly="0" labelOnly="1" outline="0" axis="axisRow" fieldPosition="0"/>
    </format>
    <format dxfId="230">
      <pivotArea dataOnly="0" labelOnly="1" fieldPosition="0">
        <references count="1">
          <reference field="4" count="0"/>
        </references>
      </pivotArea>
    </format>
    <format dxfId="229">
      <pivotArea dataOnly="0" labelOnly="1" grandRow="1" outline="0" fieldPosition="0"/>
    </format>
    <format dxfId="228">
      <pivotArea dataOnly="0" labelOnly="1" outline="0" fieldPosition="0">
        <references count="1">
          <reference field="4294967294" count="1">
            <x v="0"/>
          </reference>
        </references>
      </pivotArea>
    </format>
    <format dxfId="227">
      <pivotArea outline="0" fieldPosition="0">
        <references count="1">
          <reference field="4294967294" count="1">
            <x v="0"/>
          </reference>
        </references>
      </pivotArea>
    </format>
    <format dxfId="226">
      <pivotArea type="all" dataOnly="0" outline="0" fieldPosition="0"/>
    </format>
    <format dxfId="225">
      <pivotArea outline="0" collapsedLevelsAreSubtotals="1" fieldPosition="0"/>
    </format>
    <format dxfId="224">
      <pivotArea field="4" type="button" dataOnly="0" labelOnly="1" outline="0" axis="axisRow" fieldPosition="0"/>
    </format>
    <format dxfId="223">
      <pivotArea dataOnly="0" labelOnly="1" fieldPosition="0">
        <references count="1">
          <reference field="4" count="0"/>
        </references>
      </pivotArea>
    </format>
    <format dxfId="222">
      <pivotArea dataOnly="0" labelOnly="1" grandRow="1" outline="0" fieldPosition="0"/>
    </format>
    <format dxfId="221">
      <pivotArea dataOnly="0" labelOnly="1" outline="0" fieldPosition="0">
        <references count="1">
          <reference field="4294967294" count="2">
            <x v="0"/>
            <x v="1"/>
          </reference>
        </references>
      </pivotArea>
    </format>
  </formats>
  <pivotTableStyleInfo name="PivotStyleLight14 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00000000-0007-0000-0800-000006000000}" name="K_L_CG_N" cacheId="0" applyNumberFormats="0" applyBorderFormats="0" applyFontFormats="0" applyPatternFormats="0" applyAlignmentFormats="0" applyWidthHeightFormats="1" dataCaption="Values" updatedVersion="6" minRefreshableVersion="3" rowGrandTotals="0" colGrandTotals="0" itemPrintTitles="1" createdVersion="6" indent="0" outline="1" outlineData="1" multipleFieldFilters="0" chartFormat="42" rowHeaderCaption="State" colHeaderCaption=" ">
  <location ref="B158:D162" firstHeaderRow="0" firstDataRow="1" firstDataCol="1" rowPageCount="3" colPageCount="1"/>
  <pivotFields count="119">
    <pivotField axis="axisPage" subtotalTop="0" multipleItemSelectionAllowed="1" showAll="0">
      <items count="15">
        <item m="1" x="12"/>
        <item m="1" x="5"/>
        <item h="1" m="1" x="7"/>
        <item h="1" m="1" x="3"/>
        <item m="1" x="13"/>
        <item m="1" x="4"/>
        <item h="1" m="1" x="11"/>
        <item h="1" m="1" x="8"/>
        <item h="1" m="1" x="9"/>
        <item m="1" x="10"/>
        <item m="1" x="6"/>
        <item h="1" x="0"/>
        <item x="2"/>
        <item h="1" x="1"/>
        <item t="default"/>
      </items>
    </pivotField>
    <pivotField showAll="0" defaultSubtotal="0"/>
    <pivotField showAll="0" defaultSubtotal="0"/>
    <pivotField subtotalTop="0" showAll="0"/>
    <pivotField axis="axisPage" subtotalTop="0" showAll="0">
      <items count="7">
        <item m="1" x="3"/>
        <item m="1" x="2"/>
        <item m="1" x="5"/>
        <item m="1" x="1"/>
        <item x="0"/>
        <item m="1" x="4"/>
        <item t="default"/>
      </items>
    </pivotField>
    <pivotField axis="axisRow" subtotalTop="0" showAll="0">
      <items count="42">
        <item m="1" x="13"/>
        <item m="1" x="16"/>
        <item m="1" x="36"/>
        <item m="1" x="30"/>
        <item m="1" x="25"/>
        <item m="1" x="29"/>
        <item m="1" x="22"/>
        <item m="1" x="7"/>
        <item x="2"/>
        <item x="3"/>
        <item m="1" x="12"/>
        <item m="1" x="33"/>
        <item m="1" x="9"/>
        <item m="1" x="15"/>
        <item m="1" x="26"/>
        <item m="1" x="11"/>
        <item m="1" x="20"/>
        <item m="1" x="31"/>
        <item m="1" x="23"/>
        <item m="1" x="35"/>
        <item m="1" x="14"/>
        <item x="4"/>
        <item m="1" x="24"/>
        <item m="1" x="17"/>
        <item m="1" x="21"/>
        <item m="1" x="27"/>
        <item m="1" x="10"/>
        <item x="0"/>
        <item m="1" x="28"/>
        <item m="1" x="18"/>
        <item m="1" x="38"/>
        <item m="1" x="32"/>
        <item m="1" x="39"/>
        <item x="1"/>
        <item m="1" x="40"/>
        <item m="1" x="37"/>
        <item m="1" x="34"/>
        <item m="1" x="6"/>
        <item m="1" x="8"/>
        <item m="1" x="5"/>
        <item m="1" x="19"/>
        <item t="default"/>
      </items>
    </pivotField>
    <pivotField multipleItemSelectionAllowed="1" showAll="0" defaultSubtotal="0"/>
    <pivotField subtotalTop="0" showAll="0"/>
    <pivotField subtotalTop="0" showAll="0"/>
    <pivotField subtotalTop="0" showAll="0"/>
    <pivotField showAll="0" defaultSubtotal="0"/>
    <pivotField showAll="0" defaultSubtotal="0"/>
    <pivotField showAll="0" defaultSubtotal="0"/>
    <pivotField showAll="0" defaultSubtotal="0"/>
    <pivotField showAll="0" defaultSubtotal="0"/>
    <pivotField subtotalTop="0" showAll="0"/>
    <pivotField showAll="0" defaultSubtotal="0"/>
    <pivotField showAll="0" defaultSubtota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numFmtId="9" showAll="0"/>
    <pivotField showAll="0" defaultSubtotal="0"/>
    <pivotField showAll="0"/>
    <pivotField subtotalTop="0" showAll="0"/>
    <pivotField numFmtId="9" showAll="0"/>
    <pivotField showAll="0" defaultSubtotal="0"/>
    <pivotField subtotalTop="0" showAll="0"/>
    <pivotField numFmtId="9" subtotalTop="0" showAll="0"/>
    <pivotField showAll="0" defaultSubtotal="0"/>
    <pivotField subtotalTop="0" showAll="0"/>
    <pivotField subtotalTop="0" showAll="0"/>
    <pivotField numFmtId="9" showAll="0"/>
    <pivotField numFmtId="1" showAll="0" defaultSubtotal="0"/>
    <pivotField showAll="0" defaultSubtotal="0"/>
    <pivotField subtotalTop="0" showAll="0"/>
    <pivotField numFmtId="1" subtotalTop="0" showAll="0"/>
    <pivotField numFmtId="9" subtotalTop="0" showAll="0"/>
    <pivotField numFmtId="9" showAll="0" defaultSubtotal="0"/>
    <pivotField numFmtId="1" showAll="0" defaultSubtotal="0"/>
    <pivotField numFmtId="1" showAll="0" defaultSubtotal="0"/>
    <pivotField numFmtId="1" showAll="0" defaultSubtotal="0"/>
    <pivotField numFmtId="1" showAll="0" defaultSubtotal="0"/>
    <pivotField numFmtId="1" showAll="0" defaultSubtotal="0"/>
    <pivotField numFmtId="9" subtotalTop="0" showAll="0"/>
    <pivotField subtotalTop="0" showAll="0"/>
    <pivotField subtotalTop="0" showAll="0"/>
    <pivotField numFmtId="9" subtotalTop="0" showAll="0"/>
    <pivotField showAll="0"/>
    <pivotField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axis="axisPage" subtotalTop="0" showAll="0">
      <items count="5">
        <item x="0"/>
        <item x="1"/>
        <item m="1" x="3"/>
        <item m="1" x="2"/>
        <item t="default"/>
      </items>
    </pivotField>
    <pivotField showAll="0"/>
    <pivotField showAll="0"/>
    <pivotField showAll="0"/>
    <pivotField subtotalTop="0" showAll="0"/>
    <pivotField showAll="0"/>
    <pivotField showAll="0"/>
    <pivotField showAl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ataField="1" dragToRow="0" dragToCol="0" dragToPage="0" showAll="0" defaultSubtotal="0"/>
    <pivotField dataField="1" dragToRow="0" dragToCol="0" dragToPage="0" showAll="0" defaultSubtotal="0"/>
    <pivotField dragToRow="0" dragToCol="0" dragToPage="0" showAll="0" defaultSubtotal="0"/>
  </pivotFields>
  <rowFields count="1">
    <field x="5"/>
  </rowFields>
  <rowItems count="4">
    <i>
      <x v="8"/>
    </i>
    <i>
      <x v="21"/>
    </i>
    <i>
      <x v="27"/>
    </i>
    <i>
      <x v="33"/>
    </i>
  </rowItems>
  <colFields count="1">
    <field x="-2"/>
  </colFields>
  <colItems count="2">
    <i>
      <x/>
    </i>
    <i i="1">
      <x v="1"/>
    </i>
  </colItems>
  <pageFields count="3">
    <pageField fld="0" hier="-1"/>
    <pageField fld="104" item="0" hier="-1"/>
    <pageField fld="4" item="4" hier="-1"/>
  </pageFields>
  <dataFields count="2">
    <dataField name="  % Latrine Coverage" fld="116" baseField="0" baseItem="0" numFmtId="1"/>
    <dataField name="  % Latrine GAP" fld="117" baseField="0" baseItem="0" numFmtId="1"/>
  </dataFields>
  <formats count="12">
    <format dxfId="246">
      <pivotArea type="all" dataOnly="0" outline="0" fieldPosition="0"/>
    </format>
    <format dxfId="245">
      <pivotArea outline="0" collapsedLevelsAreSubtotals="1" fieldPosition="0"/>
    </format>
    <format dxfId="244">
      <pivotArea field="4" type="button" dataOnly="0" labelOnly="1" outline="0" axis="axisPage" fieldPosition="2"/>
    </format>
    <format dxfId="243">
      <pivotArea type="all" dataOnly="0" outline="0" fieldPosition="0"/>
    </format>
    <format dxfId="242">
      <pivotArea outline="0" collapsedLevelsAreSubtotals="1" fieldPosition="0"/>
    </format>
    <format dxfId="241">
      <pivotArea outline="0" collapsedLevelsAreSubtotals="1" fieldPosition="0"/>
    </format>
    <format dxfId="240">
      <pivotArea field="5" type="button" dataOnly="0" labelOnly="1" outline="0" axis="axisRow" fieldPosition="0"/>
    </format>
    <format dxfId="239">
      <pivotArea field="5" type="button" dataOnly="0" labelOnly="1" outline="0" axis="axisRow" fieldPosition="0"/>
    </format>
    <format dxfId="238">
      <pivotArea field="5" type="button" dataOnly="0" labelOnly="1" outline="0" axis="axisRow" fieldPosition="0"/>
    </format>
    <format dxfId="237">
      <pivotArea field="4" type="button" dataOnly="0" labelOnly="1" outline="0" axis="axisPage" fieldPosition="2"/>
    </format>
    <format dxfId="236">
      <pivotArea dataOnly="0" labelOnly="1" outline="0" fieldPosition="0">
        <references count="2">
          <reference field="4" count="1">
            <x v="0"/>
          </reference>
          <reference field="104" count="1" selected="0">
            <x v="0"/>
          </reference>
        </references>
      </pivotArea>
    </format>
    <format dxfId="235">
      <pivotArea dataOnly="0" labelOnly="1" outline="0" fieldPosition="0">
        <references count="2">
          <reference field="4" count="1">
            <x v="2"/>
          </reference>
          <reference field="104" count="1" selected="0">
            <x v="0"/>
          </reference>
        </references>
      </pivotArea>
    </format>
  </formats>
  <chartFormats count="2">
    <chartFormat chart="39" format="3" series="1">
      <pivotArea type="data" outline="0" fieldPosition="0">
        <references count="1">
          <reference field="4294967294" count="1" selected="0">
            <x v="0"/>
          </reference>
        </references>
      </pivotArea>
    </chartFormat>
    <chartFormat chart="39" format="4" series="1">
      <pivotArea type="data" outline="0" fieldPosition="0">
        <references count="1">
          <reference field="4294967294" count="1" selected="0">
            <x v="1"/>
          </reference>
        </references>
      </pivotArea>
    </chartFormat>
  </chartFormats>
  <pivotTableStyleInfo name="PivotStyleMedium3" showRowHeaders="1" showColHeaders="1" showRowStripes="1" showColStripes="1"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644C6838-EA2D-499C-AF0C-0E826E2370B4}" name="PivotTable8" cacheId="0" applyNumberFormats="0" applyBorderFormats="0" applyFontFormats="0" applyPatternFormats="0" applyAlignmentFormats="0" applyWidthHeightFormats="1" dataCaption="Values" updatedVersion="6" minRefreshableVersion="3" rowGrandTotals="0" colGrandTotals="0" itemPrintTitles="1" createdVersion="6" indent="0" outline="1" outlineData="1" multipleFieldFilters="0" rowHeaderCaption="State">
  <location ref="B128:C129" firstHeaderRow="0" firstDataRow="1" firstDataCol="0" rowPageCount="2" colPageCount="1"/>
  <pivotFields count="119">
    <pivotField axis="axisPage" subtotalTop="0" multipleItemSelectionAllowed="1" showAll="0">
      <items count="15">
        <item m="1" x="12"/>
        <item m="1" x="5"/>
        <item m="1" x="13"/>
        <item h="1" m="1" x="7"/>
        <item m="1" x="4"/>
        <item h="1" m="1" x="3"/>
        <item h="1" m="1" x="11"/>
        <item h="1" m="1" x="8"/>
        <item h="1" m="1" x="9"/>
        <item m="1" x="10"/>
        <item m="1" x="6"/>
        <item h="1" x="0"/>
        <item x="2"/>
        <item h="1" x="1"/>
        <item t="default"/>
      </items>
    </pivotField>
    <pivotField showAll="0" defaultSubtotal="0"/>
    <pivotField showAll="0" defaultSubtotal="0"/>
    <pivotField subtotalTop="0" showAll="0"/>
    <pivotField subtotalTop="0" showAll="0">
      <items count="7">
        <item m="1" x="3"/>
        <item m="1" x="2"/>
        <item m="1" x="5"/>
        <item h="1" m="1" x="1"/>
        <item x="0"/>
        <item m="1" x="4"/>
        <item t="default"/>
      </items>
    </pivotField>
    <pivotField subtotalTop="0" showAll="0"/>
    <pivotField multipleItemSelectionAllowed="1" showAll="0" defaultSubtotal="0"/>
    <pivotField subtotalTop="0" showAll="0"/>
    <pivotField subtotalTop="0" showAll="0"/>
    <pivotField subtotalTop="0" showAll="0"/>
    <pivotField showAll="0" defaultSubtotal="0"/>
    <pivotField showAll="0" defaultSubtotal="0"/>
    <pivotField dataField="1" showAll="0" defaultSubtotal="0"/>
    <pivotField showAll="0" defaultSubtotal="0"/>
    <pivotField showAll="0" defaultSubtotal="0"/>
    <pivotField subtotalTop="0" showAll="0"/>
    <pivotField showAll="0" defaultSubtotal="0"/>
    <pivotField showAll="0" defaultSubtota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sortType="descending"/>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numFmtId="9" showAll="0"/>
    <pivotField showAll="0" defaultSubtotal="0"/>
    <pivotField showAll="0"/>
    <pivotField subtotalTop="0" showAll="0"/>
    <pivotField numFmtId="9" showAll="0"/>
    <pivotField showAll="0" defaultSubtotal="0"/>
    <pivotField subtotalTop="0" showAll="0"/>
    <pivotField subtotalTop="0" showAll="0"/>
    <pivotField showAll="0" defaultSubtotal="0"/>
    <pivotField subtotalTop="0" showAll="0"/>
    <pivotField subtotalTop="0" showAll="0"/>
    <pivotField numFmtId="9" showAll="0"/>
    <pivotField numFmtId="1" showAll="0" defaultSubtotal="0"/>
    <pivotField showAll="0" defaultSubtotal="0"/>
    <pivotField subtotalTop="0" showAll="0"/>
    <pivotField subtotalTop="0" showAll="0"/>
    <pivotField subtotalTop="0" showAll="0"/>
    <pivotField numFmtId="9" showAll="0" defaultSubtotal="0"/>
    <pivotField numFmtId="1" showAll="0" defaultSubtotal="0"/>
    <pivotField numFmtId="1" showAll="0" defaultSubtotal="0"/>
    <pivotField numFmtId="1" showAll="0" defaultSubtotal="0"/>
    <pivotField numFmtId="1" showAll="0" defaultSubtotal="0"/>
    <pivotField numFmtId="1" showAll="0" defaultSubtotal="0"/>
    <pivotField subtotalTop="0" showAll="0"/>
    <pivotField subtotalTop="0" showAll="0"/>
    <pivotField subtotalTop="0" showAll="0"/>
    <pivotField subtotalTop="0" showAll="0"/>
    <pivotField showAll="0"/>
    <pivotField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axis="axisPage" subtotalTop="0" showAll="0">
      <items count="5">
        <item x="0"/>
        <item x="1"/>
        <item m="1" x="3"/>
        <item m="1" x="2"/>
        <item t="default"/>
      </items>
    </pivotField>
    <pivotField showAll="0"/>
    <pivotField showAll="0"/>
    <pivotField showAll="0"/>
    <pivotField subtotalTop="0" showAll="0"/>
    <pivotField showAll="0"/>
    <pivotField showAll="0"/>
    <pivotField showAl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s>
  <rowItems count="1">
    <i/>
  </rowItems>
  <colFields count="1">
    <field x="-2"/>
  </colFields>
  <colItems count="2">
    <i>
      <x/>
    </i>
    <i i="1">
      <x v="1"/>
    </i>
  </colItems>
  <pageFields count="2">
    <pageField fld="0" hier="-1"/>
    <pageField fld="104" item="0" hier="-1"/>
  </pageFields>
  <dataFields count="2">
    <dataField name="Sum of #_students at TLS_CFS" fld="12" baseField="0" baseItem="0"/>
    <dataField name="Sum of #_of_latrines_in_TLS/CFS" fld="42" baseField="0" baseItem="0"/>
  </dataFields>
  <formats count="9">
    <format dxfId="255">
      <pivotArea type="all" dataOnly="0" outline="0" fieldPosition="0"/>
    </format>
    <format dxfId="254">
      <pivotArea outline="0" collapsedLevelsAreSubtotals="1" fieldPosition="0"/>
    </format>
    <format dxfId="253">
      <pivotArea type="origin" dataOnly="0" labelOnly="1" outline="0" fieldPosition="0"/>
    </format>
    <format dxfId="252">
      <pivotArea type="topRight" dataOnly="0" labelOnly="1" outline="0" fieldPosition="0"/>
    </format>
    <format dxfId="251">
      <pivotArea field="4" type="button" dataOnly="0" labelOnly="1" outline="0"/>
    </format>
    <format dxfId="250">
      <pivotArea dataOnly="0" labelOnly="1" grandRow="1" outline="0" fieldPosition="0"/>
    </format>
    <format dxfId="249">
      <pivotArea dataOnly="0" labelOnly="1" grandCol="1" outline="0" fieldPosition="0"/>
    </format>
    <format dxfId="248">
      <pivotArea type="all" dataOnly="0" outline="0" fieldPosition="0"/>
    </format>
    <format dxfId="247">
      <pivotArea outline="0" collapsedLevelsAreSubtotals="1" fieldPosition="0"/>
    </format>
  </formats>
  <pivotTableStyleInfo name="PivotStyleMedium3" showRowHeaders="1" showColHeaders="1" showRowStripes="1" showColStripes="1"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00000000-0007-0000-0800-00000F000000}" name="PivotTable2" cacheId="0" applyNumberFormats="0" applyBorderFormats="0" applyFontFormats="0" applyPatternFormats="0" applyAlignmentFormats="0" applyWidthHeightFormats="1" dataCaption="Values" updatedVersion="6" minRefreshableVersion="3" rowGrandTotals="0" colGrandTotals="0" itemPrintTitles="1" createdVersion="6" indent="0" outline="1" outlineData="1" multipleFieldFilters="0" chartFormat="14" rowHeaderCaption="State">
  <location ref="C329:E331" firstHeaderRow="1" firstDataRow="2" firstDataCol="1" rowPageCount="3" colPageCount="1"/>
  <pivotFields count="119">
    <pivotField axis="axisPage" subtotalTop="0" showAll="0">
      <items count="15">
        <item m="1" x="12"/>
        <item m="1" x="5"/>
        <item m="1" x="13"/>
        <item m="1" x="7"/>
        <item m="1" x="4"/>
        <item m="1" x="3"/>
        <item m="1" x="11"/>
        <item m="1" x="8"/>
        <item m="1" x="9"/>
        <item m="1" x="10"/>
        <item m="1" x="6"/>
        <item x="0"/>
        <item x="2"/>
        <item x="1"/>
        <item t="default"/>
      </items>
    </pivotField>
    <pivotField showAll="0" defaultSubtotal="0"/>
    <pivotField showAll="0" defaultSubtotal="0"/>
    <pivotField subtotalTop="0" showAll="0"/>
    <pivotField axis="axisRow" subtotalTop="0" multipleItemSelectionAllowed="1" showAll="0">
      <items count="7">
        <item m="1" x="3"/>
        <item m="1" x="2"/>
        <item m="1" x="5"/>
        <item m="1" x="1"/>
        <item x="0"/>
        <item m="1" x="4"/>
        <item t="default"/>
      </items>
    </pivotField>
    <pivotField subtotalTop="0" showAll="0"/>
    <pivotField axis="axisPage" multipleItemSelectionAllowed="1" showAll="0" defaultSubtotal="0">
      <items count="10">
        <item x="0"/>
        <item m="1" x="2"/>
        <item m="1" x="8"/>
        <item h="1" m="1" x="9"/>
        <item m="1" x="7"/>
        <item m="1" x="1"/>
        <item h="1" m="1" x="4"/>
        <item m="1" x="3"/>
        <item h="1" m="1" x="5"/>
        <item m="1" x="6"/>
      </items>
    </pivotField>
    <pivotField subtotalTop="0" showAll="0"/>
    <pivotField subtotalTop="0" showAll="0"/>
    <pivotField subtotalTop="0" showAll="0"/>
    <pivotField showAll="0" defaultSubtotal="0"/>
    <pivotField showAll="0" defaultSubtotal="0"/>
    <pivotField showAll="0" defaultSubtotal="0"/>
    <pivotField showAll="0" defaultSubtotal="0"/>
    <pivotField showAll="0" defaultSubtotal="0"/>
    <pivotField subtotalTop="0" showAll="0"/>
    <pivotField showAll="0" defaultSubtotal="0"/>
    <pivotField showAll="0" defaultSubtota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numFmtId="9" showAll="0"/>
    <pivotField showAll="0" defaultSubtotal="0"/>
    <pivotField showAll="0"/>
    <pivotField numFmtId="1" subtotalTop="0" showAll="0"/>
    <pivotField numFmtId="9" showAll="0"/>
    <pivotField showAll="0" defaultSubtotal="0"/>
    <pivotField subtotalTop="0" showAll="0"/>
    <pivotField subtotalTop="0" showAll="0"/>
    <pivotField showAll="0" defaultSubtotal="0"/>
    <pivotField numFmtId="1" subtotalTop="0" showAll="0"/>
    <pivotField numFmtId="1" subtotalTop="0" showAll="0"/>
    <pivotField numFmtId="9" showAll="0"/>
    <pivotField numFmtId="1" showAll="0" defaultSubtotal="0"/>
    <pivotField showAll="0" defaultSubtotal="0"/>
    <pivotField subtotalTop="0" showAll="0"/>
    <pivotField subtotalTop="0" showAll="0"/>
    <pivotField subtotalTop="0" showAll="0"/>
    <pivotField numFmtId="9" showAll="0" defaultSubtotal="0"/>
    <pivotField numFmtId="1" showAll="0" defaultSubtotal="0"/>
    <pivotField numFmtId="1" showAll="0" defaultSubtotal="0"/>
    <pivotField numFmtId="1" showAll="0" defaultSubtotal="0"/>
    <pivotField numFmtId="1" showAll="0" defaultSubtotal="0"/>
    <pivotField numFmtId="1" showAll="0" defaultSubtotal="0"/>
    <pivotField numFmtId="9" subtotalTop="0" showAll="0"/>
    <pivotField numFmtId="9" subtotalTop="0" showAll="0"/>
    <pivotField numFmtId="9" subtotalTop="0" showAll="0"/>
    <pivotField numFmtId="9" subtotalTop="0" showAll="0"/>
    <pivotField axis="axisCol" dataField="1" showAll="0">
      <items count="3">
        <item x="1"/>
        <item x="0"/>
        <item t="default"/>
      </items>
    </pivotField>
    <pivotField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axis="axisPage" subtotalTop="0" multipleItemSelectionAllowed="1" showAll="0">
      <items count="5">
        <item x="0"/>
        <item n="Gap" h="1" x="1"/>
        <item h="1" m="1" x="3"/>
        <item h="1" m="1" x="2"/>
        <item t="default"/>
      </items>
    </pivotField>
    <pivotField showAll="0"/>
    <pivotField showAll="0"/>
    <pivotField showAll="0"/>
    <pivotField subtotalTop="0" showAll="0"/>
    <pivotField showAll="0"/>
    <pivotField showAll="0"/>
    <pivotField showAl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s>
  <rowFields count="1">
    <field x="4"/>
  </rowFields>
  <rowItems count="1">
    <i>
      <x v="4"/>
    </i>
  </rowItems>
  <colFields count="1">
    <field x="94"/>
  </colFields>
  <colItems count="2">
    <i>
      <x/>
    </i>
    <i>
      <x v="1"/>
    </i>
  </colItems>
  <pageFields count="3">
    <pageField fld="0" item="12" hier="-1"/>
    <pageField fld="104" hier="-1"/>
    <pageField fld="6" hier="-1"/>
  </pageFields>
  <dataFields count="1">
    <dataField name="Count of Sites with TLS" fld="94" subtotal="count" showDataAs="percentOfRow" baseField="4" baseItem="4" numFmtId="9"/>
  </dataFields>
  <formats count="16">
    <format dxfId="271">
      <pivotArea type="all" dataOnly="0" outline="0" fieldPosition="0"/>
    </format>
    <format dxfId="270">
      <pivotArea outline="0" collapsedLevelsAreSubtotals="1" fieldPosition="0"/>
    </format>
    <format dxfId="269">
      <pivotArea field="4" type="button" dataOnly="0" labelOnly="1" outline="0" axis="axisRow" fieldPosition="0"/>
    </format>
    <format dxfId="268">
      <pivotArea dataOnly="0" labelOnly="1" grandRow="1" outline="0" fieldPosition="0"/>
    </format>
    <format dxfId="267">
      <pivotArea type="all" dataOnly="0" outline="0" fieldPosition="0"/>
    </format>
    <format dxfId="266">
      <pivotArea outline="0" collapsedLevelsAreSubtotals="1" fieldPosition="0"/>
    </format>
    <format dxfId="265">
      <pivotArea type="origin" dataOnly="0" labelOnly="1" outline="0" fieldPosition="0"/>
    </format>
    <format dxfId="264">
      <pivotArea field="104" type="button" dataOnly="0" labelOnly="1" outline="0" axis="axisPage" fieldPosition="1"/>
    </format>
    <format dxfId="263">
      <pivotArea type="topRight" dataOnly="0" labelOnly="1" outline="0" fieldPosition="0"/>
    </format>
    <format dxfId="262">
      <pivotArea dataOnly="0" labelOnly="1" fieldPosition="0">
        <references count="1">
          <reference field="104" count="0"/>
        </references>
      </pivotArea>
    </format>
    <format dxfId="261">
      <pivotArea type="all" dataOnly="0" outline="0" fieldPosition="0"/>
    </format>
    <format dxfId="260">
      <pivotArea outline="0" collapsedLevelsAreSubtotals="1" fieldPosition="0"/>
    </format>
    <format dxfId="259">
      <pivotArea field="4" type="button" dataOnly="0" labelOnly="1" outline="0" axis="axisRow" fieldPosition="0"/>
    </format>
    <format dxfId="258">
      <pivotArea dataOnly="0" labelOnly="1" fieldPosition="0">
        <references count="1">
          <reference field="4" count="0"/>
        </references>
      </pivotArea>
    </format>
    <format dxfId="257">
      <pivotArea outline="0" fieldPosition="0">
        <references count="1">
          <reference field="4294967294" count="1">
            <x v="0"/>
          </reference>
        </references>
      </pivotArea>
    </format>
    <format dxfId="256">
      <pivotArea outline="0" collapsedLevelsAreSubtotals="1" fieldPosition="0"/>
    </format>
  </formats>
  <pivotTableStyleInfo name="PivotStyleMedium25"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5163A4B7-F670-4A83-A666-818FC321ED29}" name="PivotTable22" cacheId="0" applyNumberFormats="0" applyBorderFormats="0" applyFontFormats="0" applyPatternFormats="0" applyAlignmentFormats="0" applyWidthHeightFormats="1" dataCaption="Values" updatedVersion="6" minRefreshableVersion="3" rowGrandTotals="0" colGrandTotals="0" itemPrintTitles="1" createdVersion="6" indent="0" outline="1" outlineData="1" multipleFieldFilters="0" rowHeaderCaption="State">
  <location ref="B173:D174" firstHeaderRow="0" firstDataRow="1" firstDataCol="0" rowPageCount="2" colPageCount="1"/>
  <pivotFields count="119">
    <pivotField axis="axisPage" subtotalTop="0" multipleItemSelectionAllowed="1" showAll="0">
      <items count="15">
        <item m="1" x="12"/>
        <item m="1" x="5"/>
        <item m="1" x="13"/>
        <item h="1" m="1" x="7"/>
        <item m="1" x="4"/>
        <item h="1" m="1" x="3"/>
        <item h="1" m="1" x="11"/>
        <item h="1" m="1" x="8"/>
        <item h="1" m="1" x="9"/>
        <item m="1" x="10"/>
        <item m="1" x="6"/>
        <item h="1" x="0"/>
        <item x="2"/>
        <item h="1" x="1"/>
        <item t="default"/>
      </items>
    </pivotField>
    <pivotField showAll="0" defaultSubtotal="0"/>
    <pivotField showAll="0" defaultSubtotal="0"/>
    <pivotField subtotalTop="0" showAll="0"/>
    <pivotField subtotalTop="0" showAll="0">
      <items count="7">
        <item m="1" x="3"/>
        <item m="1" x="2"/>
        <item m="1" x="5"/>
        <item h="1" m="1" x="1"/>
        <item x="0"/>
        <item m="1" x="4"/>
        <item t="default"/>
      </items>
    </pivotField>
    <pivotField subtotalTop="0" showAll="0"/>
    <pivotField multipleItemSelectionAllowed="1" showAll="0" defaultSubtotal="0"/>
    <pivotField subtotalTop="0" showAll="0"/>
    <pivotField subtotalTop="0" showAll="0"/>
    <pivotField subtotalTop="0" showAll="0"/>
    <pivotField showAll="0" defaultSubtotal="0"/>
    <pivotField showAll="0" defaultSubtotal="0"/>
    <pivotField showAll="0" defaultSubtotal="0"/>
    <pivotField showAll="0" defaultSubtotal="0"/>
    <pivotField showAll="0" defaultSubtotal="0"/>
    <pivotField subtotalTop="0" showAll="0"/>
    <pivotField showAll="0" defaultSubtotal="0"/>
    <pivotField showAll="0" defaultSubtota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showAll="0"/>
    <pivotField showAll="0"/>
    <pivotField showAll="0"/>
    <pivotField showAll="0"/>
    <pivotField dataField="1" showAll="0"/>
    <pivotField showAll="0"/>
    <pivotField showAll="0"/>
    <pivotField showAll="0" sortType="descending"/>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numFmtId="9" showAll="0"/>
    <pivotField showAll="0" defaultSubtotal="0"/>
    <pivotField showAll="0"/>
    <pivotField subtotalTop="0" showAll="0"/>
    <pivotField numFmtId="9" showAll="0"/>
    <pivotField showAll="0" defaultSubtotal="0"/>
    <pivotField subtotalTop="0" showAll="0"/>
    <pivotField subtotalTop="0" showAll="0"/>
    <pivotField showAll="0" defaultSubtotal="0"/>
    <pivotField subtotalTop="0" showAll="0"/>
    <pivotField subtotalTop="0" showAll="0"/>
    <pivotField numFmtId="9" showAll="0"/>
    <pivotField numFmtId="1" showAll="0" defaultSubtotal="0"/>
    <pivotField showAll="0" defaultSubtotal="0"/>
    <pivotField subtotalTop="0" showAll="0"/>
    <pivotField subtotalTop="0" showAll="0"/>
    <pivotField subtotalTop="0" showAll="0"/>
    <pivotField numFmtId="9" showAll="0" defaultSubtotal="0"/>
    <pivotField numFmtId="1" showAll="0" defaultSubtotal="0"/>
    <pivotField numFmtId="1" showAll="0" defaultSubtotal="0"/>
    <pivotField numFmtId="1" showAll="0" defaultSubtotal="0"/>
    <pivotField numFmtId="1" showAll="0" defaultSubtotal="0"/>
    <pivotField numFmtId="1" showAll="0" defaultSubtotal="0"/>
    <pivotField subtotalTop="0" showAll="0"/>
    <pivotField subtotalTop="0" showAll="0"/>
    <pivotField subtotalTop="0" showAll="0"/>
    <pivotField subtotalTop="0" showAll="0"/>
    <pivotField showAll="0"/>
    <pivotField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axis="axisPage" subtotalTop="0" showAll="0">
      <items count="5">
        <item x="0"/>
        <item x="1"/>
        <item m="1" x="3"/>
        <item m="1" x="2"/>
        <item t="default"/>
      </items>
    </pivotField>
    <pivotField showAll="0"/>
    <pivotField showAll="0"/>
    <pivotField showAll="0"/>
    <pivotField subtotalTop="0" showAll="0"/>
    <pivotField showAll="0"/>
    <pivotField showAll="0"/>
    <pivotField showAl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s>
  <rowItems count="1">
    <i/>
  </rowItems>
  <colFields count="1">
    <field x="-2"/>
  </colFields>
  <colItems count="3">
    <i>
      <x/>
    </i>
    <i i="1">
      <x v="1"/>
    </i>
    <i i="2">
      <x v="2"/>
    </i>
  </colItems>
  <pageFields count="2">
    <pageField fld="0" hier="-1"/>
    <pageField fld="104" item="0" hier="-1"/>
  </pageFields>
  <dataFields count="3">
    <dataField name="Average of %_of_OD_within_15ft_of_latrines" fld="34" subtotal="average" baseField="10" baseItem="1633672800" numFmtId="9"/>
    <dataField name="Sum of #_m3_of_faecal_sludge_removed_from_camp" fld="35" baseField="0" baseItem="0" numFmtId="164"/>
    <dataField name="Sum of #_of_functional_children_latrines" fld="40" baseField="0" baseItem="0" numFmtId="164"/>
  </dataFields>
  <formats count="14">
    <format dxfId="285">
      <pivotArea type="all" dataOnly="0" outline="0" fieldPosition="0"/>
    </format>
    <format dxfId="284">
      <pivotArea outline="0" collapsedLevelsAreSubtotals="1" fieldPosition="0"/>
    </format>
    <format dxfId="283">
      <pivotArea type="origin" dataOnly="0" labelOnly="1" outline="0" fieldPosition="0"/>
    </format>
    <format dxfId="282">
      <pivotArea type="topRight" dataOnly="0" labelOnly="1" outline="0" fieldPosition="0"/>
    </format>
    <format dxfId="281">
      <pivotArea field="4" type="button" dataOnly="0" labelOnly="1" outline="0"/>
    </format>
    <format dxfId="280">
      <pivotArea dataOnly="0" labelOnly="1" grandRow="1" outline="0" fieldPosition="0"/>
    </format>
    <format dxfId="279">
      <pivotArea dataOnly="0" labelOnly="1" grandCol="1" outline="0" fieldPosition="0"/>
    </format>
    <format dxfId="278">
      <pivotArea type="all" dataOnly="0" outline="0" fieldPosition="0"/>
    </format>
    <format dxfId="277">
      <pivotArea outline="0" collapsedLevelsAreSubtotals="1" fieldPosition="0"/>
    </format>
    <format dxfId="276">
      <pivotArea type="all" dataOnly="0" outline="0" fieldPosition="0"/>
    </format>
    <format dxfId="275">
      <pivotArea outline="0" collapsedLevelsAreSubtotals="1" fieldPosition="0"/>
    </format>
    <format dxfId="274">
      <pivotArea dataOnly="0" labelOnly="1" outline="0" axis="axisValues" fieldPosition="0"/>
    </format>
    <format dxfId="273">
      <pivotArea outline="0" collapsedLevelsAreSubtotals="1" fieldPosition="0">
        <references count="1">
          <reference field="4294967294" count="1" selected="0">
            <x v="1"/>
          </reference>
        </references>
      </pivotArea>
    </format>
    <format dxfId="272">
      <pivotArea outline="0" collapsedLevelsAreSubtotals="1" fieldPosition="0">
        <references count="1">
          <reference field="4294967294" count="1" selected="0">
            <x v="2"/>
          </reference>
        </references>
      </pivotArea>
    </format>
  </formats>
  <pivotTableStyleInfo name="PivotStyleMedium3" showRowHeaders="1" showColHeaders="1" showRowStripes="1" showColStripes="1"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Township" xr10:uid="{00000000-0013-0000-FFFF-FFFF03000000}" sourceName="Township">
  <pivotTables>
    <pivotTable tabId="100" name="PivotTable1"/>
  </pivotTables>
  <data>
    <tabular pivotCacheId="1">
      <items count="41">
        <i x="2" s="1"/>
        <i x="3" s="1"/>
        <i x="4" s="1"/>
        <i x="0" s="1"/>
        <i x="1" s="1"/>
        <i x="13" s="1" nd="1"/>
        <i x="16" s="1" nd="1"/>
        <i x="36" s="1" nd="1"/>
        <i x="19" s="1" nd="1"/>
        <i x="30" s="1" nd="1"/>
        <i x="25" s="1" nd="1"/>
        <i x="29" s="1" nd="1"/>
        <i x="22" s="1" nd="1"/>
        <i x="7" s="1" nd="1"/>
        <i x="12" s="1" nd="1"/>
        <i x="33" s="1" nd="1"/>
        <i x="9" s="1" nd="1"/>
        <i x="15" s="1" nd="1"/>
        <i x="26" s="1" nd="1"/>
        <i x="11" s="1" nd="1"/>
        <i x="20" s="1" nd="1"/>
        <i x="31" s="1" nd="1"/>
        <i x="6" s="1" nd="1"/>
        <i x="23" s="1" nd="1"/>
        <i x="35" s="1" nd="1"/>
        <i x="14" s="1" nd="1"/>
        <i x="24" s="1" nd="1"/>
        <i x="17" s="1" nd="1"/>
        <i x="21" s="1" nd="1"/>
        <i x="27" s="1" nd="1"/>
        <i x="8" s="1" nd="1"/>
        <i x="10" s="1" nd="1"/>
        <i x="28" s="1" nd="1"/>
        <i x="18" s="1" nd="1"/>
        <i x="38" s="1" nd="1"/>
        <i x="32" s="1" nd="1"/>
        <i x="39" s="1" nd="1"/>
        <i x="40" s="1" nd="1"/>
        <i x="37" s="1" nd="1"/>
        <i x="34" s="1" nd="1"/>
        <i x="5" s="1" nd="1"/>
      </items>
    </tabular>
  </data>
  <extLst>
    <x:ext xmlns:x15="http://schemas.microsoft.com/office/spreadsheetml/2010/11/main" uri="{470722E0-AACD-4C17-9CDC-17EF765DBC7E}">
      <x15:slicerCacheHideItemsWithNoData/>
    </x:ext>
  </extLst>
</slicerCacheDefinition>
</file>

<file path=xl/slicerCaches/slicerCache10.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Township3" xr10:uid="{99D75AAC-D418-4F36-A772-F349F7587D34}" sourceName="Township">
  <pivotTables>
    <pivotTable tabId="92" name="Geo_Gap"/>
  </pivotTables>
  <data>
    <tabular pivotCacheId="1">
      <items count="41">
        <i x="2" s="1"/>
        <i x="3" s="1"/>
        <i x="4" s="1"/>
        <i x="0" s="1"/>
        <i x="1" s="1"/>
        <i x="13" s="1" nd="1"/>
        <i x="16" s="1" nd="1"/>
        <i x="36" s="1" nd="1"/>
        <i x="19" s="1" nd="1"/>
        <i x="30" s="1" nd="1"/>
        <i x="25" s="1" nd="1"/>
        <i x="29" s="1" nd="1"/>
        <i x="22" s="1" nd="1"/>
        <i x="7" s="1" nd="1"/>
        <i x="12" s="1" nd="1"/>
        <i x="33" s="1" nd="1"/>
        <i x="9" s="1" nd="1"/>
        <i x="15" s="1" nd="1"/>
        <i x="26" s="1" nd="1"/>
        <i x="11" s="1" nd="1"/>
        <i x="20" s="1" nd="1"/>
        <i x="31" s="1" nd="1"/>
        <i x="6" s="1" nd="1"/>
        <i x="23" s="1" nd="1"/>
        <i x="35" s="1" nd="1"/>
        <i x="14" s="1" nd="1"/>
        <i x="24" s="1" nd="1"/>
        <i x="17" s="1" nd="1"/>
        <i x="21" s="1" nd="1"/>
        <i x="27" s="1" nd="1"/>
        <i x="8" s="1" nd="1"/>
        <i x="10" s="1" nd="1"/>
        <i x="28" s="1" nd="1"/>
        <i x="18" s="1" nd="1"/>
        <i x="38" s="1" nd="1"/>
        <i x="32" s="1" nd="1"/>
        <i x="39" s="1" nd="1"/>
        <i x="40" s="1" nd="1"/>
        <i x="37" s="1" nd="1"/>
        <i x="34" s="1" nd="1"/>
        <i x="5" s="1" nd="1"/>
      </items>
    </tabular>
  </data>
  <extLst>
    <x:ext xmlns:x15="http://schemas.microsoft.com/office/spreadsheetml/2010/11/main" uri="{470722E0-AACD-4C17-9CDC-17EF765DBC7E}">
      <x15:slicerCacheHideItemsWithNoData/>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Township1" xr10:uid="{00000000-0013-0000-FFFF-FFFF05000000}" sourceName="Township">
  <pivotTables>
    <pivotTable tabId="102" name="PivotTable1"/>
  </pivotTables>
  <data>
    <tabular pivotCacheId="1">
      <items count="41">
        <i x="2" s="1"/>
        <i x="3" s="1"/>
        <i x="4" s="1"/>
        <i x="0" s="1"/>
        <i x="1" s="1"/>
        <i x="13" s="1" nd="1"/>
        <i x="16" s="1" nd="1"/>
        <i x="36" s="1" nd="1"/>
        <i x="19" s="1" nd="1"/>
        <i x="30" s="1" nd="1"/>
        <i x="25" s="1" nd="1"/>
        <i x="29" s="1" nd="1"/>
        <i x="22" s="1" nd="1"/>
        <i x="7" s="1" nd="1"/>
        <i x="12" s="1" nd="1"/>
        <i x="33" s="1" nd="1"/>
        <i x="9" s="1" nd="1"/>
        <i x="15" s="1" nd="1"/>
        <i x="26" s="1" nd="1"/>
        <i x="11" s="1" nd="1"/>
        <i x="20" s="1" nd="1"/>
        <i x="31" s="1" nd="1"/>
        <i x="6" s="1" nd="1"/>
        <i x="23" s="1" nd="1"/>
        <i x="35" s="1" nd="1"/>
        <i x="14" s="1" nd="1"/>
        <i x="24" s="1" nd="1"/>
        <i x="17" s="1" nd="1"/>
        <i x="21" s="1" nd="1"/>
        <i x="27" s="1" nd="1"/>
        <i x="8" s="1" nd="1"/>
        <i x="10" s="1" nd="1"/>
        <i x="28" s="1" nd="1"/>
        <i x="18" s="1" nd="1"/>
        <i x="38" s="1" nd="1"/>
        <i x="32" s="1" nd="1"/>
        <i x="39" s="1" nd="1"/>
        <i x="40" s="1" nd="1"/>
        <i x="37" s="1" nd="1"/>
        <i x="34" s="1" nd="1"/>
        <i x="5" s="1" nd="1"/>
      </items>
    </tabular>
  </data>
  <extLst>
    <x:ext xmlns:x15="http://schemas.microsoft.com/office/spreadsheetml/2010/11/main" uri="{470722E0-AACD-4C17-9CDC-17EF765DBC7E}">
      <x15:slicerCacheHideItemsWithNoData/>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Type_of_accommodation" xr10:uid="{00000000-0013-0000-FFFF-FFFF06000000}" sourceName="Type of accommodation">
  <pivotTables>
    <pivotTable tabId="92" name="Geo_Gap"/>
  </pivotTables>
  <data>
    <tabular pivotCacheId="1">
      <items count="5">
        <i x="1" s="1"/>
        <i x="2" s="1"/>
        <i x="0" s="1"/>
        <i x="3" s="1"/>
        <i x="4" s="1" nd="1"/>
      </items>
    </tabular>
  </data>
  <extLst>
    <x:ext xmlns:x15="http://schemas.microsoft.com/office/spreadsheetml/2010/11/main" uri="{470722E0-AACD-4C17-9CDC-17EF765DBC7E}">
      <x15:slicerCacheHideItemsWithNoData/>
    </x:ext>
  </extLst>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Reporting_Period" xr10:uid="{00000000-0013-0000-FFFF-FFFF07000000}" sourceName="Reporting Period">
  <pivotTables>
    <pivotTable tabId="100" name="PivotTable1"/>
  </pivotTables>
  <data>
    <tabular pivotCacheId="1">
      <items count="14">
        <i x="0" s="1"/>
        <i x="1" s="1"/>
        <i x="2" s="1"/>
        <i x="11" s="1" nd="1"/>
        <i x="12" s="1" nd="1"/>
        <i x="5" s="1" nd="1"/>
        <i x="13" s="1" nd="1"/>
        <i x="7" s="1" nd="1"/>
        <i x="8" s="1" nd="1"/>
        <i x="9" s="1" nd="1"/>
        <i x="10" s="1" nd="1"/>
        <i x="4" s="1" nd="1"/>
        <i x="6" s="1" nd="1"/>
        <i x="3" s="1" nd="1"/>
      </items>
    </tabular>
  </data>
  <extLst>
    <x:ext xmlns:x15="http://schemas.microsoft.com/office/spreadsheetml/2010/11/main" uri="{470722E0-AACD-4C17-9CDC-17EF765DBC7E}">
      <x15:slicerCacheHideItemsWithNoData/>
    </x:ext>
  </extLst>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Township2" xr10:uid="{00000000-0013-0000-FFFF-FFFF0A000000}" sourceName="Township">
  <pivotTables>
    <pivotTable tabId="114" name="PivotTable1"/>
  </pivotTables>
  <data>
    <tabular pivotCacheId="1">
      <items count="41">
        <i x="2" s="1"/>
        <i x="3" s="1"/>
        <i x="4" s="1"/>
        <i x="0" s="1"/>
        <i x="1" s="1"/>
        <i x="13" s="1" nd="1"/>
        <i x="16" s="1" nd="1"/>
        <i x="36" s="1" nd="1"/>
        <i x="19" s="1" nd="1"/>
        <i x="30" s="1" nd="1"/>
        <i x="25" s="1" nd="1"/>
        <i x="29" s="1" nd="1"/>
        <i x="22" s="1" nd="1"/>
        <i x="7" s="1" nd="1"/>
        <i x="12" s="1" nd="1"/>
        <i x="33" s="1" nd="1"/>
        <i x="9" s="1" nd="1"/>
        <i x="15" s="1" nd="1"/>
        <i x="26" s="1" nd="1"/>
        <i x="11" s="1" nd="1"/>
        <i x="20" s="1" nd="1"/>
        <i x="31" s="1" nd="1"/>
        <i x="6" s="1" nd="1"/>
        <i x="23" s="1" nd="1"/>
        <i x="35" s="1" nd="1"/>
        <i x="14" s="1" nd="1"/>
        <i x="24" s="1" nd="1"/>
        <i x="17" s="1" nd="1"/>
        <i x="21" s="1" nd="1"/>
        <i x="27" s="1" nd="1"/>
        <i x="8" s="1" nd="1"/>
        <i x="10" s="1" nd="1"/>
        <i x="28" s="1" nd="1"/>
        <i x="18" s="1" nd="1"/>
        <i x="38" s="1" nd="1"/>
        <i x="32" s="1" nd="1"/>
        <i x="39" s="1" nd="1"/>
        <i x="40" s="1" nd="1"/>
        <i x="37" s="1" nd="1"/>
        <i x="34" s="1" nd="1"/>
        <i x="5" s="1" nd="1"/>
      </items>
    </tabular>
  </data>
  <extLst>
    <x:ext xmlns:x15="http://schemas.microsoft.com/office/spreadsheetml/2010/11/main" uri="{470722E0-AACD-4C17-9CDC-17EF765DBC7E}">
      <x15:slicerCacheHideItemsWithNoData/>
    </x:ext>
  </extLst>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WASH_project_agency" xr10:uid="{D49301D1-2E02-4C46-92E2-64A97E772DB6}" sourceName="WASH project agency">
  <pivotTables>
    <pivotTable tabId="100" name="PivotTable1"/>
  </pivotTables>
  <data>
    <tabular pivotCacheId="1">
      <items count="43">
        <i x="3" s="1"/>
        <i x="5" s="1"/>
        <i x="4" s="1"/>
        <i x="8" s="1"/>
        <i x="2" s="1"/>
        <i x="1" s="1"/>
        <i x="7" s="1"/>
        <i x="6" s="1"/>
        <i x="0" s="1"/>
        <i x="27" s="1" nd="1"/>
        <i x="36" s="1" nd="1"/>
        <i x="37" s="1" nd="1"/>
        <i x="42" s="1" nd="1"/>
        <i x="32" s="1" nd="1"/>
        <i x="10" s="1" nd="1"/>
        <i x="22" s="1" nd="1"/>
        <i x="12" s="1" nd="1"/>
        <i x="40" s="1" nd="1"/>
        <i x="30" s="1" nd="1"/>
        <i x="15" s="1" nd="1"/>
        <i x="13" s="1" nd="1"/>
        <i x="31" s="1" nd="1"/>
        <i x="29" s="1" nd="1"/>
        <i x="25" s="1" nd="1"/>
        <i x="19" s="1" nd="1"/>
        <i x="35" s="1" nd="1"/>
        <i x="17" s="1" nd="1"/>
        <i x="16" s="1" nd="1"/>
        <i x="38" s="1" nd="1"/>
        <i x="24" s="1" nd="1"/>
        <i x="23" s="1" nd="1"/>
        <i x="21" s="1" nd="1"/>
        <i x="20" s="1" nd="1"/>
        <i x="39" s="1" nd="1"/>
        <i x="11" s="1" nd="1"/>
        <i x="18" s="1" nd="1"/>
        <i x="41" s="1" nd="1"/>
        <i x="14" s="1" nd="1"/>
        <i x="26" s="1" nd="1"/>
        <i x="28" s="1" nd="1"/>
        <i x="34" s="1" nd="1"/>
        <i x="33" s="1" nd="1"/>
        <i x="9" s="1" nd="1"/>
      </items>
    </tabular>
  </data>
  <extLst>
    <x:ext xmlns:x15="http://schemas.microsoft.com/office/spreadsheetml/2010/11/main" uri="{470722E0-AACD-4C17-9CDC-17EF765DBC7E}">
      <x15:slicerCacheHideItemsWithNoData/>
    </x:ext>
  </extLst>
</slicerCacheDefinition>
</file>

<file path=xl/slicerCaches/slicerCache7.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WASH_implementing_agency" xr10:uid="{FE716E7A-CB0E-42A9-A1D0-0CCA6A9E4FF0}" sourceName="WASH implementing agency">
  <pivotTables>
    <pivotTable tabId="114" name="PivotTable1"/>
  </pivotTables>
  <data>
    <tabular pivotCacheId="1">
      <items count="42">
        <i x="3" s="1"/>
        <i x="5" s="1"/>
        <i x="4" s="1"/>
        <i x="8" s="1"/>
        <i x="2" s="1"/>
        <i x="1" s="1"/>
        <i x="7" s="1"/>
        <i x="6" s="1"/>
        <i x="0" s="1"/>
        <i x="25" s="1" nd="1"/>
        <i x="36" s="1" nd="1"/>
        <i x="37" s="1" nd="1"/>
        <i x="40" s="1" nd="1"/>
        <i x="34" s="1" nd="1"/>
        <i x="10" s="1" nd="1"/>
        <i x="19" s="1" nd="1"/>
        <i x="12" s="1" nd="1"/>
        <i x="38" s="1" nd="1"/>
        <i x="31" s="1" nd="1"/>
        <i x="15" s="1" nd="1"/>
        <i x="20" s="1" nd="1"/>
        <i x="13" s="1" nd="1"/>
        <i x="26" s="1" nd="1"/>
        <i x="32" s="1" nd="1"/>
        <i x="30" s="1" nd="1"/>
        <i x="23" s="1" nd="1"/>
        <i x="41" s="1" nd="1"/>
        <i x="17" s="1" nd="1"/>
        <i x="33" s="1" nd="1"/>
        <i x="16" s="1" nd="1"/>
        <i x="22" s="1" nd="1"/>
        <i x="21" s="1" nd="1"/>
        <i x="18" s="1" nd="1"/>
        <i x="11" s="1" nd="1"/>
        <i x="39" s="1" nd="1"/>
        <i x="14" s="1" nd="1"/>
        <i x="24" s="1" nd="1"/>
        <i x="28" s="1" nd="1"/>
        <i x="27" s="1" nd="1"/>
        <i x="29" s="1" nd="1"/>
        <i x="35" s="1" nd="1"/>
        <i x="9" s="1" nd="1"/>
      </items>
    </tabular>
  </data>
  <extLst>
    <x:ext xmlns:x15="http://schemas.microsoft.com/office/spreadsheetml/2010/11/main" uri="{470722E0-AACD-4C17-9CDC-17EF765DBC7E}">
      <x15:slicerCacheHideItemsWithNoData/>
    </x:ext>
  </extLst>
</slicerCacheDefinition>
</file>

<file path=xl/slicerCaches/slicerCache8.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WASH_implementing_agency1" xr10:uid="{913F7CE1-D178-4DE2-BD10-90BBF877CEC1}" sourceName="WASH implementing agency">
  <pivotTables>
    <pivotTable tabId="102" name="PivotTable1"/>
  </pivotTables>
  <data>
    <tabular pivotCacheId="1">
      <items count="42">
        <i x="3" s="1"/>
        <i x="8" s="1"/>
        <i x="2" s="1"/>
        <i x="1" s="1"/>
        <i x="7" s="1"/>
        <i x="6" s="1"/>
        <i x="0" s="1"/>
        <i x="25" s="1" nd="1"/>
        <i x="36" s="1" nd="1"/>
        <i x="37" s="1" nd="1"/>
        <i x="40" s="1" nd="1"/>
        <i x="5" s="1" nd="1"/>
        <i x="34" s="1" nd="1"/>
        <i x="10" s="1" nd="1"/>
        <i x="19" s="1" nd="1"/>
        <i x="12" s="1" nd="1"/>
        <i x="4" s="1" nd="1"/>
        <i x="38" s="1" nd="1"/>
        <i x="31" s="1" nd="1"/>
        <i x="15" s="1" nd="1"/>
        <i x="20" s="1" nd="1"/>
        <i x="13" s="1" nd="1"/>
        <i x="26" s="1" nd="1"/>
        <i x="32" s="1" nd="1"/>
        <i x="30" s="1" nd="1"/>
        <i x="23" s="1" nd="1"/>
        <i x="41" s="1" nd="1"/>
        <i x="17" s="1" nd="1"/>
        <i x="33" s="1" nd="1"/>
        <i x="16" s="1" nd="1"/>
        <i x="22" s="1" nd="1"/>
        <i x="21" s="1" nd="1"/>
        <i x="18" s="1" nd="1"/>
        <i x="11" s="1" nd="1"/>
        <i x="39" s="1" nd="1"/>
        <i x="14" s="1" nd="1"/>
        <i x="24" s="1" nd="1"/>
        <i x="28" s="1" nd="1"/>
        <i x="27" s="1" nd="1"/>
        <i x="29" s="1" nd="1"/>
        <i x="35" s="1" nd="1"/>
        <i x="9" s="1" nd="1"/>
      </items>
    </tabular>
  </data>
  <extLst>
    <x:ext xmlns:x15="http://schemas.microsoft.com/office/spreadsheetml/2010/11/main" uri="{470722E0-AACD-4C17-9CDC-17EF765DBC7E}">
      <x15:slicerCacheHideItemsWithNoData/>
    </x:ext>
  </extLst>
</slicerCacheDefinition>
</file>

<file path=xl/slicerCaches/slicerCache9.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vered" xr10:uid="{51FFE6AE-4EF8-4230-9562-F79F35473C5B}" sourceName="Covered">
  <pivotTables>
    <pivotTable tabId="92" name="Geo_Gap"/>
  </pivotTables>
  <data>
    <tabular pivotCacheId="1">
      <items count="4">
        <i x="0" s="1"/>
        <i x="1" s="1"/>
        <i x="3" s="1" nd="1"/>
        <i x="2" s="1" nd="1"/>
      </items>
    </tabular>
  </data>
  <extLst>
    <x:ext xmlns:x15="http://schemas.microsoft.com/office/spreadsheetml/2010/11/main" uri="{470722E0-AACD-4C17-9CDC-17EF765DBC7E}">
      <x15:slicerCacheHideItemsWithNoData/>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Type of accommodation" xr10:uid="{00000000-0014-0000-FFFF-FFFF02000000}" cache="Slicer_Type_of_accommodation" caption="Type of accommodation" style="SlicerStyleLight5" rowHeight="304800"/>
  <slicer name="Covered" xr10:uid="{FF290770-7355-4B9B-9235-88DB71C76D61}" cache="Slicer_Covered" caption="Covered" style="SlicerStyleLight1" rowHeight="304800"/>
  <slicer name="Township 3" xr10:uid="{3788EE2E-E8C7-4E28-99E0-7A28ACBC5167}" cache="Slicer_Township3" caption="Township" style="SlicerStyleLight2" rowHeight="3048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Township" xr10:uid="{00000000-0014-0000-FFFF-FFFF05000000}" cache="Slicer_Township" caption="Township" style="SlicerStyleOther2" rowHeight="304800"/>
  <slicer name="Reporting Period" xr10:uid="{00000000-0014-0000-FFFF-FFFF06000000}" cache="Slicer_Reporting_Period" caption="Reporting Period" style="SlicerStyleDark2" rowHeight="304800"/>
  <slicer name="WASH project agency" xr10:uid="{07409688-7D11-430B-A4EA-2F3DE5ACC717}" cache="Slicer_WASH_project_agency" caption="WASH project agency" columnCount="3" style="SlicerStyleLight2" rowHeight="304800"/>
</slicers>
</file>

<file path=xl/slicers/slicer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Township 1" xr10:uid="{00000000-0014-0000-FFFF-FFFF08000000}" cache="Slicer_Township1" caption="Township" style="SlicerStyleLight1" rowHeight="304800"/>
  <slicer name="WASH implementing agency 1" xr10:uid="{BE80B595-4F20-4633-B542-1634A445F9E4}" cache="Slicer_WASH_implementing_agency1" caption="WASH implementing agency" columnCount="3" style="SlicerStyleLight2" rowHeight="304800"/>
</slicers>
</file>

<file path=xl/slicers/slicer4.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Township 2" xr10:uid="{00000000-0014-0000-FFFF-FFFF0A000000}" cache="Slicer_Township2" caption="Township" style="SlicerStyleOther2" rowHeight="304800"/>
  <slicer name="WASH implementing agency" xr10:uid="{FD50785F-CE6E-47F7-A3FB-27BFBB24945A}" cache="Slicer_WASH_implementing_agency" caption="WASH implementing agency" columnCount="3" style="SlicerStyleLight5" rowHeight="3048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WWWW" displayName="WWWW" ref="A6:DH81" totalsRowShown="0" headerRowDxfId="907" dataDxfId="905" headerRowBorderDxfId="906" tableBorderDxfId="904">
  <autoFilter ref="A6:DH81" xr:uid="{83C6C8A0-374D-4952-B2A4-5A42981D6F40}">
    <filterColumn colId="0">
      <filters>
        <filter val="2019_Q4"/>
      </filters>
    </filterColumn>
  </autoFilter>
  <sortState ref="A7:DH56">
    <sortCondition ref="A9"/>
  </sortState>
  <tableColumns count="112">
    <tableColumn id="1" xr3:uid="{00000000-0010-0000-0000-000001000000}" name="Reporting Period" dataDxfId="903" totalsRowDxfId="902"/>
    <tableColumn id="75" xr3:uid="{00000000-0010-0000-0000-00004B000000}" name="WASH project agency" dataDxfId="901" totalsRowDxfId="900"/>
    <tableColumn id="2" xr3:uid="{00000000-0010-0000-0000-000002000000}" name="WASH implementing agency" dataDxfId="899" totalsRowDxfId="898"/>
    <tableColumn id="8" xr3:uid="{00000000-0010-0000-0000-000008000000}" name="Primary Donor covering WASH activities at site " dataDxfId="897" totalsRowDxfId="896"/>
    <tableColumn id="3" xr3:uid="{00000000-0010-0000-0000-000003000000}" name="State" dataDxfId="895" totalsRowDxfId="894"/>
    <tableColumn id="4" xr3:uid="{00000000-0010-0000-0000-000004000000}" name="Township" dataDxfId="893" totalsRowDxfId="892"/>
    <tableColumn id="82" xr3:uid="{00000000-0010-0000-0000-000052000000}" name="Location Type" dataDxfId="891" totalsRowDxfId="890" dataCellStyle="Percent">
      <calculatedColumnFormula>VLOOKUP(WWWW[[#This Row],[Site Name]],SiteDB6[[Site Name]:[Location Type]],8,FALSE)</calculatedColumnFormula>
    </tableColumn>
    <tableColumn id="5" xr3:uid="{00000000-0010-0000-0000-000005000000}" name="Site Name" dataDxfId="889"/>
    <tableColumn id="6" xr3:uid="{00000000-0010-0000-0000-000006000000}" name="Total HH" dataDxfId="888" totalsRowDxfId="887" dataCellStyle="Comma"/>
    <tableColumn id="7" xr3:uid="{00000000-0010-0000-0000-000007000000}" name="Total PoP " dataDxfId="886" totalsRowDxfId="885" dataCellStyle="Comma"/>
    <tableColumn id="77" xr3:uid="{00000000-0010-0000-0000-00004D000000}" name="Project start date" dataDxfId="884" totalsRowDxfId="883"/>
    <tableColumn id="9" xr3:uid="{00000000-0010-0000-0000-000009000000}" name="Project end date" dataDxfId="882" totalsRowDxfId="881"/>
    <tableColumn id="104" xr3:uid="{00000000-0010-0000-0000-000068000000}" name="#_students at TLS_CFS" dataDxfId="880" totalsRowDxfId="879" dataCellStyle="Comma"/>
    <tableColumn id="50" xr3:uid="{00000000-0010-0000-0000-000032000000}" name="#_ paid camp based WASH skilled labor" dataDxfId="878" totalsRowDxfId="877" dataCellStyle="Comma"/>
    <tableColumn id="51" xr3:uid="{00000000-0010-0000-0000-000033000000}" name="#_paid camp based unskilled WASH unskilled labor" dataDxfId="876" totalsRowDxfId="875" dataCellStyle="Comma"/>
    <tableColumn id="10" xr3:uid="{00000000-0010-0000-0000-00000A000000}" name="# Work days (approx) lost in this site due to access restrictions" dataDxfId="874" totalsRowDxfId="873" dataCellStyle="Comma"/>
    <tableColumn id="74" xr3:uid="{00000000-0010-0000-0000-00004A000000}" name="WASH Focal in camp management structure?" dataDxfId="872" totalsRowDxfId="871"/>
    <tableColumn id="83" xr3:uid="{00000000-0010-0000-0000-000053000000}" name="#_men on camp WASH team" dataDxfId="870" totalsRowDxfId="869" dataCellStyle="Comma"/>
    <tableColumn id="101" xr3:uid="{00000000-0010-0000-0000-000065000000}" name="#_women on camp WASH team" dataDxfId="868" totalsRowDxfId="867" dataCellStyle="Comma"/>
    <tableColumn id="14" xr3:uid="{00000000-0010-0000-0000-00000E000000}" name="#_Functional_improved_water_source" dataDxfId="866" totalsRowDxfId="865" dataCellStyle="Comma"/>
    <tableColumn id="102" xr3:uid="{00000000-0010-0000-0000-000066000000}" name="#_Existing_improved_water_source" dataDxfId="864" totalsRowDxfId="863" dataCellStyle="Comma"/>
    <tableColumn id="103" xr3:uid="{00000000-0010-0000-0000-000067000000}" name="#_litres_of_water_supplied_by_existing_water_boating/trucking " dataDxfId="862" totalsRowDxfId="861" dataCellStyle="Comma"/>
    <tableColumn id="15" xr3:uid="{00000000-0010-0000-0000-00000F000000}" name="#_litres_of_water_stored_in_ponds" dataDxfId="860" totalsRowDxfId="859" dataCellStyle="Comma"/>
    <tableColumn id="106" xr3:uid="{00000000-0010-0000-0000-00006A000000}" name="#_Water samples_Tested_at_water_source" dataDxfId="858" totalsRowDxfId="857" dataCellStyle="Comma"/>
    <tableColumn id="107" xr3:uid="{00000000-0010-0000-0000-00006B000000}" name="#_Water samples _passed_at_water source" dataDxfId="856" totalsRowDxfId="855" dataCellStyle="Comma"/>
    <tableColumn id="108" xr3:uid="{00000000-0010-0000-0000-00006C000000}" name="#_Water samples_Tested_at_HH" dataDxfId="854" totalsRowDxfId="853" dataCellStyle="Comma"/>
    <tableColumn id="109" xr3:uid="{00000000-0010-0000-0000-00006D000000}" name="#_Water samples _passed_at_HH" dataDxfId="852" totalsRowDxfId="851" dataCellStyle="Comma"/>
    <tableColumn id="110" xr3:uid="{00000000-0010-0000-0000-00006E000000}" name="#_HH_receiving_HH_water_storage items" dataDxfId="850" totalsRowDxfId="849" dataCellStyle="Comma"/>
    <tableColumn id="111" xr3:uid="{00000000-0010-0000-0000-00006F000000}" name="Avg_repair_time for_water_points_# days" dataDxfId="848" totalsRowDxfId="847" dataCellStyle="Comma"/>
    <tableColumn id="112" xr3:uid="{00000000-0010-0000-0000-000070000000}" name="#_Functional_water_point_at_TLS/CFS" dataDxfId="846" totalsRowDxfId="845" dataCellStyle="Comma"/>
    <tableColumn id="113" xr3:uid="{00000000-0010-0000-0000-000071000000}" name="WATER Comment" dataDxfId="844" totalsRowDxfId="843" dataCellStyle="Comma"/>
    <tableColumn id="87" xr3:uid="{00000000-0010-0000-0000-000057000000}" name="#_Functional_adult_latrines" dataDxfId="842" totalsRowDxfId="841" dataCellStyle="Comma"/>
    <tableColumn id="65" xr3:uid="{00000000-0010-0000-0000-000041000000}" name="#_Existing_latrines" dataDxfId="840" totalsRowDxfId="839" dataCellStyle="Comma"/>
    <tableColumn id="39" xr3:uid="{00000000-0010-0000-0000-000027000000}" name="#_latrines_repaired" dataDxfId="838" totalsRowDxfId="837" dataCellStyle="Comma"/>
    <tableColumn id="23" xr3:uid="{00000000-0010-0000-0000-000017000000}" name="%_of_OD_within_15ft_of_latrines" dataDxfId="836" totalsRowDxfId="835" dataCellStyle="Percent"/>
    <tableColumn id="24" xr3:uid="{00000000-0010-0000-0000-000018000000}" name="#_m3_of_faecal_sludge_removed_from_camp" dataDxfId="834" totalsRowDxfId="833" dataCellStyle="Comma"/>
    <tableColumn id="25" xr3:uid="{00000000-0010-0000-0000-000019000000}" name="%_of_Men_that_feel_safe_to_use_latrines_when_they_need_to_(or_at_day/night)'?" dataDxfId="832" totalsRowDxfId="831" dataCellStyle="Percent"/>
    <tableColumn id="122" xr3:uid="{00000000-0010-0000-0000-00007A000000}" name="%_of_Women_that_feel_safe_to_use_latrines_when_they_need_to_(or_at_day/night)?" dataDxfId="830" totalsRowDxfId="829" dataCellStyle="Percent"/>
    <tableColumn id="123" xr3:uid="{00000000-0010-0000-0000-00007B000000}" name="%_of_Boys_that_feel_safe_to_use_latrines_when_they_need_to_(or_at_day/night)?" dataDxfId="828" totalsRowDxfId="827" dataCellStyle="Percent"/>
    <tableColumn id="124" xr3:uid="{00000000-0010-0000-0000-00007C000000}" name="%_of_Girlss_that_feel_safe_to_use_latrines_when_they_need_to_(or_at_day/night)?" dataDxfId="826" totalsRowDxfId="825" dataCellStyle="Percent"/>
    <tableColumn id="105" xr3:uid="{00000000-0010-0000-0000-000069000000}" name="#_of_functional_children_latrines" dataDxfId="824" totalsRowDxfId="823" dataCellStyle="Comma"/>
    <tableColumn id="100" xr3:uid="{00000000-0010-0000-0000-000064000000}" name="#_of_PWD_with_adapted_sanitation_option" dataDxfId="822" totalsRowDxfId="821" dataCellStyle="Comma"/>
    <tableColumn id="26" xr3:uid="{00000000-0010-0000-0000-00001A000000}" name="#_of_latrines_in_TLS/CFS" dataDxfId="820" totalsRowDxfId="819" dataCellStyle="Comma"/>
    <tableColumn id="125" xr3:uid="{00000000-0010-0000-0000-00007D000000}" name="Is_there_an_effective_solid_waste_management_system_in_place?" dataDxfId="818" totalsRowDxfId="817" dataCellStyle="Comma"/>
    <tableColumn id="11" xr3:uid="{00000000-0010-0000-0000-00000B000000}" name="SANITATION Comments " dataDxfId="816" totalsRowDxfId="815"/>
    <tableColumn id="126" xr3:uid="{00000000-0010-0000-0000-00007E000000}" name="_#_of_Men_receiving_consultation_hygiene_promotion_messages_and_sessions" dataDxfId="814" totalsRowDxfId="813" dataCellStyle="Comma"/>
    <tableColumn id="127" xr3:uid="{00000000-0010-0000-0000-00007F000000}" name="_#_of_Women_receiving_consultation_hygiene_promotion_messages_and_sessions" dataDxfId="812" totalsRowDxfId="811" dataCellStyle="Comma"/>
    <tableColumn id="13" xr3:uid="{00000000-0010-0000-0000-00000D000000}" name="_#_of_Boys_receiving_consultation_hygiene_promotion_messages_and_sessions" dataDxfId="810" totalsRowDxfId="809" dataCellStyle="Comma"/>
    <tableColumn id="128" xr3:uid="{00000000-0010-0000-0000-000080000000}" name="_#_of_Girls_receiving_consultation_hygiene_promotion_messages_and_sessions" dataDxfId="808" totalsRowDxfId="807" dataCellStyle="Comma"/>
    <tableColumn id="129" xr3:uid="{00000000-0010-0000-0000-000081000000}" name="#_of_affected_households_receiving_a_sufficient_quantity_of_soap" dataDxfId="806" totalsRowDxfId="805" dataCellStyle="Comma"/>
    <tableColumn id="130" xr3:uid="{00000000-0010-0000-0000-000082000000}" name="#_of_affected_women_and_girls_receiving_a_sufficient_quantity_of_sanitary_pads" dataDxfId="804" totalsRowDxfId="803" dataCellStyle="Comma"/>
    <tableColumn id="133" xr3:uid="{00000000-0010-0000-0000-000085000000}" name="%_of_women_and_girls_who_report_that_they_have_an_adequate_system_for_disposing_of_used_sanitary_pads" dataDxfId="802" totalsRowDxfId="801" dataCellStyle="Comma"/>
    <tableColumn id="131" xr3:uid="{00000000-0010-0000-0000-000083000000}" name="%_of_affected_people_who_report_handwashing_at_key_times" dataDxfId="800" totalsRowDxfId="799" dataCellStyle="Comma"/>
    <tableColumn id="28" xr3:uid="{E1A787CA-836C-4110-BDEF-DA4080E56575}" name="%_of_households_observed_with_a_place_to_WASH_hands_with_soap_present" dataDxfId="798" totalsRowDxfId="797" dataCellStyle="Comma"/>
    <tableColumn id="132" xr3:uid="{00000000-0010-0000-0000-000084000000}" name="%_of_TLS/CFS_with_a_designated_place_for_children_to_wash_hands_where_soap_is_available" dataDxfId="796" totalsRowDxfId="795" dataCellStyle="Percent"/>
    <tableColumn id="134" xr3:uid="{00000000-0010-0000-0000-000086000000}" name="HYGIENE_Comments  _x000a_" dataDxfId="794" totalsRowDxfId="793"/>
    <tableColumn id="69" xr3:uid="{F08B8CAC-90B8-4AD5-ABFF-685A1F23A8C8}" name="%_of_affected_people_surveyed_who_report_feeling_satistfied_with_the_latrine_design_and_sanitation_service" dataDxfId="792" totalsRowDxfId="791" dataCellStyle="Percent"/>
    <tableColumn id="79" xr3:uid="{FC6D5E73-EE3C-4FE8-9811-A426C1B99932}" name="%_of_affected_people_surveyed_who_report_feeling_satistfied_with_the_water_point_design_and_water_service" dataDxfId="790" totalsRowDxfId="789" dataCellStyle="Percent"/>
    <tableColumn id="84" xr3:uid="{2428FCB9-2969-44B8-9F3C-E8FAE2B432E2}" name="#_of_affected_people_surveyed_who_report_feeling_informed_about_the_different_WASH_services_available_to_them" dataDxfId="788" totalsRowDxfId="787" dataCellStyle="Comma"/>
    <tableColumn id="17" xr3:uid="{15698A41-EB30-45BA-98B7-AE2A662D14C4}" name="%_of_complaints_received_that_result_in_timely_corrective_action_and_feedback_to_the_community" dataDxfId="786" totalsRowDxfId="785" dataCellStyle="Percent"/>
    <tableColumn id="32" xr3:uid="{6748107D-F9F0-4D7D-81DB-7754B604F3FB}" name="Diarrhoea_rate_per_10,000_ppl,_average_over_past_3_months_(extracted_from_EpiWeek_data_from_health)" dataDxfId="784" totalsRowDxfId="783" dataCellStyle="Comma">
      <calculatedColumnFormula>WWWW[[#This Row],[Cases of Acute watery diarrhea]]/WWWW[[#This Row],[Total consultations]]</calculatedColumnFormula>
    </tableColumn>
    <tableColumn id="59" xr3:uid="{D6FBA125-DBAA-415B-AB99-7B45FCC427B9}" name="Have_any_groups_been_excluded_from_access_to_WASH_facilities_because_of_the_handover?" dataDxfId="782" totalsRowDxfId="781" dataCellStyle="Percent"/>
    <tableColumn id="20" xr3:uid="{00000000-0010-0000-0000-000014000000}" name="What_are_IDP's_primary_concerns_on_WASH_related_to_camp_closure?" dataDxfId="780" totalsRowDxfId="779"/>
    <tableColumn id="27" xr3:uid="{00000000-0010-0000-0000-00001B000000}" name="Do_you_know_who_is_responsible_to_maintain_and_repair_WASH_facilities?" dataDxfId="778" totalsRowDxfId="777" dataCellStyle="Percent"/>
    <tableColumn id="97" xr3:uid="{00000000-0010-0000-0000-000061000000}" name="%of Water samples which passed at water source" dataDxfId="776" totalsRowDxfId="775">
      <calculatedColumnFormula>IFERROR(WWWW[[#This Row],['#_Water samples _passed_at_water source]]/WWWW[[#This Row],['#_Water samples_Tested_at_water_source]],"no test")</calculatedColumnFormula>
    </tableColumn>
    <tableColumn id="98" xr3:uid="{00000000-0010-0000-0000-000062000000}" name="%Water samples which passed at HH" dataDxfId="774" totalsRowDxfId="773" dataCellStyle="Percent">
      <calculatedColumnFormula>IFERROR(WWWW[[#This Row],['#_Water samples _passed_at_HH]]/WWWW[[#This Row],['#_Water samples_Tested_at_HH]],"no test")</calculatedColumnFormula>
    </tableColumn>
    <tableColumn id="19" xr3:uid="{00000000-0010-0000-0000-000013000000}" name="Warter quality test done" dataDxfId="772" totalsRowDxfId="771" dataCellStyle="Percent">
      <calculatedColumnFormula>IF(AND(WWWW[[#This Row],[%of Water samples which passed at water source]]="no test",WWWW[[#This Row],[%Water samples which passed at HH]]="no test"),"No Test","Tested")</calculatedColumnFormula>
    </tableColumn>
    <tableColumn id="34" xr3:uid="{00000000-0010-0000-0000-000022000000}" name="Access to safe/improved water through improved water sources" dataDxfId="770" totalsRowDxfId="769" dataCellStyle="Percent">
      <calculatedColumnFormula>IF(WWWW[[#This Row],[Total PoP ]]="","",IF(((WWWW[[#This Row],['#_Functional_improved_water_source]]*500)+(WWWW[[#This Row],['#_litres_of_water_supplied_by_existing_water_boating/trucking ]]/90/15)+(WWWW[[#This Row],['#_Functional_water_point_at_TLS/CFS]]*500))/WWWW[[#This Row],[Total PoP ]]&gt;1,1,((WWWW[[#This Row],['#_Functional_improved_water_source]]*500)+(WWWW[[#This Row],['#_litres_of_water_supplied_by_existing_water_boating/trucking ]]/90/15)+(WWWW[[#This Row],['#_Functional_water_point_at_TLS/CFS]]*500))/WWWW[[#This Row],[Total PoP ]]))</calculatedColumnFormula>
    </tableColumn>
    <tableColumn id="89" xr3:uid="{00000000-0010-0000-0000-000059000000}" name="# people with equitable and continuous access to sufficient quantity of safe drinking water" dataDxfId="768" totalsRowDxfId="767">
      <calculatedColumnFormula>WWWW[[#This Row],[Access to safe/improved water through improved water sources]]*WWWW[[#This Row],[Total PoP ]]</calculatedColumnFormula>
    </tableColumn>
    <tableColumn id="37" xr3:uid="{00000000-0010-0000-0000-000025000000}" name="% Access to unimproved water points" dataDxfId="766" totalsRowDxfId="765" dataCellStyle="Percent">
      <calculatedColumnFormula>IF((WWWW[[#This Row],['#_litres_of_water_stored_in_ponds]]/90/15)/WWWW[[#This Row],[Total PoP ]]&gt;1,1,(WWWW[[#This Row],['#_litres_of_water_stored_in_ponds]]/90/15)/WWWW[[#This Row],[Total PoP ]])</calculatedColumnFormula>
    </tableColumn>
    <tableColumn id="16" xr3:uid="{00000000-0010-0000-0000-000010000000}" name="#People access to unimproved water sources" dataDxfId="764" totalsRowDxfId="763">
      <calculatedColumnFormula>WWWW[[#This Row],[% Access to unimproved water points]]*WWWW[[#This Row],[Total PoP ]]</calculatedColumnFormula>
    </tableColumn>
    <tableColumn id="41" xr3:uid="{00000000-0010-0000-0000-000029000000}" name="% HRP1" dataDxfId="762" totalsRowDxfId="761" dataCellStyle="Percent">
      <calculatedColumnFormula>IF(WWWW[[#This Row],[Access to safe/improved water through improved water sources]]+WWWW[[#This Row],[% Access to unimproved water points]]&gt;1,1,WWWW[[#This Row],[Access to safe/improved water through improved water sources]]+WWWW[[#This Row],[% Access to unimproved water points]])</calculatedColumnFormula>
    </tableColumn>
    <tableColumn id="42" xr3:uid="{00000000-0010-0000-0000-00002A000000}" name="HRP1" dataDxfId="760" totalsRowDxfId="759">
      <calculatedColumnFormula>IF(WWWW[[#This Row],['# people with equitable and continuous access to sufficient quantity of safe drinking water]]+WWWW[[#This Row],['#People access to unimproved water sources]]&gt;WWWW[[#This Row],[Total PoP ]],WWWW[[#This Row],[Total PoP ]],WWWW[[#This Row],['# people with equitable and continuous access to sufficient quantity of safe drinking water]]+WWWW[[#This Row],['#People access to unimproved water sources]])</calculatedColumnFormula>
    </tableColumn>
    <tableColumn id="86" xr3:uid="{00000000-0010-0000-0000-000056000000}" name="#Water points coverage" dataDxfId="758" totalsRowDxfId="757">
      <calculatedColumnFormula>WWWW[[#This Row],[HRP1]]/500</calculatedColumnFormula>
    </tableColumn>
    <tableColumn id="85" xr3:uid="{00000000-0010-0000-0000-000055000000}" name="%equitable and continuous access to sufficient quantity of safe drinking and domestic water's GAP" dataDxfId="756" totalsRowDxfId="755">
      <calculatedColumnFormula>1-WWWW[[#This Row],[% HRP1]]</calculatedColumnFormula>
    </tableColumn>
    <tableColumn id="43" xr3:uid="{00000000-0010-0000-0000-00002B000000}" name="# people needs equitable and continuous access to sufficient quantity of safe drinking and domestic water GAP" dataDxfId="754" totalsRowDxfId="753">
      <calculatedColumnFormula>WWWW[[#This Row],[%equitable and continuous access to sufficient quantity of safe drinking and domestic water''s GAP]]*WWWW[[#This Row],[Total PoP ]]</calculatedColumnFormula>
    </tableColumn>
    <tableColumn id="78" xr3:uid="{00000000-0010-0000-0000-00004E000000}" name="Total required water points" dataDxfId="752" totalsRowDxfId="751" dataCellStyle="Percent">
      <calculatedColumnFormula>ROUND(IF(WWWW[[#This Row],[Total PoP ]]&lt;500,1,WWWW[[#This Row],[Total PoP ]]/500),0)</calculatedColumnFormula>
    </tableColumn>
    <tableColumn id="44" xr3:uid="{00000000-0010-0000-0000-00002C000000}" name="#Potential required new water points" dataDxfId="750" totalsRowDxfId="749" dataCellStyle="Percent">
      <calculatedColumnFormula>IF(WWWW[[#This Row],[Total required water points]]-WWWW[[#This Row],['#Water points coverage]]&lt;0,0,WWWW[[#This Row],[Total required water points]]-WWWW[[#This Row],['#Water points coverage]])</calculatedColumnFormula>
    </tableColumn>
    <tableColumn id="21" xr3:uid="{F4052D35-6786-4305-B493-888B73799200}" name="% HRP2" dataDxfId="748" totalsRowDxfId="747" dataCellStyle="Percent">
      <calculatedColumnFormula>WWWW[[#This Row],[HRP2]]/WWWW[[#This Row],[Total PoP ]]</calculatedColumnFormula>
    </tableColumn>
    <tableColumn id="18" xr3:uid="{00000000-0010-0000-0000-000012000000}" name="HRP2" dataDxfId="746" totalsRowDxfId="745">
      <calculatedColumnFormula>IF(WWWW[[#This Row],[Total PoP ]]="",0,IF(((WWWW[[#This Row],['#_Functional_adult_latrines]]*20)+(WWWW[[#This Row],['#_of_functional_children_latrines]]*20)+WWWW[[#This Row],['#_of_PWD_with_adapted_sanitation_option]]+(WWWW[[#This Row],['#_of_latrines_in_TLS/CFS]]*50))&gt;WWWW[[#This Row],[Total PoP ]],WWWW[[#This Row],[Total PoP ]],((WWWW[[#This Row],['#_Functional_adult_latrines]]*20)+(WWWW[[#This Row],['#_of_functional_children_latrines]]*20)+WWWW[[#This Row],['#_of_PWD_with_adapted_sanitation_option]]+(WWWW[[#This Row],['#_of_latrines_in_TLS/CFS]]*50))))</calculatedColumnFormula>
    </tableColumn>
    <tableColumn id="12" xr3:uid="{00000000-0010-0000-0000-00000C000000}" name="# students access to functioning school latrines" dataDxfId="744" totalsRowDxfId="743" dataCellStyle="Percent">
      <calculatedColumnFormula>IF(WWWW[[#This Row],['#_of_latrines_in_TLS/CFS]]*50&gt;WWWW[[#This Row],['#_students at TLS_CFS]],WWWW[[#This Row],['#_students at TLS_CFS]],WWWW[[#This Row],['#_of_latrines_in_TLS/CFS]]*50)</calculatedColumnFormula>
    </tableColumn>
    <tableColumn id="73" xr3:uid="{00000000-0010-0000-0000-000049000000}" name="Total required Latrines" dataDxfId="742" totalsRowDxfId="741" dataCellStyle="Percent">
      <calculatedColumnFormula>ROUND(IF(WWWW[[#This Row],[Location Type 1]]="camp",WWWW[[#This Row],[Total PoP ]]/20),0)</calculatedColumnFormula>
    </tableColumn>
    <tableColumn id="49" xr3:uid="{00000000-0010-0000-0000-000031000000}" name="# potential required new latrines" dataDxfId="740" totalsRowDxfId="739" dataCellStyle="Percent">
      <calculatedColumnFormula>IF(WWWW[[#This Row],[Total required Latrines]]-WWWW[[#This Row],['#_Existing_latrines]]&lt;0,0,WWWW[[#This Row],[Total required Latrines]]-WWWW[[#This Row],['#_Existing_latrines]])</calculatedColumnFormula>
    </tableColumn>
    <tableColumn id="48" xr3:uid="{00000000-0010-0000-0000-000030000000}" name="% of Latrine Gap" dataDxfId="738" totalsRowDxfId="737">
      <calculatedColumnFormula>1-WWWW[[#This Row],[% HRP2]]</calculatedColumnFormula>
    </tableColumn>
    <tableColumn id="76" xr3:uid="{00000000-0010-0000-0000-00004C000000}" name="% Latrines requiring  repairs" dataDxfId="736" totalsRowDxfId="735" dataCellStyle="Percent">
      <calculatedColumnFormula>IF(WWWW[[#This Row],['#_Existing_latrines]]="","NA",(WWWW[[#This Row],['#_Existing_latrines]]-WWWW[[#This Row],['#_Functional_adult_latrines]])/WWWW[[#This Row],['#_Existing_latrines]])</calculatedColumnFormula>
    </tableColumn>
    <tableColumn id="54" xr3:uid="{00000000-0010-0000-0000-000036000000}" name="# people reached by regular dedicated hygiene promotion_5" dataDxfId="734" totalsRowDxfId="733">
      <calculatedColumnFormula>IF(WWWW[[#This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Row],[_'#_of_Girls_receiving_consultation_hygiene_promotion_messages_and_sessions]]&gt;WWWW[[#This Row],[Total PoP ]],WWWW[[#This Row],[Total PoP ]],WWWW[[#This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calculatedColumnFormula>
    </tableColumn>
    <tableColumn id="40" xr3:uid="{00000000-0010-0000-0000-000028000000}" name="# People with access to soap" dataDxfId="732" totalsRowDxfId="731" dataCellStyle="Percent">
      <calculatedColumnFormula>IF(WWWW[[#This Row],['#_of_affected_households_receiving_a_sufficient_quantity_of_soap]]=0,0,IF(WWWW[[#This Row],['#_of_affected_households_receiving_a_sufficient_quantity_of_soap]]&gt;=WWWW[[#This Row],[Total HH]],WWWW[[#This Row],[Total PoP ]],IF(WWWW[[#This Row],['#_of_affected_households_receiving_a_sufficient_quantity_of_soap]]*5&gt;WWWW[[#This Row],[Total PoP ]],WWWW[[#This Row],[Total PoP ]],WWWW[[#This Row],['#_of_affected_households_receiving_a_sufficient_quantity_of_soap]]*5)))</calculatedColumnFormula>
    </tableColumn>
    <tableColumn id="47" xr3:uid="{00000000-0010-0000-0000-00002F000000}" name="# People with access to Sanity Pads" dataDxfId="730" totalsRowDxfId="729" dataCellStyle="Percent">
      <calculatedColumnFormula>IF(WWWW[[#This Row],['#_of_affected_women_and_girls_receiving_a_sufficient_quantity_of_sanitary_pads]]&gt;WWWW[[#This Row],[Total PoP ]],WWWW[[#This Row],[Total PoP ]],WWWW[[#This Row],['#_of_affected_women_and_girls_receiving_a_sufficient_quantity_of_sanitary_pads]])</calculatedColumnFormula>
    </tableColumn>
    <tableColumn id="95" xr3:uid="{00000000-0010-0000-0000-00005F000000}" name="# People received regular supply of hygiene items_6" dataDxfId="728" totalsRowDxfId="727" dataCellStyle="Percent">
      <calculatedColumnFormula>IF(WWWW[[#This Row],['# People with access to soap]]&gt;WWWW[[#This Row],['# People with access to Sanity Pads]],WWWW[[#This Row],['# People with access to soap]],WWWW[[#This Row],['# People with access to Sanity Pads]])</calculatedColumnFormula>
    </tableColumn>
    <tableColumn id="68" xr3:uid="{00000000-0010-0000-0000-000044000000}" name="HRP3" dataDxfId="726" totalsRowDxfId="725" dataCellStyle="Percent">
      <calculatedColumnFormula>IF(WWWW[[#This Row],['# people reached by regular dedicated hygiene promotion_5]]&gt;WWWW[[#This Row],['# People received regular supply of hygiene items_6]],WWWW[[#This Row],['# people reached by regular dedicated hygiene promotion_5]],WWWW[[#This Row],['# People received regular supply of hygiene items_6]])</calculatedColumnFormula>
    </tableColumn>
    <tableColumn id="53" xr3:uid="{00000000-0010-0000-0000-000035000000}" name="Hygiene Coverage%" dataDxfId="724" totalsRowDxfId="723">
      <calculatedColumnFormula>IF(WWWW[[#This Row],[HRP3]]/WWWW[[#This Row],[Total PoP ]]&gt;100%,100%,WWWW[[#This Row],[HRP3]]/WWWW[[#This Row],[Total PoP ]])</calculatedColumnFormula>
    </tableColumn>
    <tableColumn id="72" xr3:uid="{00000000-0010-0000-0000-000048000000}" name="Hygiene Gap%" dataDxfId="722" totalsRowDxfId="721" dataCellStyle="Percent">
      <calculatedColumnFormula>1-WWWW[[#This Row],[Hygiene Coverage%]]</calculatedColumnFormula>
    </tableColumn>
    <tableColumn id="96" xr3:uid="{00000000-0010-0000-0000-000060000000}" name="%people reached by regular dedicated hygiene promotion" dataDxfId="720" totalsRowDxfId="719" dataCellStyle="Percent">
      <calculatedColumnFormula>WWWW[[#This Row],['# people reached by regular dedicated hygiene promotion_5]]/WWWW[[#This Row],[Total PoP ]]</calculatedColumnFormula>
    </tableColumn>
    <tableColumn id="55" xr3:uid="{00000000-0010-0000-0000-000037000000}" name="%HH with access to soap" dataDxfId="718" totalsRowDxfId="717" dataCellStyle="Percent">
      <calculatedColumnFormula>IF(WWWW[[#This Row],['#_of_affected_households_receiving_a_sufficient_quantity_of_soap]]/WWWW[[#This Row],[Total HH]]&gt;1,1,WWWW[[#This Row],['#_of_affected_households_receiving_a_sufficient_quantity_of_soap]]/WWWW[[#This Row],[Total HH]])</calculatedColumnFormula>
    </tableColumn>
    <tableColumn id="31" xr3:uid="{FD8C69C6-3D27-4A27-BCF4-02830740C127}" name="Sites with TLS" dataDxfId="716" totalsRowDxfId="715">
      <calculatedColumnFormula>IF(WWWW[[#This Row],['#_students at TLS_CFS]]="","No","Yes")</calculatedColumnFormula>
    </tableColumn>
    <tableColumn id="38" xr3:uid="{794A858C-E6A5-49E1-8410-D4883797176F}" name="%_of_affected_people_surveyed_who_report_feeling_informed_about_the_different_WASH_services_available_to_them" dataDxfId="714" totalsRowDxfId="713" dataCellStyle="Percent"/>
    <tableColumn id="58" xr3:uid="{00000000-0010-0000-0000-00003A000000}" name="CCCM Management" dataDxfId="712" totalsRowDxfId="711" dataCellStyle="Percent">
      <calculatedColumnFormula>VLOOKUP(WWWW[[#This Row],[Site Name]],SiteDB6[[Site Name]:[CCCM Management]],6,FALSE)</calculatedColumnFormula>
    </tableColumn>
    <tableColumn id="81" xr3:uid="{00000000-0010-0000-0000-000051000000}" name="CCCM Focal Agency" dataDxfId="710" totalsRowDxfId="709" dataCellStyle="Percent">
      <calculatedColumnFormula>VLOOKUP(WWWW[[#This Row],[Site Name]],SiteDB6[[Site Name]:[CCCM Focal Agency]],7,FALSE)</calculatedColumnFormula>
    </tableColumn>
    <tableColumn id="80" xr3:uid="{00000000-0010-0000-0000-000050000000}" name="Location Type 1" dataDxfId="708" totalsRowDxfId="707" dataCellStyle="Percent">
      <calculatedColumnFormula>VLOOKUP(WWWW[[#This Row],[Site Name]],SiteDB6[[Site Name]:[Location Type 1]],9,FALSE)</calculatedColumnFormula>
    </tableColumn>
    <tableColumn id="45" xr3:uid="{00000000-0010-0000-0000-00002D000000}" name="Type of accommodation" dataDxfId="706" totalsRowDxfId="705" dataCellStyle="Percent">
      <calculatedColumnFormula>VLOOKUP(WWWW[[#This Row],[Site Name]],SiteDB6[[Site Name]:[Type of Accommodation]],10,FALSE)</calculatedColumnFormula>
    </tableColumn>
    <tableColumn id="46" xr3:uid="{00000000-0010-0000-0000-00002E000000}" name="Ethnic or GCA/NGCA" dataDxfId="704" totalsRowDxfId="703" dataCellStyle="Percent">
      <calculatedColumnFormula>VLOOKUP(WWWW[[#This Row],[Site Name]],SiteDB6[[Site Name]:[Ethnic or GCA/NGCA]],11,FALSE)</calculatedColumnFormula>
    </tableColumn>
    <tableColumn id="60" xr3:uid="{00000000-0010-0000-0000-00003C000000}" name="Lat" dataDxfId="702" totalsRowDxfId="701" dataCellStyle="Percent">
      <calculatedColumnFormula>VLOOKUP(WWWW[[#This Row],[Site Name]],SiteDB6[[Site Name]:[Lat]],12,FALSE)</calculatedColumnFormula>
    </tableColumn>
    <tableColumn id="61" xr3:uid="{00000000-0010-0000-0000-00003D000000}" name="Long" dataDxfId="700" totalsRowDxfId="699" dataCellStyle="Percent">
      <calculatedColumnFormula>VLOOKUP(WWWW[[#This Row],[Site Name]],SiteDB6[[Site Name]:[Long]],13,FALSE)</calculatedColumnFormula>
    </tableColumn>
    <tableColumn id="62" xr3:uid="{00000000-0010-0000-0000-00003E000000}" name="Pcode" dataDxfId="698" totalsRowDxfId="697" dataCellStyle="Percent">
      <calculatedColumnFormula>VLOOKUP(WWWW[[#This Row],[Site Name]],SiteDB6[[Site Name]:[Pcode]],3,FALSE)</calculatedColumnFormula>
    </tableColumn>
    <tableColumn id="63" xr3:uid="{00000000-0010-0000-0000-00003F000000}" name="Covered" dataDxfId="696" totalsRowDxfId="695">
      <calculatedColumnFormula>IF(C7="none","Notcovered","Covered")</calculatedColumnFormula>
    </tableColumn>
    <tableColumn id="22" xr3:uid="{826CE2B6-5FC4-4AEB-8DBB-6684ACBBF4AF}" name="# of Male_People with disabilities" dataDxfId="694" totalsRowDxfId="693">
      <calculatedColumnFormula>VLOOKUP(WWWW[[#This Row],[Site Name]],SiteDB6[[Site Name]:[PWD_Total]],22,FALSE)</calculatedColumnFormula>
    </tableColumn>
    <tableColumn id="29" xr3:uid="{2F55C443-7C7C-4E42-8C0C-D0E64838ADAE}" name="# of Female_People with disabilities" dataDxfId="692" totalsRowDxfId="691">
      <calculatedColumnFormula>VLOOKUP(WWWW[[#This Row],[Site Name]],SiteDB6[[Site Name]:[PWD_Total]],23,FALSE)</calculatedColumnFormula>
    </tableColumn>
    <tableColumn id="30" xr3:uid="{0DE26D30-0937-450A-9585-92FC5884D6D1}" name="# of Total_People with disabilities" dataDxfId="690" totalsRowDxfId="689">
      <calculatedColumnFormula>VLOOKUP(WWWW[[#This Row],[Site Name]],SiteDB6[[Site Name]:[PWD_Total]],24,FALSE)</calculatedColumnFormula>
    </tableColumn>
    <tableColumn id="64" xr3:uid="{00000000-0010-0000-0000-000040000000}" name="Remark" dataDxfId="688" totalsRowDxfId="687"/>
    <tableColumn id="33" xr3:uid="{02022A16-5972-46BA-BBEF-68F193981FB1}" name="Total consultations" dataDxfId="686" totalsRowDxfId="685"/>
    <tableColumn id="35" xr3:uid="{CABA44DE-E161-49DA-95B2-6891B6FACF4B}" name="Cases of Acute watery diarrhea" dataDxfId="684" totalsRowDxfId="683"/>
    <tableColumn id="36" xr3:uid="{2FAA2AA3-3F27-4441-95E9-C7B30805F79D}" name="Deaths of Acute watery diarrhea" dataDxfId="682" totalsRowDxfId="681"/>
  </tableColumns>
  <tableStyleInfo name="TableStyleMedium27" showFirstColumn="1"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1000000}" name="SiteDB6" displayName="SiteDB6" ref="A2:Z1111" totalsRowShown="0" headerRowDxfId="674" dataDxfId="673">
  <sortState ref="A3:W1109">
    <sortCondition ref="A3:A1109"/>
    <sortCondition ref="B3:B1109"/>
    <sortCondition ref="C3:C1109"/>
  </sortState>
  <tableColumns count="26">
    <tableColumn id="13" xr3:uid="{00000000-0010-0000-0100-00000D000000}" name="State" dataDxfId="672"/>
    <tableColumn id="12" xr3:uid="{00000000-0010-0000-0100-00000C000000}" name="Township" dataDxfId="671"/>
    <tableColumn id="1" xr3:uid="{00000000-0010-0000-0100-000001000000}" name="Site Name" dataDxfId="670"/>
    <tableColumn id="26" xr3:uid="{00000000-0010-0000-0100-00001A000000}" name="open in cccm?" dataDxfId="669"/>
    <tableColumn id="2" xr3:uid="{00000000-0010-0000-0100-000002000000}" name="Pcode" dataDxfId="668"/>
    <tableColumn id="20" xr3:uid="{00000000-0010-0000-0100-000014000000}" name="Vtract" dataDxfId="667"/>
    <tableColumn id="21" xr3:uid="{00000000-0010-0000-0100-000015000000}" name="VillageWard" dataDxfId="666"/>
    <tableColumn id="3" xr3:uid="{00000000-0010-0000-0100-000003000000}" name="CCCM Management" dataDxfId="665"/>
    <tableColumn id="4" xr3:uid="{00000000-0010-0000-0100-000004000000}" name="CCCM Focal Agency" dataDxfId="664"/>
    <tableColumn id="5" xr3:uid="{00000000-0010-0000-0100-000005000000}" name="Location Type" dataDxfId="663"/>
    <tableColumn id="6" xr3:uid="{00000000-0010-0000-0100-000006000000}" name="Location Type 1" dataDxfId="662"/>
    <tableColumn id="7" xr3:uid="{00000000-0010-0000-0100-000007000000}" name="Type of Accommodation" dataDxfId="661"/>
    <tableColumn id="8" xr3:uid="{00000000-0010-0000-0100-000008000000}" name="Ethnic or GCA/NGCA" dataDxfId="660"/>
    <tableColumn id="10" xr3:uid="{00000000-0010-0000-0100-00000A000000}" name="Lat" dataDxfId="659"/>
    <tableColumn id="9" xr3:uid="{00000000-0010-0000-0100-000009000000}" name="Long" dataDxfId="658"/>
    <tableColumn id="11" xr3:uid="{00000000-0010-0000-0100-00000B000000}" name="HRP categories" dataDxfId="657"/>
    <tableColumn id="14" xr3:uid="{00000000-0010-0000-0100-00000E000000}" name="Current 4 W reported list" dataDxfId="656"/>
    <tableColumn id="15" xr3:uid="{00000000-0010-0000-0100-00000F000000}" name="HH_x000a_(Rakhine-CCCM as of 31st Jan 2019)_x000a_(Kachin/Shan-CCCM as of 31st March 2019)" dataDxfId="655"/>
    <tableColumn id="16" xr3:uid="{00000000-0010-0000-0100-000010000000}" name="Pop_x000a_(Rakhine-CCCM as of 31st Jan 2019)_x000a_(Kachin/Shan-CCCM as of 31st March 2019)" dataDxfId="654"/>
    <tableColumn id="17" xr3:uid="{00000000-0010-0000-0100-000011000000}" name="Updated Date" dataDxfId="653"/>
    <tableColumn id="18" xr3:uid="{00000000-0010-0000-0100-000012000000}" name="Remark" dataDxfId="652"/>
    <tableColumn id="19" xr3:uid="{00000000-0010-0000-0100-000013000000}" name="Site Name_(Old)" dataDxfId="651"/>
    <tableColumn id="24" xr3:uid="{00000000-0010-0000-0100-000018000000}" name="Comments form CCCM" dataDxfId="650"/>
    <tableColumn id="22" xr3:uid="{FF7E7C61-548A-4487-B9AE-0A934724C919}" name="PWD_Male" dataDxfId="649"/>
    <tableColumn id="23" xr3:uid="{654EFBAD-22A1-49C0-AB60-83A62C3C60F0}" name="PWD_Female" dataDxfId="648"/>
    <tableColumn id="25" xr3:uid="{719F0BE0-8EA8-40DC-A8EB-6402E5D429D2}" name="PWD_Total" dataDxfId="647"/>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0CE7D1B-FA27-44CD-A7A6-7AE2A9503EC8}" name="Table4124" displayName="Table4124" ref="B62:G67" totalsRowShown="0" headerRowDxfId="56" dataDxfId="54" headerRowBorderDxfId="55" tableBorderDxfId="53" totalsRowBorderDxfId="52">
  <tableColumns count="6">
    <tableColumn id="1" xr3:uid="{7AAB66BC-5BF5-40FD-97AF-974F7637521D}" name="Gap in active camps / Township" dataDxfId="51"/>
    <tableColumn id="6" xr3:uid="{E335C298-4096-479C-9F84-9F534AB30841}" name="Partners " dataDxfId="50"/>
    <tableColumn id="2" xr3:uid="{ACC512AB-C6CA-48DF-8319-F409BB1D2EDF}" name="Total population" dataDxfId="49" dataCellStyle="Comma"/>
    <tableColumn id="3" xr3:uid="{0ACF7DF9-3CD0-4BE0-A469-5884EF213179}" name=" % _x000a_Water Gap" dataDxfId="48"/>
    <tableColumn id="4" xr3:uid="{D40DD8CD-93F1-46D7-B55E-1437D73B6B01}" name=" %_x000a_ Sanitation Gap" dataDxfId="47"/>
    <tableColumn id="5" xr3:uid="{219F4310-BB9C-4E5E-8F9A-AACDA441F896}" name="%  _x000a_Hygiene Gap" dataDxfId="46"/>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3A5D108A-2F9F-4EFE-AB20-E5E397E093D2}" name="Table4" displayName="Table4" ref="B100:G105" totalsRowCount="1" headerRowDxfId="45" dataDxfId="43" headerRowBorderDxfId="44">
  <tableColumns count="6">
    <tableColumn id="1" xr3:uid="{C3D4F24E-2F58-4162-8B8B-056E6ED375F4}" name="State" totalsRowLabel="Total" dataDxfId="42" totalsRowDxfId="41"/>
    <tableColumn id="2" xr3:uid="{75072B1B-F75B-41BE-BED8-88BDB46D51DA}" name="# of mobile clinic in WASH coverage IDP camps " dataDxfId="40" totalsRowDxfId="39"/>
    <tableColumn id="3" xr3:uid="{C39B6695-A66F-4D06-A311-FB61EC87D6F7}" name=" Total consultations" dataDxfId="38" totalsRowDxfId="37" dataCellStyle="Comma"/>
    <tableColumn id="4" xr3:uid="{CE366B55-8AF6-4FD4-BC63-94C28C6E2C70}" name=" Cases of Acute watery diarrhea" dataDxfId="36" totalsRowDxfId="35"/>
    <tableColumn id="5" xr3:uid="{4B628A4D-58F9-4892-AEC0-7B0FE5BC3122}" name=" Proportional mobidity of Acute watery diarrhea " dataDxfId="34" totalsRowDxfId="33"/>
    <tableColumn id="6" xr3:uid="{72871C6D-35FB-4BD0-AA5B-169FCAC9554F}" name="Deaths of Acute watery diarrhea" dataDxfId="32" totalsRowDxfId="31"/>
  </tableColumns>
  <tableStyleInfo name="TableStyleMedium4"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6000000}" name="Table1" displayName="Table1" ref="AB3:AC83" totalsRowShown="0" headerRowDxfId="5" dataDxfId="3" headerRowBorderDxfId="4" tableBorderDxfId="2" dataCellStyle="Normal_Township">
  <autoFilter ref="AB3:AC83" xr:uid="{00000000-0009-0000-0100-000001000000}"/>
  <sortState ref="AB4:AC83">
    <sortCondition ref="AB4:AB83"/>
    <sortCondition ref="AC4:AC83"/>
  </sortState>
  <tableColumns count="2">
    <tableColumn id="1" xr3:uid="{00000000-0010-0000-0600-000001000000}" name="State_list" dataDxfId="1" dataCellStyle="Normal_Township"/>
    <tableColumn id="2" xr3:uid="{00000000-0010-0000-0600-000002000000}" name="TSps" dataDxfId="0" dataCellStyle="Normal_Township"/>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ivotTable" Target="../pivotTables/pivotTable34.xml"/></Relationships>
</file>

<file path=xl/worksheets/_rels/sheet11.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drawing" Target="../drawings/drawing6.xml"/><Relationship Id="rId1" Type="http://schemas.openxmlformats.org/officeDocument/2006/relationships/pivotTable" Target="../pivotTables/pivotTable35.xml"/></Relationships>
</file>

<file path=xl/worksheets/_rels/sheet12.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table" Target="../tables/table4.xml"/></Relationships>
</file>

<file path=xl/worksheets/_rels/sheet14.xml.rels><?xml version="1.0" encoding="UTF-8" standalone="yes"?>
<Relationships xmlns="http://schemas.openxmlformats.org/package/2006/relationships"><Relationship Id="rId3" Type="http://schemas.microsoft.com/office/2007/relationships/slicer" Target="../slicers/slicer3.xml"/><Relationship Id="rId2" Type="http://schemas.openxmlformats.org/officeDocument/2006/relationships/drawing" Target="../drawings/drawing10.xml"/><Relationship Id="rId1" Type="http://schemas.openxmlformats.org/officeDocument/2006/relationships/pivotTable" Target="../pivotTables/pivotTable36.xml"/></Relationships>
</file>

<file path=xl/worksheets/_rels/sheet15.xml.rels><?xml version="1.0" encoding="UTF-8" standalone="yes"?>
<Relationships xmlns="http://schemas.openxmlformats.org/package/2006/relationships"><Relationship Id="rId3" Type="http://schemas.microsoft.com/office/2007/relationships/slicer" Target="../slicers/slicer4.xml"/><Relationship Id="rId2" Type="http://schemas.openxmlformats.org/officeDocument/2006/relationships/drawing" Target="../drawings/drawing11.xml"/><Relationship Id="rId1" Type="http://schemas.openxmlformats.org/officeDocument/2006/relationships/pivotTable" Target="../pivotTables/pivotTable37.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2.xml"/><Relationship Id="rId1" Type="http://schemas.openxmlformats.org/officeDocument/2006/relationships/printerSettings" Target="../printerSettings/printerSettings10.bin"/><Relationship Id="rId5" Type="http://schemas.openxmlformats.org/officeDocument/2006/relationships/comments" Target="../comments3.xml"/><Relationship Id="rId4" Type="http://schemas.openxmlformats.org/officeDocument/2006/relationships/table" Target="../tables/table5.xm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3" Type="http://schemas.openxmlformats.org/officeDocument/2006/relationships/pivotTable" Target="../pivotTables/pivotTable14.xml"/><Relationship Id="rId18" Type="http://schemas.openxmlformats.org/officeDocument/2006/relationships/pivotTable" Target="../pivotTables/pivotTable19.xml"/><Relationship Id="rId26" Type="http://schemas.openxmlformats.org/officeDocument/2006/relationships/pivotTable" Target="../pivotTables/pivotTable27.xml"/><Relationship Id="rId3" Type="http://schemas.openxmlformats.org/officeDocument/2006/relationships/pivotTable" Target="../pivotTables/pivotTable4.xml"/><Relationship Id="rId21" Type="http://schemas.openxmlformats.org/officeDocument/2006/relationships/pivotTable" Target="../pivotTables/pivotTable22.xml"/><Relationship Id="rId7" Type="http://schemas.openxmlformats.org/officeDocument/2006/relationships/pivotTable" Target="../pivotTables/pivotTable8.xml"/><Relationship Id="rId12" Type="http://schemas.openxmlformats.org/officeDocument/2006/relationships/pivotTable" Target="../pivotTables/pivotTable13.xml"/><Relationship Id="rId17" Type="http://schemas.openxmlformats.org/officeDocument/2006/relationships/pivotTable" Target="../pivotTables/pivotTable18.xml"/><Relationship Id="rId25" Type="http://schemas.openxmlformats.org/officeDocument/2006/relationships/pivotTable" Target="../pivotTables/pivotTable26.xml"/><Relationship Id="rId33" Type="http://schemas.microsoft.com/office/2007/relationships/slicer" Target="../slicers/slicer1.xml"/><Relationship Id="rId2" Type="http://schemas.openxmlformats.org/officeDocument/2006/relationships/pivotTable" Target="../pivotTables/pivotTable3.xml"/><Relationship Id="rId16" Type="http://schemas.openxmlformats.org/officeDocument/2006/relationships/pivotTable" Target="../pivotTables/pivotTable17.xml"/><Relationship Id="rId20" Type="http://schemas.openxmlformats.org/officeDocument/2006/relationships/pivotTable" Target="../pivotTables/pivotTable21.xml"/><Relationship Id="rId29" Type="http://schemas.openxmlformats.org/officeDocument/2006/relationships/pivotTable" Target="../pivotTables/pivotTable30.xml"/><Relationship Id="rId1" Type="http://schemas.openxmlformats.org/officeDocument/2006/relationships/pivotTable" Target="../pivotTables/pivotTable2.xml"/><Relationship Id="rId6" Type="http://schemas.openxmlformats.org/officeDocument/2006/relationships/pivotTable" Target="../pivotTables/pivotTable7.xml"/><Relationship Id="rId11" Type="http://schemas.openxmlformats.org/officeDocument/2006/relationships/pivotTable" Target="../pivotTables/pivotTable12.xml"/><Relationship Id="rId24" Type="http://schemas.openxmlformats.org/officeDocument/2006/relationships/pivotTable" Target="../pivotTables/pivotTable25.xml"/><Relationship Id="rId32" Type="http://schemas.openxmlformats.org/officeDocument/2006/relationships/drawing" Target="../drawings/drawing3.xml"/><Relationship Id="rId5" Type="http://schemas.openxmlformats.org/officeDocument/2006/relationships/pivotTable" Target="../pivotTables/pivotTable6.xml"/><Relationship Id="rId15" Type="http://schemas.openxmlformats.org/officeDocument/2006/relationships/pivotTable" Target="../pivotTables/pivotTable16.xml"/><Relationship Id="rId23" Type="http://schemas.openxmlformats.org/officeDocument/2006/relationships/pivotTable" Target="../pivotTables/pivotTable24.xml"/><Relationship Id="rId28" Type="http://schemas.openxmlformats.org/officeDocument/2006/relationships/pivotTable" Target="../pivotTables/pivotTable29.xml"/><Relationship Id="rId10" Type="http://schemas.openxmlformats.org/officeDocument/2006/relationships/pivotTable" Target="../pivotTables/pivotTable11.xml"/><Relationship Id="rId19" Type="http://schemas.openxmlformats.org/officeDocument/2006/relationships/pivotTable" Target="../pivotTables/pivotTable20.xml"/><Relationship Id="rId31" Type="http://schemas.openxmlformats.org/officeDocument/2006/relationships/printerSettings" Target="../printerSettings/printerSettings7.bin"/><Relationship Id="rId4" Type="http://schemas.openxmlformats.org/officeDocument/2006/relationships/pivotTable" Target="../pivotTables/pivotTable5.xml"/><Relationship Id="rId9" Type="http://schemas.openxmlformats.org/officeDocument/2006/relationships/pivotTable" Target="../pivotTables/pivotTable10.xml"/><Relationship Id="rId14" Type="http://schemas.openxmlformats.org/officeDocument/2006/relationships/pivotTable" Target="../pivotTables/pivotTable15.xml"/><Relationship Id="rId22" Type="http://schemas.openxmlformats.org/officeDocument/2006/relationships/pivotTable" Target="../pivotTables/pivotTable23.xml"/><Relationship Id="rId27" Type="http://schemas.openxmlformats.org/officeDocument/2006/relationships/pivotTable" Target="../pivotTables/pivotTable28.xml"/><Relationship Id="rId30" Type="http://schemas.openxmlformats.org/officeDocument/2006/relationships/pivotTable" Target="../pivotTables/pivotTable31.xml"/><Relationship Id="rId8" Type="http://schemas.openxmlformats.org/officeDocument/2006/relationships/pivotTable" Target="../pivotTables/pivotTable9.xml"/></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ivotTable" Target="../pivotTables/pivotTable33.xml"/><Relationship Id="rId1" Type="http://schemas.openxmlformats.org/officeDocument/2006/relationships/pivotTable" Target="../pivotTables/pivotTable32.xml"/><Relationship Id="rId6" Type="http://schemas.openxmlformats.org/officeDocument/2006/relationships/comments" Target="../comments2.xml"/><Relationship Id="rId5" Type="http://schemas.openxmlformats.org/officeDocument/2006/relationships/vmlDrawing" Target="../drawings/vmlDrawing2.vml"/><Relationship Id="rId4"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T48"/>
  <sheetViews>
    <sheetView zoomScale="96" zoomScaleNormal="96" workbookViewId="0">
      <selection activeCell="Y15" sqref="Y15"/>
    </sheetView>
  </sheetViews>
  <sheetFormatPr defaultColWidth="7.75" defaultRowHeight="15"/>
  <cols>
    <col min="1" max="1" width="7.125" style="21" customWidth="1"/>
    <col min="2" max="2" width="2.25" style="21" customWidth="1"/>
    <col min="3" max="19" width="7.75" style="21"/>
    <col min="20" max="20" width="25.125" style="21" customWidth="1"/>
    <col min="21" max="16384" width="7.75" style="21"/>
  </cols>
  <sheetData>
    <row r="1" spans="2:20" ht="28.15" customHeight="1" thickBot="1"/>
    <row r="2" spans="2:20" s="22" customFormat="1" ht="35.450000000000003" customHeight="1" thickTop="1" thickBot="1">
      <c r="B2" s="946" t="s">
        <v>79</v>
      </c>
      <c r="C2" s="947"/>
      <c r="D2" s="947"/>
      <c r="E2" s="947"/>
      <c r="F2" s="947"/>
      <c r="G2" s="947"/>
      <c r="H2" s="947"/>
      <c r="I2" s="947"/>
      <c r="J2" s="947"/>
      <c r="K2" s="947"/>
      <c r="L2" s="947"/>
      <c r="M2" s="947"/>
      <c r="N2" s="947"/>
      <c r="O2" s="947"/>
      <c r="P2" s="947"/>
      <c r="Q2" s="947"/>
      <c r="R2" s="947"/>
      <c r="S2" s="947"/>
      <c r="T2" s="948"/>
    </row>
    <row r="3" spans="2:20" ht="15.75" thickTop="1">
      <c r="B3" s="23"/>
      <c r="C3" s="24"/>
      <c r="D3" s="24"/>
      <c r="E3" s="24"/>
      <c r="F3" s="24"/>
      <c r="G3" s="24"/>
      <c r="H3" s="24"/>
      <c r="I3" s="24"/>
      <c r="J3" s="24"/>
      <c r="K3" s="24"/>
      <c r="L3" s="24"/>
      <c r="M3" s="24"/>
      <c r="N3" s="24"/>
      <c r="O3" s="24"/>
      <c r="P3" s="24"/>
      <c r="Q3" s="24"/>
      <c r="R3" s="24"/>
      <c r="S3" s="24"/>
      <c r="T3" s="25"/>
    </row>
    <row r="4" spans="2:20">
      <c r="B4" s="23"/>
      <c r="C4" s="26" t="s">
        <v>80</v>
      </c>
      <c r="D4" s="24"/>
      <c r="E4" s="24"/>
      <c r="F4" s="24"/>
      <c r="G4" s="24"/>
      <c r="H4" s="24"/>
      <c r="I4" s="24"/>
      <c r="J4" s="24"/>
      <c r="K4" s="24"/>
      <c r="L4" s="24"/>
      <c r="M4" s="24"/>
      <c r="N4" s="24"/>
      <c r="O4" s="24"/>
      <c r="P4" s="24"/>
      <c r="Q4" s="24"/>
      <c r="R4" s="24"/>
      <c r="S4" s="24"/>
      <c r="T4" s="25"/>
    </row>
    <row r="5" spans="2:20">
      <c r="B5" s="23"/>
      <c r="C5" s="24"/>
      <c r="D5" s="24" t="s">
        <v>81</v>
      </c>
      <c r="E5" s="24"/>
      <c r="F5" s="24"/>
      <c r="G5" s="24"/>
      <c r="H5" s="24"/>
      <c r="I5" s="24"/>
      <c r="J5" s="24"/>
      <c r="K5" s="24"/>
      <c r="L5" s="24"/>
      <c r="M5" s="24"/>
      <c r="N5" s="24"/>
      <c r="O5" s="24"/>
      <c r="P5" s="24"/>
      <c r="Q5" s="24"/>
      <c r="R5" s="24"/>
      <c r="S5" s="24"/>
      <c r="T5" s="25"/>
    </row>
    <row r="6" spans="2:20">
      <c r="B6" s="23"/>
      <c r="C6" s="24"/>
      <c r="D6" s="24" t="s">
        <v>82</v>
      </c>
      <c r="E6" s="24"/>
      <c r="F6" s="24"/>
      <c r="G6" s="24"/>
      <c r="H6" s="24"/>
      <c r="I6" s="24"/>
      <c r="J6" s="24"/>
      <c r="K6" s="24"/>
      <c r="L6" s="24"/>
      <c r="M6" s="24"/>
      <c r="N6" s="24"/>
      <c r="O6" s="24"/>
      <c r="P6" s="24"/>
      <c r="Q6" s="24"/>
      <c r="R6" s="24"/>
      <c r="S6" s="24"/>
      <c r="T6" s="25"/>
    </row>
    <row r="7" spans="2:20">
      <c r="B7" s="23"/>
      <c r="C7" s="24"/>
      <c r="D7" s="24" t="s">
        <v>83</v>
      </c>
      <c r="E7" s="24"/>
      <c r="F7" s="24"/>
      <c r="G7" s="24"/>
      <c r="H7" s="24"/>
      <c r="I7" s="24"/>
      <c r="J7" s="24"/>
      <c r="K7" s="24"/>
      <c r="L7" s="24"/>
      <c r="M7" s="24"/>
      <c r="N7" s="24"/>
      <c r="O7" s="24"/>
      <c r="P7" s="24"/>
      <c r="Q7" s="24"/>
      <c r="R7" s="24"/>
      <c r="S7" s="24"/>
      <c r="T7" s="25"/>
    </row>
    <row r="8" spans="2:20">
      <c r="B8" s="23"/>
      <c r="C8" s="24"/>
      <c r="D8" s="24" t="s">
        <v>84</v>
      </c>
      <c r="E8" s="24"/>
      <c r="F8" s="24"/>
      <c r="G8" s="24"/>
      <c r="H8" s="24"/>
      <c r="I8" s="24"/>
      <c r="J8" s="24"/>
      <c r="K8" s="24"/>
      <c r="L8" s="24"/>
      <c r="M8" s="24"/>
      <c r="N8" s="24"/>
      <c r="O8" s="24"/>
      <c r="P8" s="24"/>
      <c r="Q8" s="24"/>
      <c r="R8" s="24"/>
      <c r="S8" s="24"/>
      <c r="T8" s="25"/>
    </row>
    <row r="9" spans="2:20">
      <c r="B9" s="23"/>
      <c r="C9" s="24"/>
      <c r="D9" s="24" t="s">
        <v>85</v>
      </c>
      <c r="E9" s="24"/>
      <c r="F9" s="24"/>
      <c r="G9" s="24"/>
      <c r="H9" s="24"/>
      <c r="I9" s="24"/>
      <c r="J9" s="24"/>
      <c r="K9" s="24"/>
      <c r="L9" s="24"/>
      <c r="M9" s="24"/>
      <c r="N9" s="24"/>
      <c r="O9" s="24"/>
      <c r="P9" s="24"/>
      <c r="Q9" s="24"/>
      <c r="R9" s="24"/>
      <c r="S9" s="24"/>
      <c r="T9" s="25"/>
    </row>
    <row r="10" spans="2:20">
      <c r="B10" s="23"/>
      <c r="C10" s="24"/>
      <c r="D10" s="24" t="s">
        <v>86</v>
      </c>
      <c r="E10" s="24"/>
      <c r="F10" s="24"/>
      <c r="G10" s="24"/>
      <c r="H10" s="24"/>
      <c r="I10" s="24"/>
      <c r="J10" s="24"/>
      <c r="K10" s="24"/>
      <c r="L10" s="24"/>
      <c r="M10" s="24"/>
      <c r="N10" s="24"/>
      <c r="O10" s="24"/>
      <c r="P10" s="24"/>
      <c r="Q10" s="24"/>
      <c r="R10" s="24"/>
      <c r="S10" s="24"/>
      <c r="T10" s="25"/>
    </row>
    <row r="11" spans="2:20">
      <c r="B11" s="23"/>
      <c r="C11" s="24"/>
      <c r="D11" s="24" t="s">
        <v>87</v>
      </c>
      <c r="E11" s="24"/>
      <c r="F11" s="24"/>
      <c r="G11" s="24"/>
      <c r="H11" s="24"/>
      <c r="I11" s="24"/>
      <c r="J11" s="24"/>
      <c r="K11" s="24"/>
      <c r="L11" s="24"/>
      <c r="M11" s="24"/>
      <c r="N11" s="24"/>
      <c r="O11" s="24"/>
      <c r="P11" s="24"/>
      <c r="Q11" s="24"/>
      <c r="R11" s="24"/>
      <c r="S11" s="24"/>
      <c r="T11" s="25"/>
    </row>
    <row r="12" spans="2:20">
      <c r="B12" s="23"/>
      <c r="C12" s="24"/>
      <c r="D12" s="24" t="s">
        <v>88</v>
      </c>
      <c r="E12" s="24"/>
      <c r="F12" s="24"/>
      <c r="G12" s="24"/>
      <c r="H12" s="24"/>
      <c r="I12" s="24"/>
      <c r="J12" s="24"/>
      <c r="K12" s="24"/>
      <c r="L12" s="24"/>
      <c r="M12" s="24"/>
      <c r="N12" s="24"/>
      <c r="O12" s="24"/>
      <c r="P12" s="24"/>
      <c r="Q12" s="24"/>
      <c r="R12" s="24"/>
      <c r="S12" s="24"/>
      <c r="T12" s="25"/>
    </row>
    <row r="13" spans="2:20">
      <c r="B13" s="23"/>
      <c r="C13" s="24"/>
      <c r="D13" s="24" t="s">
        <v>89</v>
      </c>
      <c r="E13" s="24"/>
      <c r="F13" s="24"/>
      <c r="G13" s="24"/>
      <c r="H13" s="24"/>
      <c r="I13" s="24"/>
      <c r="J13" s="24"/>
      <c r="K13" s="24"/>
      <c r="L13" s="24"/>
      <c r="M13" s="24"/>
      <c r="N13" s="24"/>
      <c r="O13" s="24"/>
      <c r="P13" s="24"/>
      <c r="Q13" s="24"/>
      <c r="R13" s="24"/>
      <c r="S13" s="24"/>
      <c r="T13" s="25"/>
    </row>
    <row r="14" spans="2:20">
      <c r="B14" s="23"/>
      <c r="C14" s="24"/>
      <c r="D14" s="24"/>
      <c r="E14" s="24"/>
      <c r="F14" s="24"/>
      <c r="G14" s="24"/>
      <c r="H14" s="24"/>
      <c r="I14" s="24"/>
      <c r="J14" s="24"/>
      <c r="K14" s="24"/>
      <c r="L14" s="24"/>
      <c r="M14" s="24"/>
      <c r="N14" s="24"/>
      <c r="O14" s="24"/>
      <c r="P14" s="24"/>
      <c r="Q14" s="24"/>
      <c r="R14" s="24"/>
      <c r="S14" s="24"/>
      <c r="T14" s="25"/>
    </row>
    <row r="15" spans="2:20">
      <c r="B15" s="23"/>
      <c r="C15" s="26" t="s">
        <v>90</v>
      </c>
      <c r="D15" s="24"/>
      <c r="E15" s="24"/>
      <c r="F15" s="24"/>
      <c r="G15" s="24"/>
      <c r="H15" s="24"/>
      <c r="I15" s="24"/>
      <c r="J15" s="24"/>
      <c r="K15" s="24"/>
      <c r="L15" s="24"/>
      <c r="M15" s="24"/>
      <c r="N15" s="24"/>
      <c r="O15" s="24"/>
      <c r="P15" s="24"/>
      <c r="Q15" s="24"/>
      <c r="R15" s="24"/>
      <c r="S15" s="24"/>
      <c r="T15" s="25"/>
    </row>
    <row r="16" spans="2:20">
      <c r="B16" s="23"/>
      <c r="C16" s="24"/>
      <c r="D16" s="24" t="s">
        <v>91</v>
      </c>
      <c r="E16" s="24"/>
      <c r="F16" s="24"/>
      <c r="G16" s="24"/>
      <c r="H16" s="24"/>
      <c r="I16" s="24"/>
      <c r="J16" s="24"/>
      <c r="K16" s="24"/>
      <c r="L16" s="24"/>
      <c r="M16" s="24"/>
      <c r="N16" s="24"/>
      <c r="O16" s="24"/>
      <c r="P16" s="24"/>
      <c r="Q16" s="24"/>
      <c r="R16" s="24"/>
      <c r="S16" s="24"/>
      <c r="T16" s="25"/>
    </row>
    <row r="17" spans="2:20">
      <c r="B17" s="23"/>
      <c r="C17" s="24"/>
      <c r="D17" s="24" t="s">
        <v>92</v>
      </c>
      <c r="E17" s="24"/>
      <c r="F17" s="24"/>
      <c r="G17" s="24"/>
      <c r="H17" s="24"/>
      <c r="I17" s="24"/>
      <c r="J17" s="24"/>
      <c r="K17" s="24"/>
      <c r="L17" s="24"/>
      <c r="M17" s="24"/>
      <c r="N17" s="24"/>
      <c r="O17" s="24"/>
      <c r="P17" s="24"/>
      <c r="Q17" s="24"/>
      <c r="R17" s="24"/>
      <c r="S17" s="24"/>
      <c r="T17" s="25"/>
    </row>
    <row r="18" spans="2:20">
      <c r="B18" s="23"/>
      <c r="C18" s="24"/>
      <c r="D18" s="24" t="s">
        <v>93</v>
      </c>
      <c r="E18" s="24"/>
      <c r="F18" s="24"/>
      <c r="G18" s="24"/>
      <c r="H18" s="24"/>
      <c r="I18" s="24"/>
      <c r="J18" s="24"/>
      <c r="K18" s="24"/>
      <c r="L18" s="24"/>
      <c r="M18" s="24"/>
      <c r="N18" s="24"/>
      <c r="O18" s="24"/>
      <c r="P18" s="24"/>
      <c r="Q18" s="24"/>
      <c r="R18" s="24"/>
      <c r="S18" s="24"/>
      <c r="T18" s="25"/>
    </row>
    <row r="19" spans="2:20">
      <c r="B19" s="23"/>
      <c r="C19" s="24"/>
      <c r="D19" s="24" t="s">
        <v>94</v>
      </c>
      <c r="E19" s="24"/>
      <c r="F19" s="24"/>
      <c r="G19" s="24"/>
      <c r="H19" s="24"/>
      <c r="I19" s="24"/>
      <c r="J19" s="24"/>
      <c r="K19" s="24"/>
      <c r="L19" s="24"/>
      <c r="M19" s="24"/>
      <c r="N19" s="24"/>
      <c r="O19" s="24"/>
      <c r="P19" s="24"/>
      <c r="Q19" s="24"/>
      <c r="R19" s="24"/>
      <c r="S19" s="24"/>
      <c r="T19" s="25"/>
    </row>
    <row r="20" spans="2:20">
      <c r="B20" s="23"/>
      <c r="C20" s="24"/>
      <c r="D20" s="24" t="s">
        <v>95</v>
      </c>
      <c r="E20" s="24"/>
      <c r="F20" s="24"/>
      <c r="G20" s="24"/>
      <c r="H20" s="24"/>
      <c r="I20" s="24"/>
      <c r="J20" s="24"/>
      <c r="K20" s="24"/>
      <c r="L20" s="24"/>
      <c r="M20" s="24"/>
      <c r="N20" s="24"/>
      <c r="O20" s="24"/>
      <c r="P20" s="24"/>
      <c r="Q20" s="24"/>
      <c r="R20" s="24"/>
      <c r="S20" s="24"/>
      <c r="T20" s="25"/>
    </row>
    <row r="21" spans="2:20">
      <c r="B21" s="23"/>
      <c r="C21" s="24"/>
      <c r="D21" s="24" t="s">
        <v>96</v>
      </c>
      <c r="E21" s="24"/>
      <c r="F21" s="24"/>
      <c r="G21" s="24"/>
      <c r="H21" s="24"/>
      <c r="I21" s="24"/>
      <c r="J21" s="24"/>
      <c r="K21" s="24"/>
      <c r="L21" s="24"/>
      <c r="M21" s="24"/>
      <c r="N21" s="24"/>
      <c r="O21" s="24"/>
      <c r="P21" s="24"/>
      <c r="Q21" s="24"/>
      <c r="R21" s="24"/>
      <c r="S21" s="24"/>
      <c r="T21" s="25"/>
    </row>
    <row r="22" spans="2:20">
      <c r="B22" s="23"/>
      <c r="C22" s="24"/>
      <c r="D22" s="24" t="s">
        <v>97</v>
      </c>
      <c r="E22" s="24"/>
      <c r="F22" s="24"/>
      <c r="G22" s="24"/>
      <c r="H22" s="24"/>
      <c r="I22" s="24"/>
      <c r="J22" s="24"/>
      <c r="K22" s="24"/>
      <c r="L22" s="24"/>
      <c r="M22" s="24"/>
      <c r="N22" s="24"/>
      <c r="O22" s="24"/>
      <c r="P22" s="24"/>
      <c r="Q22" s="24"/>
      <c r="R22" s="24"/>
      <c r="S22" s="24"/>
      <c r="T22" s="25"/>
    </row>
    <row r="23" spans="2:20">
      <c r="B23" s="23"/>
      <c r="C23" s="24"/>
      <c r="D23" s="24"/>
      <c r="E23" s="24"/>
      <c r="F23" s="24"/>
      <c r="G23" s="24"/>
      <c r="H23" s="24"/>
      <c r="I23" s="24"/>
      <c r="J23" s="24"/>
      <c r="K23" s="24"/>
      <c r="L23" s="24"/>
      <c r="M23" s="24"/>
      <c r="N23" s="24"/>
      <c r="O23" s="24"/>
      <c r="P23" s="24"/>
      <c r="Q23" s="24"/>
      <c r="R23" s="24"/>
      <c r="S23" s="24"/>
      <c r="T23" s="25"/>
    </row>
    <row r="24" spans="2:20">
      <c r="B24" s="23"/>
      <c r="C24" s="26" t="s">
        <v>98</v>
      </c>
      <c r="D24" s="24"/>
      <c r="E24" s="24"/>
      <c r="F24" s="24"/>
      <c r="G24" s="24"/>
      <c r="H24" s="24"/>
      <c r="I24" s="24"/>
      <c r="J24" s="24"/>
      <c r="K24" s="24"/>
      <c r="L24" s="24"/>
      <c r="M24" s="24"/>
      <c r="N24" s="24"/>
      <c r="O24" s="24"/>
      <c r="P24" s="24"/>
      <c r="Q24" s="24"/>
      <c r="R24" s="24"/>
      <c r="S24" s="24"/>
      <c r="T24" s="25"/>
    </row>
    <row r="25" spans="2:20">
      <c r="B25" s="23"/>
      <c r="C25" s="24"/>
      <c r="D25" s="24" t="s">
        <v>99</v>
      </c>
      <c r="E25" s="24"/>
      <c r="F25" s="24"/>
      <c r="G25" s="24"/>
      <c r="H25" s="24"/>
      <c r="I25" s="24"/>
      <c r="J25" s="24"/>
      <c r="K25" s="24"/>
      <c r="L25" s="24"/>
      <c r="M25" s="24"/>
      <c r="N25" s="24"/>
      <c r="O25" s="24"/>
      <c r="P25" s="24"/>
      <c r="Q25" s="24"/>
      <c r="R25" s="24"/>
      <c r="S25" s="24"/>
      <c r="T25" s="25"/>
    </row>
    <row r="26" spans="2:20" ht="27" customHeight="1">
      <c r="B26" s="23"/>
      <c r="C26" s="24"/>
      <c r="D26" s="949" t="s">
        <v>2788</v>
      </c>
      <c r="E26" s="950"/>
      <c r="F26" s="950"/>
      <c r="G26" s="950"/>
      <c r="H26" s="950"/>
      <c r="I26" s="950"/>
      <c r="J26" s="950"/>
      <c r="K26" s="950"/>
      <c r="L26" s="950"/>
      <c r="M26" s="950"/>
      <c r="N26" s="950"/>
      <c r="O26" s="950"/>
      <c r="P26" s="950"/>
      <c r="Q26" s="950"/>
      <c r="R26" s="950"/>
      <c r="S26" s="950"/>
      <c r="T26" s="951"/>
    </row>
    <row r="27" spans="2:20">
      <c r="B27" s="23"/>
      <c r="C27" s="24"/>
      <c r="D27" s="96" t="s">
        <v>1945</v>
      </c>
      <c r="E27" s="24"/>
      <c r="F27" s="24"/>
      <c r="G27" s="24"/>
      <c r="H27" s="24"/>
      <c r="I27" s="24"/>
      <c r="J27" s="24"/>
      <c r="K27" s="24"/>
      <c r="L27" s="24"/>
      <c r="M27" s="24"/>
      <c r="N27" s="24"/>
      <c r="O27" s="24"/>
      <c r="P27" s="24"/>
      <c r="Q27" s="24"/>
      <c r="R27" s="24"/>
      <c r="S27" s="24"/>
      <c r="T27" s="25"/>
    </row>
    <row r="28" spans="2:20">
      <c r="B28" s="23"/>
      <c r="C28" s="24"/>
      <c r="D28" s="24" t="s">
        <v>100</v>
      </c>
      <c r="E28" s="24"/>
      <c r="F28" s="24"/>
      <c r="G28" s="24"/>
      <c r="H28" s="24"/>
      <c r="I28" s="24"/>
      <c r="J28" s="24"/>
      <c r="K28" s="24"/>
      <c r="L28" s="24"/>
      <c r="M28" s="24"/>
      <c r="N28" s="24"/>
      <c r="O28" s="24"/>
      <c r="P28" s="24"/>
      <c r="Q28" s="24"/>
      <c r="R28" s="24"/>
      <c r="S28" s="24"/>
      <c r="T28" s="25"/>
    </row>
    <row r="29" spans="2:20">
      <c r="B29" s="23"/>
      <c r="C29" s="24"/>
      <c r="D29" s="503" t="s">
        <v>2789</v>
      </c>
      <c r="E29" s="24"/>
      <c r="F29" s="24"/>
      <c r="G29" s="24"/>
      <c r="H29" s="24"/>
      <c r="I29" s="24"/>
      <c r="J29" s="24"/>
      <c r="K29" s="24"/>
      <c r="L29" s="24"/>
      <c r="M29" s="24"/>
      <c r="N29" s="24"/>
      <c r="O29" s="24"/>
      <c r="P29" s="24"/>
      <c r="Q29" s="24"/>
      <c r="R29" s="24"/>
      <c r="S29" s="24"/>
      <c r="T29" s="25"/>
    </row>
    <row r="30" spans="2:20">
      <c r="B30" s="23"/>
      <c r="C30" s="24"/>
      <c r="D30" s="24" t="s">
        <v>101</v>
      </c>
      <c r="E30" s="24"/>
      <c r="F30" s="24"/>
      <c r="G30" s="24"/>
      <c r="H30" s="24"/>
      <c r="I30" s="24"/>
      <c r="J30" s="24"/>
      <c r="K30" s="24"/>
      <c r="L30" s="24"/>
      <c r="M30" s="24"/>
      <c r="N30" s="24"/>
      <c r="O30" s="24"/>
      <c r="P30" s="24"/>
      <c r="Q30" s="24"/>
      <c r="R30" s="24"/>
      <c r="S30" s="24"/>
      <c r="T30" s="25"/>
    </row>
    <row r="31" spans="2:20">
      <c r="B31" s="23"/>
      <c r="C31" s="24"/>
      <c r="D31" s="96" t="s">
        <v>1947</v>
      </c>
      <c r="E31" s="24"/>
      <c r="F31" s="24"/>
      <c r="G31" s="24"/>
      <c r="H31" s="24"/>
      <c r="I31" s="24"/>
      <c r="J31" s="24"/>
      <c r="K31" s="24"/>
      <c r="L31" s="24"/>
      <c r="M31" s="24"/>
      <c r="N31" s="24"/>
      <c r="O31" s="24"/>
      <c r="P31" s="24"/>
      <c r="Q31" s="24"/>
      <c r="R31" s="24"/>
      <c r="S31" s="24"/>
      <c r="T31" s="25"/>
    </row>
    <row r="32" spans="2:20">
      <c r="B32" s="23"/>
      <c r="C32" s="24"/>
      <c r="D32" s="24" t="s">
        <v>102</v>
      </c>
      <c r="E32" s="24"/>
      <c r="F32" s="24"/>
      <c r="G32" s="24"/>
      <c r="H32" s="24"/>
      <c r="I32" s="24"/>
      <c r="J32" s="24"/>
      <c r="K32" s="24"/>
      <c r="L32" s="24"/>
      <c r="M32" s="24"/>
      <c r="N32" s="24"/>
      <c r="O32" s="24"/>
      <c r="P32" s="24"/>
      <c r="Q32" s="24"/>
      <c r="R32" s="24"/>
      <c r="S32" s="24"/>
      <c r="T32" s="25"/>
    </row>
    <row r="33" spans="2:20">
      <c r="B33" s="23"/>
      <c r="C33" s="24"/>
      <c r="D33" s="24" t="s">
        <v>103</v>
      </c>
      <c r="E33" s="24"/>
      <c r="F33" s="24"/>
      <c r="G33" s="24"/>
      <c r="H33" s="24"/>
      <c r="I33" s="24"/>
      <c r="J33" s="24"/>
      <c r="K33" s="24"/>
      <c r="L33" s="24"/>
      <c r="M33" s="24"/>
      <c r="N33" s="24"/>
      <c r="O33" s="24"/>
      <c r="P33" s="24"/>
      <c r="Q33" s="24"/>
      <c r="R33" s="24"/>
      <c r="S33" s="24"/>
      <c r="T33" s="25"/>
    </row>
    <row r="34" spans="2:20">
      <c r="B34" s="23"/>
      <c r="C34" s="24"/>
      <c r="D34" s="24"/>
      <c r="E34" s="24"/>
      <c r="F34" s="24"/>
      <c r="G34" s="24"/>
      <c r="H34" s="24"/>
      <c r="I34" s="24"/>
      <c r="J34" s="24"/>
      <c r="K34" s="24"/>
      <c r="L34" s="24"/>
      <c r="M34" s="24"/>
      <c r="N34" s="24"/>
      <c r="O34" s="24"/>
      <c r="P34" s="24"/>
      <c r="Q34" s="24"/>
      <c r="R34" s="24"/>
      <c r="S34" s="24"/>
      <c r="T34" s="25"/>
    </row>
    <row r="35" spans="2:20">
      <c r="B35" s="23"/>
      <c r="C35" s="26" t="s">
        <v>104</v>
      </c>
      <c r="D35" s="24"/>
      <c r="E35" s="24"/>
      <c r="F35" s="24"/>
      <c r="G35" s="24"/>
      <c r="H35" s="24"/>
      <c r="I35" s="24"/>
      <c r="J35" s="24"/>
      <c r="K35" s="24"/>
      <c r="L35" s="24"/>
      <c r="M35" s="24"/>
      <c r="N35" s="24"/>
      <c r="O35" s="24"/>
      <c r="P35" s="24"/>
      <c r="Q35" s="24"/>
      <c r="R35" s="24"/>
      <c r="S35" s="24"/>
      <c r="T35" s="25"/>
    </row>
    <row r="36" spans="2:20">
      <c r="B36" s="23"/>
      <c r="C36" s="24"/>
      <c r="D36" s="24" t="s">
        <v>105</v>
      </c>
      <c r="E36" s="24"/>
      <c r="F36" s="24"/>
      <c r="G36" s="24"/>
      <c r="H36" s="24"/>
      <c r="I36" s="24"/>
      <c r="J36" s="24"/>
      <c r="K36" s="24"/>
      <c r="L36" s="24"/>
      <c r="M36" s="24"/>
      <c r="N36" s="24"/>
      <c r="O36" s="24"/>
      <c r="P36" s="24"/>
      <c r="Q36" s="24"/>
      <c r="R36" s="24"/>
      <c r="S36" s="24"/>
      <c r="T36" s="25"/>
    </row>
    <row r="37" spans="2:20">
      <c r="B37" s="23"/>
      <c r="C37" s="24"/>
      <c r="D37" s="24" t="s">
        <v>106</v>
      </c>
      <c r="E37" s="24"/>
      <c r="F37" s="24"/>
      <c r="G37" s="24"/>
      <c r="H37" s="24"/>
      <c r="I37" s="24"/>
      <c r="J37" s="24"/>
      <c r="K37" s="24"/>
      <c r="L37" s="24"/>
      <c r="M37" s="24"/>
      <c r="N37" s="24"/>
      <c r="O37" s="24"/>
      <c r="P37" s="24"/>
      <c r="Q37" s="24"/>
      <c r="R37" s="24"/>
      <c r="S37" s="24"/>
      <c r="T37" s="25"/>
    </row>
    <row r="38" spans="2:20">
      <c r="B38" s="23"/>
      <c r="C38" s="24"/>
      <c r="D38" s="24" t="s">
        <v>107</v>
      </c>
      <c r="E38" s="24"/>
      <c r="F38" s="24"/>
      <c r="G38" s="24"/>
      <c r="H38" s="24"/>
      <c r="I38" s="24"/>
      <c r="J38" s="24"/>
      <c r="K38" s="24"/>
      <c r="L38" s="24"/>
      <c r="M38" s="24"/>
      <c r="N38" s="24"/>
      <c r="O38" s="24"/>
      <c r="P38" s="24"/>
      <c r="Q38" s="24"/>
      <c r="R38" s="24"/>
      <c r="S38" s="24"/>
      <c r="T38" s="25"/>
    </row>
    <row r="39" spans="2:20">
      <c r="B39" s="23"/>
      <c r="C39" s="24"/>
      <c r="D39" s="24" t="s">
        <v>108</v>
      </c>
      <c r="E39" s="24"/>
      <c r="F39" s="24"/>
      <c r="G39" s="24"/>
      <c r="H39" s="24"/>
      <c r="I39" s="24"/>
      <c r="J39" s="24"/>
      <c r="K39" s="24"/>
      <c r="L39" s="24"/>
      <c r="M39" s="24"/>
      <c r="N39" s="24"/>
      <c r="O39" s="24"/>
      <c r="P39" s="24"/>
      <c r="Q39" s="24"/>
      <c r="R39" s="24"/>
      <c r="S39" s="24"/>
      <c r="T39" s="25"/>
    </row>
    <row r="40" spans="2:20">
      <c r="B40" s="23"/>
      <c r="C40" s="24"/>
      <c r="D40" s="24"/>
      <c r="E40" s="24"/>
      <c r="F40" s="24"/>
      <c r="G40" s="24"/>
      <c r="H40" s="24"/>
      <c r="I40" s="24"/>
      <c r="J40" s="24"/>
      <c r="K40" s="24"/>
      <c r="L40" s="24"/>
      <c r="M40" s="24"/>
      <c r="N40" s="24"/>
      <c r="O40" s="24"/>
      <c r="P40" s="24"/>
      <c r="Q40" s="24"/>
      <c r="R40" s="24"/>
      <c r="S40" s="24"/>
      <c r="T40" s="25"/>
    </row>
    <row r="41" spans="2:20">
      <c r="B41" s="23"/>
      <c r="C41" s="26" t="s">
        <v>109</v>
      </c>
      <c r="D41" s="24"/>
      <c r="E41" s="24"/>
      <c r="F41" s="24"/>
      <c r="G41" s="24"/>
      <c r="H41" s="24"/>
      <c r="I41" s="24"/>
      <c r="J41" s="24"/>
      <c r="K41" s="24"/>
      <c r="L41" s="24"/>
      <c r="M41" s="24"/>
      <c r="N41" s="24"/>
      <c r="O41" s="24"/>
      <c r="P41" s="24"/>
      <c r="Q41" s="24"/>
      <c r="R41" s="24"/>
      <c r="S41" s="24"/>
      <c r="T41" s="25"/>
    </row>
    <row r="42" spans="2:20">
      <c r="B42" s="23"/>
      <c r="C42" s="24"/>
      <c r="D42" s="24" t="s">
        <v>110</v>
      </c>
      <c r="E42" s="24"/>
      <c r="F42" s="24"/>
      <c r="G42" s="24"/>
      <c r="H42" s="24"/>
      <c r="I42" s="24"/>
      <c r="J42" s="24"/>
      <c r="K42" s="24"/>
      <c r="L42" s="24"/>
      <c r="M42" s="24"/>
      <c r="N42" s="24"/>
      <c r="O42" s="24"/>
      <c r="P42" s="24"/>
      <c r="Q42" s="24"/>
      <c r="R42" s="24"/>
      <c r="S42" s="24"/>
      <c r="T42" s="25"/>
    </row>
    <row r="43" spans="2:20">
      <c r="B43" s="23"/>
      <c r="C43" s="24"/>
      <c r="D43" s="24" t="s">
        <v>111</v>
      </c>
      <c r="E43" s="24"/>
      <c r="F43" s="24"/>
      <c r="G43" s="24"/>
      <c r="H43" s="24"/>
      <c r="I43" s="24"/>
      <c r="J43" s="24"/>
      <c r="K43" s="24"/>
      <c r="L43" s="24"/>
      <c r="M43" s="24"/>
      <c r="N43" s="24"/>
      <c r="O43" s="24"/>
      <c r="P43" s="24"/>
      <c r="Q43" s="24"/>
      <c r="R43" s="24"/>
      <c r="S43" s="24"/>
      <c r="T43" s="25"/>
    </row>
    <row r="44" spans="2:20">
      <c r="B44" s="23"/>
      <c r="C44" s="24"/>
      <c r="D44" s="24" t="s">
        <v>112</v>
      </c>
      <c r="E44" s="24"/>
      <c r="F44" s="24"/>
      <c r="G44" s="24"/>
      <c r="H44" s="24"/>
      <c r="I44" s="24"/>
      <c r="J44" s="24"/>
      <c r="K44" s="24"/>
      <c r="L44" s="24"/>
      <c r="M44" s="24"/>
      <c r="N44" s="24"/>
      <c r="O44" s="24"/>
      <c r="P44" s="24"/>
      <c r="Q44" s="24"/>
      <c r="R44" s="24"/>
      <c r="S44" s="24"/>
      <c r="T44" s="25"/>
    </row>
    <row r="45" spans="2:20">
      <c r="B45" s="23"/>
      <c r="C45" s="24"/>
      <c r="D45" s="24" t="s">
        <v>113</v>
      </c>
      <c r="E45" s="24"/>
      <c r="F45" s="24"/>
      <c r="G45" s="24"/>
      <c r="H45" s="24"/>
      <c r="I45" s="24"/>
      <c r="J45" s="24"/>
      <c r="K45" s="24"/>
      <c r="L45" s="24"/>
      <c r="M45" s="24"/>
      <c r="N45" s="24"/>
      <c r="O45" s="24"/>
      <c r="P45" s="24"/>
      <c r="Q45" s="24"/>
      <c r="R45" s="24"/>
      <c r="S45" s="24"/>
      <c r="T45" s="25"/>
    </row>
    <row r="46" spans="2:20">
      <c r="B46" s="23"/>
      <c r="C46" s="24"/>
      <c r="D46" s="24"/>
      <c r="E46" s="24"/>
      <c r="F46" s="24"/>
      <c r="G46" s="24"/>
      <c r="H46" s="24"/>
      <c r="I46" s="24"/>
      <c r="J46" s="24"/>
      <c r="K46" s="24"/>
      <c r="L46" s="24"/>
      <c r="M46" s="24"/>
      <c r="N46" s="24"/>
      <c r="O46" s="24"/>
      <c r="P46" s="24"/>
      <c r="Q46" s="24"/>
      <c r="R46" s="24"/>
      <c r="S46" s="24"/>
      <c r="T46" s="25"/>
    </row>
    <row r="47" spans="2:20" ht="15.75" thickBot="1">
      <c r="B47" s="27"/>
      <c r="C47" s="28"/>
      <c r="D47" s="28"/>
      <c r="E47" s="28"/>
      <c r="F47" s="28"/>
      <c r="G47" s="28"/>
      <c r="H47" s="28"/>
      <c r="I47" s="28"/>
      <c r="J47" s="28"/>
      <c r="K47" s="28"/>
      <c r="L47" s="28"/>
      <c r="M47" s="28"/>
      <c r="N47" s="28"/>
      <c r="O47" s="28"/>
      <c r="P47" s="28"/>
      <c r="Q47" s="28"/>
      <c r="R47" s="28"/>
      <c r="S47" s="28"/>
      <c r="T47" s="29"/>
    </row>
    <row r="48" spans="2:20" ht="15.75" thickTop="1"/>
  </sheetData>
  <mergeCells count="2">
    <mergeCell ref="B2:T2"/>
    <mergeCell ref="D26:T26"/>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P61"/>
  <sheetViews>
    <sheetView workbookViewId="0">
      <selection activeCell="B12" sqref="B12:B14"/>
    </sheetView>
  </sheetViews>
  <sheetFormatPr defaultRowHeight="15.75"/>
  <cols>
    <col min="1" max="1" width="29.5" customWidth="1"/>
    <col min="2" max="2" width="15" bestFit="1" customWidth="1"/>
    <col min="3" max="3" width="20.25" customWidth="1"/>
    <col min="6" max="6" width="11" bestFit="1" customWidth="1"/>
    <col min="8" max="8" width="45.75" bestFit="1" customWidth="1"/>
    <col min="9" max="9" width="11.625" bestFit="1" customWidth="1"/>
    <col min="12" max="12" width="17.125" customWidth="1"/>
    <col min="13" max="13" width="9" style="414"/>
    <col min="14" max="14" width="13.25" bestFit="1" customWidth="1"/>
    <col min="16" max="16" width="28.625" bestFit="1" customWidth="1"/>
  </cols>
  <sheetData>
    <row r="2" spans="1:16">
      <c r="A2" s="903" t="s">
        <v>20</v>
      </c>
      <c r="B2" s="904" t="s">
        <v>2389</v>
      </c>
    </row>
    <row r="3" spans="1:16">
      <c r="A3" s="903" t="s">
        <v>35</v>
      </c>
      <c r="B3" s="904" t="s">
        <v>35</v>
      </c>
    </row>
    <row r="4" spans="1:16">
      <c r="A4" s="903" t="s">
        <v>128</v>
      </c>
      <c r="B4" s="904" t="s">
        <v>44</v>
      </c>
    </row>
    <row r="5" spans="1:16">
      <c r="A5" s="912" t="s">
        <v>22</v>
      </c>
      <c r="B5" s="904" t="s">
        <v>2706</v>
      </c>
      <c r="E5" s="208" t="s">
        <v>22</v>
      </c>
      <c r="F5" s="208" t="s">
        <v>23</v>
      </c>
      <c r="G5" s="208" t="s">
        <v>21</v>
      </c>
      <c r="I5" s="208" t="s">
        <v>22</v>
      </c>
      <c r="J5" s="208" t="s">
        <v>23</v>
      </c>
      <c r="K5" s="208" t="s">
        <v>21</v>
      </c>
      <c r="N5" s="208" t="s">
        <v>22</v>
      </c>
      <c r="O5" s="208" t="s">
        <v>23</v>
      </c>
      <c r="P5" s="208" t="s">
        <v>21</v>
      </c>
    </row>
    <row r="6" spans="1:16">
      <c r="A6" s="114"/>
      <c r="B6" s="107"/>
      <c r="E6" s="459" t="s">
        <v>38</v>
      </c>
      <c r="F6" s="498" t="s">
        <v>189</v>
      </c>
      <c r="G6" s="495" t="s">
        <v>135</v>
      </c>
      <c r="H6" t="str">
        <f>G6&amp;", "&amp;G7&amp;", "&amp;G8</f>
        <v>KBC, Metta, SI</v>
      </c>
      <c r="I6" s="496" t="s">
        <v>702</v>
      </c>
      <c r="J6" s="498" t="s">
        <v>721</v>
      </c>
      <c r="K6" s="495" t="s">
        <v>186</v>
      </c>
      <c r="L6" t="str">
        <f>K7</f>
        <v>SCI, Metta</v>
      </c>
      <c r="N6" s="496" t="s">
        <v>2706</v>
      </c>
      <c r="O6" s="498" t="s">
        <v>361</v>
      </c>
      <c r="P6" s="495" t="s">
        <v>2294</v>
      </c>
    </row>
    <row r="7" spans="1:16">
      <c r="A7" s="908" t="s">
        <v>23</v>
      </c>
      <c r="B7" s="903" t="s">
        <v>2321</v>
      </c>
      <c r="D7" s="417"/>
      <c r="E7" s="459" t="s">
        <v>38</v>
      </c>
      <c r="F7" s="498" t="s">
        <v>189</v>
      </c>
      <c r="G7" s="495" t="s">
        <v>186</v>
      </c>
      <c r="H7" s="414"/>
      <c r="I7" s="496" t="s">
        <v>702</v>
      </c>
      <c r="J7" s="498" t="s">
        <v>721</v>
      </c>
      <c r="K7" s="495" t="s">
        <v>1915</v>
      </c>
      <c r="L7" s="414"/>
      <c r="N7" s="496" t="s">
        <v>2706</v>
      </c>
      <c r="O7" s="498" t="s">
        <v>306</v>
      </c>
      <c r="P7" s="495" t="s">
        <v>297</v>
      </c>
    </row>
    <row r="8" spans="1:16">
      <c r="A8" s="904" t="s">
        <v>361</v>
      </c>
      <c r="B8" s="904" t="s">
        <v>2294</v>
      </c>
      <c r="E8" s="459" t="s">
        <v>38</v>
      </c>
      <c r="F8" s="498" t="s">
        <v>189</v>
      </c>
      <c r="G8" s="495" t="s">
        <v>270</v>
      </c>
      <c r="I8" s="496" t="s">
        <v>702</v>
      </c>
      <c r="J8" s="498" t="s">
        <v>706</v>
      </c>
      <c r="K8" s="495" t="s">
        <v>135</v>
      </c>
      <c r="L8" t="str">
        <f>K8&amp;", "&amp;K9&amp;", "&amp;K12</f>
        <v>KBC, KMSS, SCI, Metta</v>
      </c>
      <c r="N8" s="496" t="s">
        <v>2706</v>
      </c>
      <c r="O8" s="498" t="s">
        <v>403</v>
      </c>
      <c r="P8" s="495" t="s">
        <v>402</v>
      </c>
    </row>
    <row r="9" spans="1:16">
      <c r="A9" s="904" t="s">
        <v>403</v>
      </c>
      <c r="B9" s="904" t="s">
        <v>402</v>
      </c>
      <c r="E9" s="459" t="s">
        <v>38</v>
      </c>
      <c r="F9" s="498" t="s">
        <v>140</v>
      </c>
      <c r="G9" s="495" t="s">
        <v>135</v>
      </c>
      <c r="H9" t="str">
        <f>G9&amp;", "&amp;G10&amp;", "&amp;G11</f>
        <v>KBC, KMSS, Shalom</v>
      </c>
      <c r="I9" s="496" t="s">
        <v>702</v>
      </c>
      <c r="J9" s="498" t="s">
        <v>706</v>
      </c>
      <c r="K9" s="495" t="s">
        <v>37</v>
      </c>
      <c r="N9" s="496" t="s">
        <v>2706</v>
      </c>
      <c r="O9" s="498" t="s">
        <v>406</v>
      </c>
      <c r="P9" s="495" t="s">
        <v>2772</v>
      </c>
    </row>
    <row r="10" spans="1:16">
      <c r="A10" s="904" t="s">
        <v>406</v>
      </c>
      <c r="B10" s="904" t="s">
        <v>291</v>
      </c>
      <c r="E10" s="459" t="s">
        <v>38</v>
      </c>
      <c r="F10" s="498" t="s">
        <v>140</v>
      </c>
      <c r="G10" s="495" t="s">
        <v>37</v>
      </c>
      <c r="I10" s="496" t="s">
        <v>702</v>
      </c>
      <c r="J10" s="498" t="s">
        <v>706</v>
      </c>
      <c r="K10" s="495" t="s">
        <v>186</v>
      </c>
      <c r="N10" s="497" t="s">
        <v>2706</v>
      </c>
      <c r="O10" s="499" t="s">
        <v>299</v>
      </c>
      <c r="P10" s="494" t="s">
        <v>2773</v>
      </c>
    </row>
    <row r="11" spans="1:16">
      <c r="A11" s="904" t="s">
        <v>406</v>
      </c>
      <c r="B11" s="904" t="s">
        <v>270</v>
      </c>
      <c r="E11" s="459" t="s">
        <v>38</v>
      </c>
      <c r="F11" s="498" t="s">
        <v>140</v>
      </c>
      <c r="G11" s="495" t="s">
        <v>236</v>
      </c>
      <c r="I11" s="496" t="s">
        <v>702</v>
      </c>
      <c r="J11" s="498" t="s">
        <v>706</v>
      </c>
      <c r="K11" s="495" t="s">
        <v>291</v>
      </c>
    </row>
    <row r="12" spans="1:16">
      <c r="A12" s="904" t="s">
        <v>299</v>
      </c>
      <c r="B12" s="904" t="s">
        <v>2307</v>
      </c>
      <c r="E12" s="459" t="s">
        <v>38</v>
      </c>
      <c r="F12" s="498" t="s">
        <v>142</v>
      </c>
      <c r="G12" s="495" t="s">
        <v>135</v>
      </c>
      <c r="H12" t="str">
        <f>G12&amp;", "&amp;G13&amp;", "&amp;G14</f>
        <v>KBC, KMSS, Shalom</v>
      </c>
      <c r="I12" s="496" t="s">
        <v>702</v>
      </c>
      <c r="J12" s="498" t="s">
        <v>706</v>
      </c>
      <c r="K12" s="495" t="s">
        <v>1915</v>
      </c>
      <c r="N12" s="496" t="s">
        <v>323</v>
      </c>
      <c r="O12" s="495" t="s">
        <v>373</v>
      </c>
      <c r="P12" t="s">
        <v>2774</v>
      </c>
    </row>
    <row r="13" spans="1:16">
      <c r="A13" s="904" t="s">
        <v>299</v>
      </c>
      <c r="B13" s="904" t="s">
        <v>2308</v>
      </c>
      <c r="E13" s="459" t="s">
        <v>38</v>
      </c>
      <c r="F13" s="498" t="s">
        <v>142</v>
      </c>
      <c r="G13" s="495" t="s">
        <v>37</v>
      </c>
      <c r="I13" s="496" t="s">
        <v>702</v>
      </c>
      <c r="J13" s="498" t="s">
        <v>709</v>
      </c>
      <c r="K13" s="495" t="s">
        <v>37</v>
      </c>
      <c r="L13" t="str">
        <f>K13&amp;", "&amp;K14</f>
        <v>KMSS, Metta</v>
      </c>
      <c r="N13" s="497" t="s">
        <v>361</v>
      </c>
      <c r="O13" s="495" t="s">
        <v>2294</v>
      </c>
      <c r="P13" t="s">
        <v>2294</v>
      </c>
    </row>
    <row r="14" spans="1:16">
      <c r="A14" s="904" t="s">
        <v>299</v>
      </c>
      <c r="B14" s="904" t="s">
        <v>291</v>
      </c>
      <c r="E14" s="459" t="s">
        <v>38</v>
      </c>
      <c r="F14" s="498" t="s">
        <v>142</v>
      </c>
      <c r="G14" s="495" t="s">
        <v>236</v>
      </c>
      <c r="I14" s="496" t="s">
        <v>702</v>
      </c>
      <c r="J14" s="498" t="s">
        <v>709</v>
      </c>
      <c r="K14" s="495" t="s">
        <v>186</v>
      </c>
      <c r="N14" s="497" t="s">
        <v>306</v>
      </c>
      <c r="O14" s="495" t="s">
        <v>322</v>
      </c>
      <c r="P14" t="s">
        <v>322</v>
      </c>
    </row>
    <row r="15" spans="1:16">
      <c r="E15" s="459" t="s">
        <v>38</v>
      </c>
      <c r="F15" s="498" t="s">
        <v>39</v>
      </c>
      <c r="G15" s="495" t="s">
        <v>135</v>
      </c>
      <c r="H15" t="str">
        <f>G15&amp;", "&amp;G16&amp;", "&amp;G17&amp;", "&amp;G18</f>
        <v>KBC, KMSS, Metta, WPN</v>
      </c>
      <c r="I15" s="496" t="s">
        <v>702</v>
      </c>
      <c r="J15" s="498" t="s">
        <v>712</v>
      </c>
      <c r="K15" s="495" t="s">
        <v>37</v>
      </c>
      <c r="L15" t="str">
        <f>K15&amp;", "&amp;K17</f>
        <v>KMSS, SCI, Metta</v>
      </c>
      <c r="N15" s="496" t="s">
        <v>309</v>
      </c>
      <c r="O15" s="495" t="s">
        <v>312</v>
      </c>
      <c r="P15" t="s">
        <v>2124</v>
      </c>
    </row>
    <row r="16" spans="1:16">
      <c r="E16" s="459" t="s">
        <v>38</v>
      </c>
      <c r="F16" s="498" t="s">
        <v>39</v>
      </c>
      <c r="G16" s="495" t="s">
        <v>37</v>
      </c>
      <c r="I16" s="496" t="s">
        <v>702</v>
      </c>
      <c r="J16" s="498" t="s">
        <v>712</v>
      </c>
      <c r="K16" s="495" t="s">
        <v>186</v>
      </c>
      <c r="N16" s="497" t="s">
        <v>316</v>
      </c>
      <c r="O16" s="495" t="s">
        <v>318</v>
      </c>
      <c r="P16" t="s">
        <v>318</v>
      </c>
    </row>
    <row r="17" spans="5:16">
      <c r="E17" s="459" t="s">
        <v>38</v>
      </c>
      <c r="F17" s="498" t="s">
        <v>39</v>
      </c>
      <c r="G17" s="495" t="s">
        <v>186</v>
      </c>
      <c r="I17" s="496" t="s">
        <v>702</v>
      </c>
      <c r="J17" s="498" t="s">
        <v>712</v>
      </c>
      <c r="K17" s="495" t="s">
        <v>1915</v>
      </c>
      <c r="N17" s="497" t="s">
        <v>403</v>
      </c>
      <c r="O17" s="495" t="s">
        <v>402</v>
      </c>
      <c r="P17" t="s">
        <v>402</v>
      </c>
    </row>
    <row r="18" spans="5:16">
      <c r="E18" s="459" t="s">
        <v>38</v>
      </c>
      <c r="F18" s="498" t="s">
        <v>39</v>
      </c>
      <c r="G18" s="495" t="s">
        <v>285</v>
      </c>
      <c r="I18" s="496" t="s">
        <v>702</v>
      </c>
      <c r="J18" s="498" t="s">
        <v>703</v>
      </c>
      <c r="K18" s="495" t="s">
        <v>37</v>
      </c>
      <c r="L18" t="str">
        <f>K18&amp;", "&amp;K19</f>
        <v>KMSS, SCI</v>
      </c>
      <c r="N18" s="496" t="s">
        <v>406</v>
      </c>
      <c r="O18" s="495" t="s">
        <v>338</v>
      </c>
      <c r="P18" t="s">
        <v>2775</v>
      </c>
    </row>
    <row r="19" spans="5:16">
      <c r="E19" s="459" t="s">
        <v>38</v>
      </c>
      <c r="F19" s="498" t="s">
        <v>146</v>
      </c>
      <c r="G19" s="495" t="s">
        <v>135</v>
      </c>
      <c r="H19" t="str">
        <f>G19&amp;", "&amp;G20</f>
        <v>KBC, KMSS</v>
      </c>
      <c r="I19" s="496" t="s">
        <v>702</v>
      </c>
      <c r="J19" s="498" t="s">
        <v>703</v>
      </c>
      <c r="K19" s="495" t="s">
        <v>291</v>
      </c>
      <c r="N19" s="497" t="s">
        <v>341</v>
      </c>
      <c r="O19" s="495" t="s">
        <v>1240</v>
      </c>
      <c r="P19" t="s">
        <v>1240</v>
      </c>
    </row>
    <row r="20" spans="5:16">
      <c r="E20" s="459" t="s">
        <v>38</v>
      </c>
      <c r="F20" s="498" t="s">
        <v>146</v>
      </c>
      <c r="G20" s="495" t="s">
        <v>37</v>
      </c>
      <c r="I20" s="497" t="s">
        <v>702</v>
      </c>
      <c r="J20" s="498" t="s">
        <v>723</v>
      </c>
      <c r="K20" s="495" t="s">
        <v>186</v>
      </c>
      <c r="L20" t="str">
        <f>K20</f>
        <v>Metta</v>
      </c>
      <c r="N20" s="496" t="s">
        <v>299</v>
      </c>
      <c r="O20" s="495" t="s">
        <v>318</v>
      </c>
      <c r="P20" t="s">
        <v>2776</v>
      </c>
    </row>
    <row r="21" spans="5:16">
      <c r="E21" s="459" t="s">
        <v>38</v>
      </c>
      <c r="F21" s="498" t="s">
        <v>151</v>
      </c>
      <c r="G21" s="495" t="s">
        <v>135</v>
      </c>
      <c r="H21" t="str">
        <f>G21&amp;", "&amp;G22</f>
        <v>KBC, KMSS</v>
      </c>
      <c r="I21" s="190"/>
      <c r="J21" s="414"/>
      <c r="K21" s="414"/>
    </row>
    <row r="22" spans="5:16">
      <c r="E22" s="459" t="s">
        <v>38</v>
      </c>
      <c r="F22" s="498" t="s">
        <v>151</v>
      </c>
      <c r="G22" s="495" t="s">
        <v>37</v>
      </c>
      <c r="I22" s="190"/>
      <c r="J22" s="414"/>
      <c r="K22" s="414"/>
      <c r="N22" s="496" t="s">
        <v>323</v>
      </c>
      <c r="O22" s="495" t="s">
        <v>373</v>
      </c>
      <c r="P22" t="s">
        <v>2777</v>
      </c>
    </row>
    <row r="23" spans="5:16">
      <c r="E23" s="459" t="s">
        <v>38</v>
      </c>
      <c r="F23" s="498" t="s">
        <v>199</v>
      </c>
      <c r="G23" s="495" t="s">
        <v>135</v>
      </c>
      <c r="H23" t="str">
        <f>G23&amp;", "&amp;G26&amp;", "&amp;G27&amp;", "&amp;G28</f>
        <v>KBC, Metta, KMSS, SI, WPN</v>
      </c>
      <c r="I23" s="190" t="s">
        <v>22</v>
      </c>
      <c r="J23" s="414" t="s">
        <v>23</v>
      </c>
      <c r="K23" s="414" t="s">
        <v>21</v>
      </c>
      <c r="N23" s="497" t="s">
        <v>306</v>
      </c>
      <c r="O23" s="495" t="s">
        <v>1240</v>
      </c>
      <c r="P23" s="495" t="s">
        <v>1240</v>
      </c>
    </row>
    <row r="24" spans="5:16">
      <c r="E24" s="459" t="s">
        <v>38</v>
      </c>
      <c r="F24" s="498" t="s">
        <v>199</v>
      </c>
      <c r="G24" s="495" t="s">
        <v>37</v>
      </c>
      <c r="I24" s="190" t="s">
        <v>702</v>
      </c>
      <c r="J24" s="190" t="s">
        <v>721</v>
      </c>
      <c r="K24" t="s">
        <v>1915</v>
      </c>
      <c r="L24" s="414"/>
      <c r="M24"/>
      <c r="N24" s="497" t="s">
        <v>309</v>
      </c>
      <c r="O24" s="495" t="s">
        <v>2749</v>
      </c>
      <c r="P24" s="495" t="s">
        <v>2749</v>
      </c>
    </row>
    <row r="25" spans="5:16">
      <c r="E25" s="459" t="s">
        <v>38</v>
      </c>
      <c r="F25" s="498" t="s">
        <v>199</v>
      </c>
      <c r="G25" s="495" t="s">
        <v>186</v>
      </c>
      <c r="I25" t="s">
        <v>702</v>
      </c>
      <c r="J25" t="s">
        <v>706</v>
      </c>
      <c r="K25" t="s">
        <v>2770</v>
      </c>
      <c r="L25" s="414"/>
      <c r="M25"/>
      <c r="N25" s="497" t="s">
        <v>475</v>
      </c>
      <c r="O25" s="495" t="s">
        <v>2613</v>
      </c>
      <c r="P25" s="495" t="s">
        <v>2613</v>
      </c>
    </row>
    <row r="26" spans="5:16">
      <c r="E26" s="459" t="s">
        <v>38</v>
      </c>
      <c r="F26" s="498" t="s">
        <v>199</v>
      </c>
      <c r="G26" s="495" t="s">
        <v>2695</v>
      </c>
      <c r="I26" t="s">
        <v>702</v>
      </c>
      <c r="J26" t="s">
        <v>709</v>
      </c>
      <c r="K26" t="s">
        <v>1203</v>
      </c>
      <c r="L26" s="414"/>
      <c r="M26"/>
      <c r="N26" s="497" t="s">
        <v>406</v>
      </c>
      <c r="O26" s="494" t="s">
        <v>1240</v>
      </c>
      <c r="P26" s="494" t="s">
        <v>1240</v>
      </c>
    </row>
    <row r="27" spans="5:16">
      <c r="E27" s="459" t="s">
        <v>38</v>
      </c>
      <c r="F27" s="498" t="s">
        <v>199</v>
      </c>
      <c r="G27" s="495" t="s">
        <v>270</v>
      </c>
      <c r="I27" t="s">
        <v>702</v>
      </c>
      <c r="J27" t="s">
        <v>712</v>
      </c>
      <c r="K27" t="s">
        <v>2771</v>
      </c>
      <c r="L27" s="414"/>
      <c r="M27"/>
    </row>
    <row r="28" spans="5:16">
      <c r="E28" s="459" t="s">
        <v>38</v>
      </c>
      <c r="F28" s="498" t="s">
        <v>199</v>
      </c>
      <c r="G28" s="495" t="s">
        <v>285</v>
      </c>
      <c r="I28" t="s">
        <v>702</v>
      </c>
      <c r="J28" t="s">
        <v>703</v>
      </c>
      <c r="K28" t="s">
        <v>1205</v>
      </c>
      <c r="L28" s="414"/>
      <c r="M28"/>
    </row>
    <row r="29" spans="5:16">
      <c r="E29" s="459" t="s">
        <v>38</v>
      </c>
      <c r="F29" s="498" t="s">
        <v>153</v>
      </c>
      <c r="G29" s="495" t="s">
        <v>135</v>
      </c>
      <c r="H29" t="str">
        <f>G29&amp;", "&amp;G30&amp;", "&amp;G31</f>
        <v>KBC, KMSS, Shalom</v>
      </c>
      <c r="I29" t="s">
        <v>702</v>
      </c>
      <c r="J29" t="s">
        <v>723</v>
      </c>
      <c r="K29" t="s">
        <v>186</v>
      </c>
      <c r="L29" s="414"/>
      <c r="M29"/>
    </row>
    <row r="30" spans="5:16">
      <c r="E30" s="459" t="s">
        <v>38</v>
      </c>
      <c r="F30" s="498" t="s">
        <v>153</v>
      </c>
      <c r="G30" s="495" t="s">
        <v>37</v>
      </c>
    </row>
    <row r="31" spans="5:16">
      <c r="E31" s="459" t="s">
        <v>38</v>
      </c>
      <c r="F31" s="498" t="s">
        <v>153</v>
      </c>
      <c r="G31" s="495" t="s">
        <v>236</v>
      </c>
    </row>
    <row r="32" spans="5:16">
      <c r="E32" s="459" t="s">
        <v>38</v>
      </c>
      <c r="F32" s="498" t="s">
        <v>167</v>
      </c>
      <c r="G32" s="495" t="s">
        <v>135</v>
      </c>
      <c r="H32" t="str">
        <f>G32</f>
        <v>KBC</v>
      </c>
    </row>
    <row r="33" spans="5:13">
      <c r="E33" s="459" t="s">
        <v>38</v>
      </c>
      <c r="F33" s="498" t="s">
        <v>208</v>
      </c>
      <c r="G33" s="495" t="s">
        <v>135</v>
      </c>
      <c r="H33" t="str">
        <f>G33&amp;", "&amp;G34</f>
        <v>KBC, Metta</v>
      </c>
    </row>
    <row r="34" spans="5:13">
      <c r="E34" s="459" t="s">
        <v>38</v>
      </c>
      <c r="F34" s="498" t="s">
        <v>208</v>
      </c>
      <c r="G34" s="495" t="s">
        <v>186</v>
      </c>
    </row>
    <row r="35" spans="5:13">
      <c r="E35" s="459" t="s">
        <v>38</v>
      </c>
      <c r="F35" s="498" t="s">
        <v>178</v>
      </c>
      <c r="G35" s="495" t="s">
        <v>135</v>
      </c>
      <c r="H35" t="str">
        <f>G35</f>
        <v>KBC</v>
      </c>
    </row>
    <row r="36" spans="5:13">
      <c r="E36" s="459" t="s">
        <v>38</v>
      </c>
      <c r="F36" s="498" t="s">
        <v>136</v>
      </c>
      <c r="G36" s="495" t="s">
        <v>135</v>
      </c>
      <c r="H36" t="str">
        <f>G37&amp;", "&amp;G39&amp;", "&amp;G41</f>
        <v>KBC, KMSS, Metta, Shalom</v>
      </c>
    </row>
    <row r="37" spans="5:13">
      <c r="E37" s="459" t="s">
        <v>38</v>
      </c>
      <c r="F37" s="498" t="s">
        <v>136</v>
      </c>
      <c r="G37" s="495" t="s">
        <v>2122</v>
      </c>
    </row>
    <row r="38" spans="5:13">
      <c r="E38" s="459" t="s">
        <v>38</v>
      </c>
      <c r="F38" s="498" t="s">
        <v>136</v>
      </c>
      <c r="G38" s="495" t="s">
        <v>37</v>
      </c>
    </row>
    <row r="39" spans="5:13">
      <c r="E39" s="459" t="s">
        <v>38</v>
      </c>
      <c r="F39" s="498" t="s">
        <v>136</v>
      </c>
      <c r="G39" s="495" t="s">
        <v>186</v>
      </c>
    </row>
    <row r="40" spans="5:13">
      <c r="E40" s="459" t="s">
        <v>38</v>
      </c>
      <c r="F40" s="498" t="s">
        <v>136</v>
      </c>
      <c r="G40" s="495" t="s">
        <v>2695</v>
      </c>
    </row>
    <row r="41" spans="5:13">
      <c r="E41" s="500" t="s">
        <v>38</v>
      </c>
      <c r="F41" s="498" t="s">
        <v>136</v>
      </c>
      <c r="G41" s="495" t="s">
        <v>236</v>
      </c>
    </row>
    <row r="44" spans="5:13">
      <c r="E44" t="s">
        <v>22</v>
      </c>
      <c r="F44" t="s">
        <v>23</v>
      </c>
      <c r="L44" s="414"/>
      <c r="M44"/>
    </row>
    <row r="45" spans="5:13">
      <c r="E45" t="s">
        <v>38</v>
      </c>
      <c r="F45" t="s">
        <v>189</v>
      </c>
      <c r="G45" t="s">
        <v>2120</v>
      </c>
      <c r="L45" s="414"/>
      <c r="M45"/>
    </row>
    <row r="46" spans="5:13">
      <c r="E46" t="s">
        <v>38</v>
      </c>
      <c r="F46" t="s">
        <v>140</v>
      </c>
      <c r="G46" t="s">
        <v>2121</v>
      </c>
      <c r="L46" s="414"/>
      <c r="M46"/>
    </row>
    <row r="47" spans="5:13">
      <c r="E47" t="s">
        <v>38</v>
      </c>
      <c r="F47" t="s">
        <v>142</v>
      </c>
      <c r="G47" t="s">
        <v>2121</v>
      </c>
      <c r="L47" s="414"/>
      <c r="M47"/>
    </row>
    <row r="48" spans="5:13">
      <c r="E48" t="s">
        <v>38</v>
      </c>
      <c r="F48" t="s">
        <v>39</v>
      </c>
      <c r="G48" t="s">
        <v>2768</v>
      </c>
      <c r="L48" s="414"/>
      <c r="M48"/>
    </row>
    <row r="49" spans="5:13">
      <c r="E49" t="s">
        <v>38</v>
      </c>
      <c r="F49" t="s">
        <v>146</v>
      </c>
      <c r="G49" t="s">
        <v>2122</v>
      </c>
      <c r="L49" s="414"/>
      <c r="M49"/>
    </row>
    <row r="50" spans="5:13">
      <c r="E50" t="s">
        <v>38</v>
      </c>
      <c r="F50" t="s">
        <v>151</v>
      </c>
      <c r="G50" t="s">
        <v>2122</v>
      </c>
      <c r="L50" s="414"/>
      <c r="M50"/>
    </row>
    <row r="51" spans="5:13">
      <c r="E51" t="s">
        <v>38</v>
      </c>
      <c r="F51" t="s">
        <v>199</v>
      </c>
      <c r="G51" t="s">
        <v>2769</v>
      </c>
      <c r="L51" s="414"/>
      <c r="M51"/>
    </row>
    <row r="52" spans="5:13">
      <c r="E52" s="190" t="s">
        <v>38</v>
      </c>
      <c r="F52" s="190" t="s">
        <v>153</v>
      </c>
      <c r="G52" t="s">
        <v>2121</v>
      </c>
      <c r="L52" s="414"/>
      <c r="M52"/>
    </row>
    <row r="53" spans="5:13">
      <c r="E53" s="190" t="s">
        <v>38</v>
      </c>
      <c r="F53" s="190" t="s">
        <v>167</v>
      </c>
      <c r="G53" t="s">
        <v>135</v>
      </c>
      <c r="L53" s="414"/>
      <c r="M53"/>
    </row>
    <row r="54" spans="5:13">
      <c r="E54" s="190" t="s">
        <v>38</v>
      </c>
      <c r="F54" s="190" t="s">
        <v>208</v>
      </c>
      <c r="G54" t="s">
        <v>1928</v>
      </c>
      <c r="L54" s="414"/>
      <c r="M54"/>
    </row>
    <row r="55" spans="5:13">
      <c r="E55" s="190" t="s">
        <v>38</v>
      </c>
      <c r="F55" s="190" t="s">
        <v>178</v>
      </c>
      <c r="G55" t="s">
        <v>135</v>
      </c>
      <c r="L55" s="414"/>
      <c r="M55"/>
    </row>
    <row r="56" spans="5:13">
      <c r="E56" s="190" t="s">
        <v>38</v>
      </c>
      <c r="F56" s="190" t="s">
        <v>136</v>
      </c>
      <c r="G56" t="s">
        <v>2123</v>
      </c>
      <c r="L56" s="414"/>
      <c r="M56"/>
    </row>
    <row r="57" spans="5:13">
      <c r="E57" s="190"/>
      <c r="F57" s="190"/>
    </row>
    <row r="58" spans="5:13">
      <c r="E58" s="190"/>
      <c r="F58" s="190"/>
    </row>
    <row r="59" spans="5:13">
      <c r="E59" s="190"/>
      <c r="F59" s="190"/>
    </row>
    <row r="60" spans="5:13">
      <c r="E60" s="190"/>
      <c r="F60" s="190"/>
    </row>
    <row r="61" spans="5:13">
      <c r="E61" s="207"/>
      <c r="F61" s="190"/>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27:G193"/>
  <sheetViews>
    <sheetView showGridLines="0" zoomScale="80" zoomScaleNormal="80" workbookViewId="0">
      <selection activeCell="B94" sqref="B94"/>
    </sheetView>
  </sheetViews>
  <sheetFormatPr defaultColWidth="9" defaultRowHeight="15.75"/>
  <cols>
    <col min="1" max="1" width="31.875" style="58" bestFit="1" customWidth="1"/>
    <col min="2" max="2" width="14.25" style="58" bestFit="1" customWidth="1"/>
    <col min="3" max="3" width="10.25" style="58" bestFit="1" customWidth="1"/>
    <col min="4" max="4" width="65.75" style="58" hidden="1" customWidth="1"/>
    <col min="5" max="5" width="73.875" style="58" hidden="1" customWidth="1"/>
    <col min="6" max="6" width="86" style="58" hidden="1" customWidth="1"/>
    <col min="7" max="7" width="11" style="58" customWidth="1"/>
    <col min="8" max="16384" width="9" style="58"/>
  </cols>
  <sheetData>
    <row r="27" spans="1:7" hidden="1">
      <c r="A27" s="899" t="s">
        <v>20</v>
      </c>
      <c r="B27" s="900" t="s">
        <v>1885</v>
      </c>
    </row>
    <row r="28" spans="1:7" hidden="1"/>
    <row r="29" spans="1:7" s="97" customFormat="1" ht="31.5" hidden="1">
      <c r="A29" s="936" t="s">
        <v>22</v>
      </c>
      <c r="B29" s="936" t="s">
        <v>23</v>
      </c>
      <c r="C29" s="929" t="s">
        <v>1946</v>
      </c>
      <c r="D29" s="900" t="s">
        <v>2732</v>
      </c>
      <c r="E29" s="900" t="s">
        <v>2731</v>
      </c>
      <c r="F29" s="900" t="s">
        <v>2730</v>
      </c>
      <c r="G29"/>
    </row>
    <row r="30" spans="1:7" hidden="1">
      <c r="A30" s="900" t="s">
        <v>2706</v>
      </c>
      <c r="B30" s="900" t="s">
        <v>361</v>
      </c>
      <c r="C30" s="902">
        <v>2924</v>
      </c>
      <c r="D30" s="902">
        <v>2924</v>
      </c>
      <c r="E30" s="902">
        <v>2924</v>
      </c>
      <c r="F30" s="902">
        <v>2924</v>
      </c>
      <c r="G30"/>
    </row>
    <row r="31" spans="1:7" hidden="1">
      <c r="A31" s="900"/>
      <c r="B31" s="900" t="s">
        <v>306</v>
      </c>
      <c r="C31" s="902">
        <v>1743</v>
      </c>
      <c r="D31" s="902">
        <v>0</v>
      </c>
      <c r="E31" s="902">
        <v>1743</v>
      </c>
      <c r="F31" s="902">
        <v>581</v>
      </c>
      <c r="G31"/>
    </row>
    <row r="32" spans="1:7" hidden="1">
      <c r="A32" s="900"/>
      <c r="B32" s="900" t="s">
        <v>403</v>
      </c>
      <c r="C32" s="902">
        <v>8760</v>
      </c>
      <c r="D32" s="902">
        <v>8760</v>
      </c>
      <c r="E32" s="902">
        <v>8760</v>
      </c>
      <c r="F32" s="902">
        <v>8760</v>
      </c>
      <c r="G32"/>
    </row>
    <row r="33" spans="1:7" hidden="1">
      <c r="A33" s="900"/>
      <c r="B33" s="900" t="s">
        <v>406</v>
      </c>
      <c r="C33" s="902">
        <v>68391</v>
      </c>
      <c r="D33" s="902">
        <v>65586</v>
      </c>
      <c r="E33" s="902">
        <v>51913</v>
      </c>
      <c r="F33" s="902">
        <v>63572.493333333332</v>
      </c>
      <c r="G33"/>
    </row>
    <row r="34" spans="1:7" hidden="1">
      <c r="A34" s="900"/>
      <c r="B34" s="900" t="s">
        <v>299</v>
      </c>
      <c r="C34" s="902">
        <v>276890</v>
      </c>
      <c r="D34" s="902">
        <v>269480</v>
      </c>
      <c r="E34" s="902">
        <v>220650</v>
      </c>
      <c r="F34" s="902">
        <v>276662</v>
      </c>
      <c r="G34"/>
    </row>
    <row r="35" spans="1:7" hidden="1">
      <c r="A35" s="900" t="s">
        <v>2707</v>
      </c>
      <c r="B35" s="900"/>
      <c r="C35" s="902">
        <v>358708</v>
      </c>
      <c r="D35" s="902">
        <v>346750</v>
      </c>
      <c r="E35" s="902">
        <v>285990</v>
      </c>
      <c r="F35" s="902">
        <v>352499.49333333335</v>
      </c>
      <c r="G35"/>
    </row>
    <row r="36" spans="1:7" hidden="1">
      <c r="A36" s="900" t="s">
        <v>1630</v>
      </c>
      <c r="B36" s="900"/>
      <c r="C36" s="902">
        <v>358708</v>
      </c>
      <c r="D36" s="902">
        <v>346750</v>
      </c>
      <c r="E36" s="902">
        <v>285990</v>
      </c>
      <c r="F36" s="902">
        <v>352499.49333333335</v>
      </c>
      <c r="G36"/>
    </row>
    <row r="37" spans="1:7" hidden="1">
      <c r="A37"/>
      <c r="B37"/>
      <c r="C37"/>
      <c r="D37"/>
      <c r="E37"/>
      <c r="F37"/>
      <c r="G37"/>
    </row>
    <row r="38" spans="1:7" hidden="1">
      <c r="A38"/>
      <c r="B38"/>
      <c r="C38"/>
      <c r="D38"/>
      <c r="E38"/>
      <c r="F38"/>
      <c r="G38"/>
    </row>
    <row r="39" spans="1:7" hidden="1">
      <c r="A39"/>
      <c r="B39"/>
      <c r="C39"/>
      <c r="D39"/>
      <c r="E39"/>
      <c r="F39"/>
      <c r="G39"/>
    </row>
    <row r="40" spans="1:7" hidden="1">
      <c r="A40"/>
      <c r="B40"/>
      <c r="C40"/>
      <c r="D40"/>
      <c r="E40"/>
      <c r="F40"/>
      <c r="G40"/>
    </row>
    <row r="41" spans="1:7" hidden="1">
      <c r="A41"/>
      <c r="B41"/>
      <c r="C41"/>
      <c r="D41"/>
      <c r="E41"/>
      <c r="F41"/>
      <c r="G41"/>
    </row>
    <row r="42" spans="1:7" hidden="1">
      <c r="A42"/>
      <c r="B42"/>
      <c r="C42"/>
      <c r="D42"/>
      <c r="E42"/>
      <c r="F42"/>
      <c r="G42"/>
    </row>
    <row r="43" spans="1:7" hidden="1">
      <c r="A43"/>
      <c r="B43"/>
      <c r="C43"/>
      <c r="D43"/>
      <c r="E43"/>
      <c r="F43"/>
      <c r="G43"/>
    </row>
    <row r="44" spans="1:7" hidden="1">
      <c r="A44"/>
      <c r="B44"/>
      <c r="C44"/>
      <c r="D44"/>
      <c r="E44"/>
      <c r="F44"/>
      <c r="G44"/>
    </row>
    <row r="45" spans="1:7" hidden="1">
      <c r="A45"/>
      <c r="B45"/>
      <c r="C45"/>
      <c r="D45"/>
      <c r="E45"/>
      <c r="F45"/>
      <c r="G45"/>
    </row>
    <row r="46" spans="1:7" hidden="1">
      <c r="A46"/>
      <c r="B46"/>
      <c r="C46"/>
      <c r="D46"/>
      <c r="E46"/>
      <c r="F46"/>
      <c r="G46"/>
    </row>
    <row r="47" spans="1:7" hidden="1">
      <c r="A47"/>
      <c r="B47"/>
      <c r="C47"/>
      <c r="D47"/>
      <c r="E47"/>
      <c r="F47"/>
      <c r="G47"/>
    </row>
    <row r="48" spans="1:7" hidden="1">
      <c r="A48"/>
      <c r="B48"/>
      <c r="C48"/>
      <c r="D48"/>
      <c r="E48"/>
      <c r="F48"/>
      <c r="G48"/>
    </row>
    <row r="49" spans="1:7" hidden="1">
      <c r="A49"/>
      <c r="B49"/>
      <c r="C49"/>
      <c r="D49"/>
      <c r="E49"/>
      <c r="F49"/>
      <c r="G49"/>
    </row>
    <row r="50" spans="1:7" hidden="1">
      <c r="A50"/>
      <c r="B50"/>
      <c r="C50"/>
      <c r="D50"/>
      <c r="E50"/>
      <c r="F50"/>
      <c r="G50"/>
    </row>
    <row r="51" spans="1:7" hidden="1">
      <c r="A51"/>
      <c r="B51"/>
      <c r="C51"/>
      <c r="D51"/>
      <c r="E51"/>
      <c r="F51"/>
      <c r="G51"/>
    </row>
    <row r="52" spans="1:7" hidden="1">
      <c r="A52"/>
      <c r="B52"/>
      <c r="C52"/>
      <c r="D52"/>
      <c r="E52"/>
      <c r="F52"/>
      <c r="G52"/>
    </row>
    <row r="53" spans="1:7" hidden="1">
      <c r="A53"/>
      <c r="B53"/>
      <c r="C53"/>
      <c r="D53"/>
      <c r="E53"/>
      <c r="F53"/>
      <c r="G53"/>
    </row>
    <row r="54" spans="1:7" hidden="1">
      <c r="A54"/>
      <c r="B54"/>
      <c r="C54"/>
      <c r="D54"/>
      <c r="E54"/>
      <c r="F54"/>
      <c r="G54"/>
    </row>
    <row r="55" spans="1:7" hidden="1">
      <c r="A55"/>
      <c r="B55"/>
      <c r="C55"/>
      <c r="D55"/>
      <c r="E55"/>
      <c r="F55"/>
      <c r="G55"/>
    </row>
    <row r="56" spans="1:7" hidden="1">
      <c r="A56"/>
      <c r="B56"/>
      <c r="C56"/>
      <c r="D56"/>
      <c r="E56"/>
      <c r="F56"/>
      <c r="G56"/>
    </row>
    <row r="57" spans="1:7" hidden="1">
      <c r="A57"/>
      <c r="B57"/>
      <c r="C57"/>
      <c r="D57"/>
      <c r="E57"/>
      <c r="F57"/>
      <c r="G57"/>
    </row>
    <row r="58" spans="1:7" hidden="1">
      <c r="A58"/>
      <c r="B58"/>
      <c r="C58"/>
      <c r="D58"/>
      <c r="E58"/>
      <c r="F58"/>
      <c r="G58"/>
    </row>
    <row r="59" spans="1:7" hidden="1">
      <c r="A59"/>
      <c r="B59"/>
      <c r="C59"/>
      <c r="D59"/>
      <c r="E59"/>
      <c r="F59"/>
      <c r="G59"/>
    </row>
    <row r="60" spans="1:7" hidden="1">
      <c r="A60"/>
      <c r="B60"/>
      <c r="C60"/>
      <c r="D60"/>
      <c r="E60"/>
      <c r="F60"/>
      <c r="G60"/>
    </row>
    <row r="61" spans="1:7" hidden="1">
      <c r="A61"/>
      <c r="B61"/>
      <c r="C61"/>
      <c r="D61"/>
      <c r="E61"/>
      <c r="F61"/>
      <c r="G61"/>
    </row>
    <row r="62" spans="1:7" hidden="1">
      <c r="A62"/>
      <c r="B62"/>
      <c r="C62"/>
      <c r="D62"/>
      <c r="E62"/>
      <c r="F62"/>
      <c r="G62"/>
    </row>
    <row r="63" spans="1:7" hidden="1">
      <c r="A63"/>
      <c r="B63"/>
      <c r="C63"/>
      <c r="D63"/>
      <c r="E63"/>
      <c r="F63"/>
      <c r="G63"/>
    </row>
    <row r="64" spans="1:7" hidden="1">
      <c r="A64"/>
      <c r="B64"/>
      <c r="C64"/>
      <c r="D64"/>
      <c r="E64"/>
      <c r="F64"/>
      <c r="G64"/>
    </row>
    <row r="65" spans="1:7" hidden="1">
      <c r="A65"/>
      <c r="B65"/>
      <c r="C65"/>
      <c r="D65"/>
      <c r="E65"/>
      <c r="F65"/>
      <c r="G65"/>
    </row>
    <row r="66" spans="1:7" hidden="1">
      <c r="A66"/>
      <c r="B66"/>
      <c r="C66"/>
      <c r="D66"/>
      <c r="E66"/>
      <c r="F66"/>
      <c r="G66"/>
    </row>
    <row r="67" spans="1:7" hidden="1">
      <c r="A67"/>
      <c r="B67"/>
      <c r="C67"/>
      <c r="D67"/>
      <c r="E67"/>
      <c r="F67"/>
      <c r="G67"/>
    </row>
    <row r="68" spans="1:7" hidden="1">
      <c r="A68"/>
      <c r="B68"/>
      <c r="C68"/>
      <c r="D68"/>
      <c r="E68"/>
      <c r="F68"/>
      <c r="G68"/>
    </row>
    <row r="69" spans="1:7" hidden="1">
      <c r="A69"/>
      <c r="B69"/>
      <c r="C69"/>
      <c r="D69"/>
      <c r="E69"/>
      <c r="F69"/>
      <c r="G69"/>
    </row>
    <row r="70" spans="1:7" hidden="1">
      <c r="A70"/>
      <c r="B70"/>
      <c r="C70"/>
      <c r="D70"/>
      <c r="E70"/>
      <c r="F70"/>
      <c r="G70"/>
    </row>
    <row r="71" spans="1:7" hidden="1">
      <c r="A71"/>
      <c r="B71"/>
      <c r="C71"/>
      <c r="D71"/>
      <c r="E71"/>
      <c r="F71"/>
      <c r="G71"/>
    </row>
    <row r="72" spans="1:7" hidden="1">
      <c r="A72"/>
      <c r="B72"/>
      <c r="C72"/>
      <c r="D72"/>
      <c r="E72"/>
      <c r="F72"/>
      <c r="G72"/>
    </row>
    <row r="73" spans="1:7" hidden="1">
      <c r="A73"/>
      <c r="B73"/>
      <c r="C73"/>
      <c r="D73"/>
      <c r="E73"/>
      <c r="F73"/>
      <c r="G73"/>
    </row>
    <row r="74" spans="1:7" hidden="1">
      <c r="A74"/>
      <c r="B74"/>
      <c r="C74"/>
      <c r="D74"/>
      <c r="E74"/>
      <c r="F74"/>
      <c r="G74"/>
    </row>
    <row r="75" spans="1:7" hidden="1">
      <c r="A75"/>
      <c r="B75"/>
      <c r="C75"/>
      <c r="D75"/>
      <c r="E75"/>
      <c r="F75"/>
      <c r="G75"/>
    </row>
    <row r="76" spans="1:7" hidden="1">
      <c r="A76"/>
      <c r="B76"/>
      <c r="C76"/>
      <c r="D76"/>
      <c r="E76"/>
      <c r="F76"/>
      <c r="G76"/>
    </row>
    <row r="77" spans="1:7" hidden="1">
      <c r="A77"/>
      <c r="B77"/>
      <c r="C77"/>
      <c r="D77"/>
      <c r="E77"/>
      <c r="F77"/>
      <c r="G77"/>
    </row>
    <row r="78" spans="1:7" hidden="1">
      <c r="A78"/>
      <c r="B78"/>
      <c r="C78"/>
      <c r="D78"/>
      <c r="E78"/>
      <c r="F78"/>
      <c r="G78"/>
    </row>
    <row r="79" spans="1:7" hidden="1">
      <c r="A79"/>
      <c r="B79"/>
      <c r="C79"/>
      <c r="D79"/>
      <c r="E79"/>
      <c r="F79"/>
      <c r="G79"/>
    </row>
    <row r="80" spans="1:7" hidden="1">
      <c r="A80"/>
      <c r="B80"/>
      <c r="C80"/>
      <c r="D80"/>
      <c r="E80"/>
      <c r="F80"/>
      <c r="G80"/>
    </row>
    <row r="81" spans="1:7" hidden="1">
      <c r="A81"/>
      <c r="B81"/>
      <c r="C81"/>
      <c r="D81"/>
      <c r="E81"/>
      <c r="F81"/>
      <c r="G81"/>
    </row>
    <row r="82" spans="1:7" hidden="1">
      <c r="A82"/>
      <c r="B82"/>
      <c r="C82"/>
      <c r="D82"/>
      <c r="E82"/>
      <c r="F82"/>
      <c r="G82"/>
    </row>
    <row r="83" spans="1:7" hidden="1">
      <c r="A83"/>
      <c r="B83"/>
      <c r="C83"/>
      <c r="D83"/>
      <c r="E83"/>
      <c r="F83"/>
      <c r="G83"/>
    </row>
    <row r="84" spans="1:7" hidden="1">
      <c r="A84"/>
      <c r="B84"/>
      <c r="C84"/>
      <c r="D84"/>
      <c r="E84"/>
      <c r="F84"/>
      <c r="G84"/>
    </row>
    <row r="85" spans="1:7" hidden="1">
      <c r="A85"/>
      <c r="B85"/>
      <c r="C85"/>
      <c r="D85"/>
      <c r="E85"/>
      <c r="F85"/>
      <c r="G85"/>
    </row>
    <row r="86" spans="1:7">
      <c r="A86"/>
      <c r="B86"/>
      <c r="C86"/>
      <c r="D86"/>
      <c r="E86"/>
      <c r="F86"/>
      <c r="G86"/>
    </row>
    <row r="87" spans="1:7">
      <c r="A87"/>
      <c r="B87"/>
      <c r="C87"/>
      <c r="D87"/>
      <c r="E87"/>
      <c r="F87"/>
      <c r="G87"/>
    </row>
    <row r="88" spans="1:7">
      <c r="A88"/>
      <c r="B88"/>
      <c r="C88"/>
      <c r="D88"/>
      <c r="E88"/>
      <c r="F88"/>
      <c r="G88"/>
    </row>
    <row r="89" spans="1:7">
      <c r="A89"/>
      <c r="B89"/>
      <c r="C89"/>
      <c r="D89"/>
      <c r="E89"/>
      <c r="F89"/>
      <c r="G89"/>
    </row>
    <row r="90" spans="1:7">
      <c r="A90"/>
      <c r="B90"/>
      <c r="C90"/>
      <c r="D90"/>
      <c r="E90"/>
      <c r="F90"/>
      <c r="G90"/>
    </row>
    <row r="91" spans="1:7">
      <c r="A91"/>
      <c r="B91"/>
      <c r="C91"/>
      <c r="D91"/>
      <c r="E91"/>
      <c r="F91"/>
      <c r="G91"/>
    </row>
    <row r="92" spans="1:7">
      <c r="A92"/>
      <c r="B92"/>
      <c r="C92"/>
      <c r="D92"/>
      <c r="E92"/>
      <c r="F92"/>
      <c r="G92"/>
    </row>
    <row r="93" spans="1:7">
      <c r="A93"/>
      <c r="B93"/>
      <c r="C93"/>
      <c r="D93"/>
      <c r="E93"/>
      <c r="F93"/>
      <c r="G93"/>
    </row>
    <row r="94" spans="1:7">
      <c r="A94"/>
      <c r="B94"/>
      <c r="C94"/>
      <c r="D94"/>
      <c r="E94"/>
      <c r="F94"/>
      <c r="G94"/>
    </row>
    <row r="95" spans="1:7">
      <c r="A95"/>
      <c r="B95"/>
      <c r="C95"/>
      <c r="D95"/>
      <c r="E95"/>
      <c r="F95"/>
      <c r="G95"/>
    </row>
    <row r="96" spans="1:7">
      <c r="A96"/>
      <c r="B96"/>
      <c r="C96"/>
      <c r="D96"/>
      <c r="E96"/>
      <c r="F96"/>
      <c r="G96"/>
    </row>
    <row r="97" spans="1:7">
      <c r="A97"/>
      <c r="B97"/>
      <c r="C97"/>
      <c r="D97"/>
      <c r="E97"/>
      <c r="F97"/>
      <c r="G97"/>
    </row>
    <row r="98" spans="1:7">
      <c r="A98"/>
      <c r="B98"/>
      <c r="C98"/>
      <c r="D98"/>
      <c r="E98"/>
      <c r="F98"/>
      <c r="G98"/>
    </row>
    <row r="99" spans="1:7">
      <c r="A99"/>
      <c r="B99"/>
      <c r="C99"/>
      <c r="D99"/>
      <c r="E99"/>
      <c r="F99"/>
      <c r="G99"/>
    </row>
    <row r="100" spans="1:7">
      <c r="A100"/>
      <c r="B100"/>
      <c r="C100"/>
      <c r="D100"/>
      <c r="E100"/>
      <c r="F100"/>
      <c r="G100"/>
    </row>
    <row r="101" spans="1:7">
      <c r="A101"/>
      <c r="B101"/>
      <c r="C101"/>
      <c r="D101"/>
      <c r="E101"/>
      <c r="F101"/>
      <c r="G101"/>
    </row>
    <row r="102" spans="1:7">
      <c r="A102"/>
      <c r="B102"/>
      <c r="C102"/>
      <c r="D102"/>
      <c r="E102"/>
      <c r="F102"/>
      <c r="G102"/>
    </row>
    <row r="103" spans="1:7">
      <c r="A103"/>
      <c r="B103"/>
      <c r="C103"/>
      <c r="D103"/>
      <c r="E103"/>
      <c r="F103"/>
      <c r="G103"/>
    </row>
    <row r="104" spans="1:7">
      <c r="A104"/>
      <c r="B104"/>
      <c r="C104"/>
      <c r="D104"/>
      <c r="E104"/>
      <c r="F104"/>
      <c r="G104"/>
    </row>
    <row r="105" spans="1:7">
      <c r="A105"/>
      <c r="B105"/>
      <c r="C105"/>
      <c r="D105"/>
      <c r="E105"/>
      <c r="F105"/>
      <c r="G105"/>
    </row>
    <row r="106" spans="1:7">
      <c r="A106"/>
      <c r="B106"/>
      <c r="C106"/>
      <c r="D106"/>
      <c r="E106"/>
      <c r="F106"/>
      <c r="G106"/>
    </row>
    <row r="107" spans="1:7">
      <c r="A107"/>
      <c r="B107"/>
      <c r="C107"/>
      <c r="D107"/>
      <c r="E107"/>
      <c r="F107"/>
      <c r="G107"/>
    </row>
    <row r="108" spans="1:7">
      <c r="A108"/>
      <c r="B108"/>
      <c r="C108"/>
      <c r="D108"/>
      <c r="E108"/>
      <c r="F108"/>
      <c r="G108"/>
    </row>
    <row r="109" spans="1:7">
      <c r="A109"/>
      <c r="B109"/>
      <c r="C109"/>
      <c r="D109"/>
      <c r="E109"/>
      <c r="F109"/>
      <c r="G109"/>
    </row>
    <row r="110" spans="1:7">
      <c r="A110"/>
      <c r="B110"/>
      <c r="C110"/>
      <c r="D110"/>
      <c r="E110"/>
      <c r="F110"/>
      <c r="G110"/>
    </row>
    <row r="111" spans="1:7">
      <c r="A111"/>
      <c r="B111"/>
      <c r="C111"/>
      <c r="D111"/>
      <c r="E111"/>
      <c r="F111"/>
      <c r="G111"/>
    </row>
    <row r="112" spans="1:7">
      <c r="A112"/>
      <c r="B112"/>
      <c r="C112"/>
      <c r="D112"/>
      <c r="E112"/>
      <c r="F112"/>
      <c r="G112"/>
    </row>
    <row r="113" spans="1:7">
      <c r="A113"/>
      <c r="B113"/>
      <c r="C113"/>
      <c r="D113"/>
      <c r="E113"/>
      <c r="F113"/>
      <c r="G113"/>
    </row>
    <row r="114" spans="1:7">
      <c r="A114"/>
      <c r="B114"/>
      <c r="C114"/>
      <c r="D114"/>
      <c r="E114"/>
      <c r="F114"/>
      <c r="G114"/>
    </row>
    <row r="115" spans="1:7">
      <c r="A115"/>
      <c r="B115"/>
      <c r="C115"/>
      <c r="D115"/>
      <c r="E115"/>
      <c r="F115"/>
      <c r="G115"/>
    </row>
    <row r="116" spans="1:7">
      <c r="A116"/>
      <c r="B116"/>
      <c r="C116"/>
      <c r="D116"/>
      <c r="E116"/>
      <c r="F116"/>
      <c r="G116"/>
    </row>
    <row r="117" spans="1:7">
      <c r="A117"/>
      <c r="B117"/>
      <c r="C117"/>
      <c r="D117"/>
      <c r="E117"/>
      <c r="F117"/>
      <c r="G117"/>
    </row>
    <row r="118" spans="1:7">
      <c r="A118"/>
      <c r="B118"/>
      <c r="C118"/>
      <c r="D118"/>
      <c r="E118"/>
      <c r="F118"/>
      <c r="G118"/>
    </row>
    <row r="119" spans="1:7">
      <c r="A119"/>
      <c r="B119"/>
      <c r="C119"/>
      <c r="D119"/>
      <c r="E119"/>
      <c r="F119"/>
      <c r="G119"/>
    </row>
    <row r="120" spans="1:7">
      <c r="A120"/>
      <c r="B120"/>
      <c r="C120"/>
      <c r="D120"/>
      <c r="E120"/>
      <c r="F120"/>
      <c r="G120"/>
    </row>
    <row r="121" spans="1:7">
      <c r="A121"/>
      <c r="B121"/>
      <c r="C121"/>
      <c r="D121"/>
      <c r="E121"/>
      <c r="F121"/>
      <c r="G121"/>
    </row>
    <row r="122" spans="1:7">
      <c r="A122"/>
      <c r="B122"/>
      <c r="C122"/>
      <c r="D122"/>
      <c r="E122"/>
      <c r="F122"/>
      <c r="G122"/>
    </row>
    <row r="123" spans="1:7">
      <c r="A123"/>
      <c r="B123"/>
      <c r="C123"/>
      <c r="D123"/>
      <c r="E123"/>
      <c r="F123"/>
      <c r="G123"/>
    </row>
    <row r="124" spans="1:7">
      <c r="A124"/>
      <c r="B124"/>
      <c r="C124"/>
      <c r="D124"/>
      <c r="E124"/>
      <c r="F124"/>
      <c r="G124"/>
    </row>
    <row r="125" spans="1:7">
      <c r="A125"/>
      <c r="B125"/>
      <c r="C125"/>
      <c r="D125"/>
      <c r="E125"/>
      <c r="F125"/>
      <c r="G125"/>
    </row>
    <row r="126" spans="1:7">
      <c r="A126"/>
      <c r="B126"/>
      <c r="C126"/>
      <c r="D126"/>
      <c r="E126"/>
      <c r="F126"/>
      <c r="G126"/>
    </row>
    <row r="127" spans="1:7">
      <c r="A127"/>
      <c r="B127"/>
      <c r="C127"/>
      <c r="D127"/>
      <c r="E127"/>
      <c r="F127"/>
      <c r="G127"/>
    </row>
    <row r="128" spans="1:7">
      <c r="A128"/>
      <c r="B128"/>
      <c r="C128"/>
      <c r="D128"/>
      <c r="E128"/>
      <c r="F128"/>
      <c r="G128"/>
    </row>
    <row r="129" spans="1:7">
      <c r="A129"/>
      <c r="B129"/>
      <c r="C129"/>
      <c r="D129"/>
      <c r="E129"/>
      <c r="F129"/>
      <c r="G129"/>
    </row>
    <row r="130" spans="1:7">
      <c r="A130"/>
      <c r="B130"/>
      <c r="C130"/>
      <c r="D130"/>
      <c r="E130"/>
      <c r="F130"/>
      <c r="G130"/>
    </row>
    <row r="131" spans="1:7">
      <c r="A131"/>
      <c r="B131"/>
      <c r="C131"/>
      <c r="D131"/>
      <c r="E131"/>
      <c r="F131"/>
      <c r="G131"/>
    </row>
    <row r="132" spans="1:7">
      <c r="A132"/>
      <c r="B132"/>
      <c r="C132"/>
      <c r="D132"/>
      <c r="E132"/>
      <c r="F132"/>
      <c r="G132"/>
    </row>
    <row r="133" spans="1:7">
      <c r="A133"/>
      <c r="B133"/>
      <c r="C133"/>
      <c r="D133"/>
      <c r="E133"/>
      <c r="F133"/>
      <c r="G133"/>
    </row>
    <row r="134" spans="1:7">
      <c r="A134"/>
      <c r="B134"/>
      <c r="C134"/>
      <c r="D134"/>
      <c r="E134"/>
      <c r="F134"/>
      <c r="G134"/>
    </row>
    <row r="135" spans="1:7">
      <c r="A135"/>
      <c r="B135"/>
      <c r="C135"/>
      <c r="D135"/>
      <c r="E135"/>
      <c r="F135"/>
      <c r="G135"/>
    </row>
    <row r="136" spans="1:7">
      <c r="A136"/>
      <c r="B136"/>
      <c r="C136"/>
      <c r="D136"/>
      <c r="E136"/>
      <c r="F136"/>
      <c r="G136"/>
    </row>
    <row r="137" spans="1:7">
      <c r="A137"/>
      <c r="B137"/>
      <c r="C137"/>
      <c r="D137"/>
      <c r="E137"/>
      <c r="F137"/>
      <c r="G137"/>
    </row>
    <row r="138" spans="1:7">
      <c r="A138"/>
      <c r="B138"/>
      <c r="C138"/>
      <c r="D138"/>
      <c r="E138"/>
      <c r="F138"/>
      <c r="G138"/>
    </row>
    <row r="139" spans="1:7">
      <c r="A139"/>
      <c r="B139"/>
      <c r="C139"/>
      <c r="D139"/>
      <c r="E139"/>
      <c r="F139"/>
      <c r="G139"/>
    </row>
    <row r="140" spans="1:7">
      <c r="A140"/>
      <c r="B140"/>
      <c r="C140"/>
      <c r="D140"/>
      <c r="E140"/>
      <c r="F140"/>
      <c r="G140"/>
    </row>
    <row r="141" spans="1:7">
      <c r="A141"/>
      <c r="B141"/>
      <c r="C141"/>
      <c r="D141"/>
      <c r="E141"/>
      <c r="F141"/>
      <c r="G141"/>
    </row>
    <row r="142" spans="1:7">
      <c r="A142"/>
      <c r="B142"/>
      <c r="C142"/>
      <c r="D142"/>
      <c r="E142"/>
      <c r="F142"/>
      <c r="G142"/>
    </row>
    <row r="143" spans="1:7">
      <c r="A143"/>
      <c r="B143"/>
      <c r="C143"/>
      <c r="D143"/>
      <c r="E143"/>
      <c r="F143"/>
      <c r="G143"/>
    </row>
    <row r="144" spans="1:7">
      <c r="A144"/>
      <c r="B144"/>
      <c r="C144"/>
      <c r="D144"/>
      <c r="E144"/>
      <c r="F144"/>
      <c r="G144"/>
    </row>
    <row r="145" spans="1:7">
      <c r="A145"/>
      <c r="B145"/>
      <c r="C145"/>
      <c r="D145"/>
      <c r="E145"/>
      <c r="F145"/>
      <c r="G145"/>
    </row>
    <row r="146" spans="1:7">
      <c r="A146"/>
      <c r="B146"/>
      <c r="C146"/>
      <c r="D146"/>
      <c r="E146"/>
      <c r="F146"/>
      <c r="G146"/>
    </row>
    <row r="147" spans="1:7">
      <c r="A147"/>
      <c r="B147"/>
      <c r="C147"/>
      <c r="D147"/>
      <c r="E147"/>
      <c r="F147"/>
      <c r="G147"/>
    </row>
    <row r="148" spans="1:7">
      <c r="A148"/>
      <c r="B148"/>
      <c r="C148"/>
      <c r="D148"/>
      <c r="E148"/>
      <c r="F148"/>
      <c r="G148"/>
    </row>
    <row r="149" spans="1:7">
      <c r="A149"/>
      <c r="B149"/>
      <c r="C149"/>
      <c r="D149"/>
      <c r="E149"/>
      <c r="F149"/>
      <c r="G149"/>
    </row>
    <row r="150" spans="1:7">
      <c r="A150"/>
      <c r="B150"/>
      <c r="C150"/>
      <c r="D150"/>
      <c r="E150"/>
      <c r="F150"/>
      <c r="G150"/>
    </row>
    <row r="151" spans="1:7">
      <c r="A151"/>
      <c r="B151"/>
      <c r="C151"/>
      <c r="D151"/>
      <c r="E151"/>
      <c r="F151"/>
      <c r="G151"/>
    </row>
    <row r="152" spans="1:7">
      <c r="A152"/>
      <c r="B152"/>
      <c r="C152"/>
      <c r="D152"/>
      <c r="E152"/>
      <c r="F152"/>
      <c r="G152"/>
    </row>
    <row r="153" spans="1:7">
      <c r="A153"/>
      <c r="B153"/>
      <c r="C153"/>
      <c r="D153"/>
      <c r="E153"/>
      <c r="F153"/>
      <c r="G153"/>
    </row>
    <row r="154" spans="1:7">
      <c r="A154"/>
      <c r="B154"/>
      <c r="C154"/>
      <c r="D154"/>
      <c r="E154"/>
      <c r="F154"/>
      <c r="G154"/>
    </row>
    <row r="155" spans="1:7">
      <c r="A155"/>
      <c r="B155"/>
      <c r="C155"/>
      <c r="D155"/>
      <c r="E155"/>
      <c r="F155"/>
      <c r="G155"/>
    </row>
    <row r="156" spans="1:7">
      <c r="A156"/>
      <c r="B156"/>
      <c r="C156"/>
      <c r="D156"/>
      <c r="E156"/>
      <c r="F156"/>
      <c r="G156"/>
    </row>
    <row r="157" spans="1:7" hidden="1">
      <c r="A157"/>
      <c r="B157"/>
      <c r="C157"/>
      <c r="D157"/>
      <c r="E157"/>
      <c r="F157"/>
      <c r="G157"/>
    </row>
    <row r="158" spans="1:7">
      <c r="A158"/>
      <c r="B158"/>
      <c r="C158"/>
      <c r="D158"/>
      <c r="E158"/>
      <c r="F158"/>
      <c r="G158"/>
    </row>
    <row r="159" spans="1:7">
      <c r="A159"/>
      <c r="B159"/>
      <c r="C159"/>
      <c r="D159"/>
      <c r="E159"/>
      <c r="F159"/>
      <c r="G159"/>
    </row>
    <row r="160" spans="1:7">
      <c r="A160"/>
      <c r="B160"/>
      <c r="C160"/>
      <c r="D160"/>
      <c r="E160"/>
      <c r="F160"/>
      <c r="G160"/>
    </row>
    <row r="161" spans="1:7">
      <c r="A161"/>
      <c r="B161"/>
      <c r="C161"/>
      <c r="D161"/>
      <c r="E161"/>
      <c r="F161"/>
      <c r="G161"/>
    </row>
    <row r="162" spans="1:7">
      <c r="A162"/>
      <c r="B162"/>
      <c r="C162"/>
      <c r="D162"/>
      <c r="E162"/>
      <c r="F162"/>
      <c r="G162"/>
    </row>
    <row r="163" spans="1:7">
      <c r="A163"/>
      <c r="B163"/>
      <c r="C163"/>
      <c r="D163"/>
      <c r="E163"/>
      <c r="F163"/>
      <c r="G163"/>
    </row>
    <row r="164" spans="1:7">
      <c r="A164"/>
      <c r="B164"/>
      <c r="C164"/>
      <c r="D164"/>
      <c r="E164"/>
      <c r="F164"/>
      <c r="G164"/>
    </row>
    <row r="165" spans="1:7">
      <c r="A165"/>
      <c r="B165"/>
      <c r="C165"/>
      <c r="D165"/>
      <c r="E165"/>
      <c r="F165"/>
      <c r="G165"/>
    </row>
    <row r="166" spans="1:7">
      <c r="A166"/>
      <c r="B166"/>
      <c r="C166"/>
      <c r="D166"/>
      <c r="E166"/>
      <c r="F166"/>
      <c r="G166"/>
    </row>
    <row r="167" spans="1:7">
      <c r="A167"/>
      <c r="B167"/>
      <c r="C167"/>
      <c r="D167"/>
      <c r="E167"/>
      <c r="F167"/>
      <c r="G167"/>
    </row>
    <row r="168" spans="1:7">
      <c r="A168"/>
      <c r="B168"/>
      <c r="C168"/>
      <c r="D168"/>
      <c r="E168"/>
      <c r="F168"/>
      <c r="G168"/>
    </row>
    <row r="169" spans="1:7">
      <c r="A169"/>
      <c r="B169"/>
      <c r="C169"/>
      <c r="D169"/>
      <c r="E169"/>
      <c r="F169"/>
      <c r="G169"/>
    </row>
    <row r="170" spans="1:7">
      <c r="A170"/>
      <c r="B170"/>
      <c r="C170"/>
      <c r="D170"/>
      <c r="E170"/>
      <c r="F170"/>
      <c r="G170"/>
    </row>
    <row r="171" spans="1:7">
      <c r="A171"/>
      <c r="B171"/>
      <c r="C171"/>
      <c r="D171"/>
      <c r="E171"/>
      <c r="F171"/>
      <c r="G171"/>
    </row>
    <row r="172" spans="1:7">
      <c r="A172"/>
      <c r="B172"/>
      <c r="C172"/>
      <c r="D172"/>
      <c r="E172"/>
      <c r="F172"/>
      <c r="G172"/>
    </row>
    <row r="173" spans="1:7">
      <c r="A173"/>
      <c r="B173"/>
      <c r="C173"/>
      <c r="D173"/>
      <c r="E173"/>
      <c r="F173"/>
      <c r="G173"/>
    </row>
    <row r="174" spans="1:7">
      <c r="A174"/>
      <c r="B174"/>
      <c r="C174"/>
      <c r="D174"/>
      <c r="E174"/>
      <c r="F174"/>
      <c r="G174"/>
    </row>
    <row r="175" spans="1:7">
      <c r="A175"/>
      <c r="B175"/>
      <c r="C175"/>
      <c r="D175"/>
      <c r="E175"/>
      <c r="F175"/>
      <c r="G175"/>
    </row>
    <row r="176" spans="1:7">
      <c r="A176"/>
      <c r="B176"/>
      <c r="C176"/>
      <c r="D176"/>
      <c r="E176"/>
      <c r="F176"/>
      <c r="G176"/>
    </row>
    <row r="177" spans="1:7">
      <c r="A177"/>
      <c r="B177"/>
      <c r="C177"/>
      <c r="D177"/>
      <c r="E177"/>
      <c r="F177"/>
      <c r="G177"/>
    </row>
    <row r="178" spans="1:7">
      <c r="A178"/>
      <c r="B178"/>
      <c r="C178"/>
      <c r="D178"/>
      <c r="E178"/>
      <c r="F178"/>
      <c r="G178"/>
    </row>
    <row r="179" spans="1:7">
      <c r="A179"/>
      <c r="B179"/>
      <c r="C179"/>
      <c r="D179"/>
      <c r="E179"/>
      <c r="F179"/>
      <c r="G179"/>
    </row>
    <row r="180" spans="1:7">
      <c r="A180"/>
      <c r="B180"/>
      <c r="C180"/>
      <c r="D180"/>
      <c r="E180"/>
      <c r="F180"/>
      <c r="G180"/>
    </row>
    <row r="181" spans="1:7">
      <c r="A181"/>
      <c r="B181"/>
      <c r="C181"/>
      <c r="D181"/>
      <c r="E181"/>
      <c r="F181"/>
      <c r="G181"/>
    </row>
    <row r="182" spans="1:7">
      <c r="A182"/>
      <c r="B182"/>
      <c r="C182"/>
      <c r="D182"/>
      <c r="E182"/>
      <c r="F182"/>
      <c r="G182"/>
    </row>
    <row r="183" spans="1:7">
      <c r="A183"/>
      <c r="B183"/>
      <c r="C183"/>
      <c r="D183"/>
      <c r="E183"/>
      <c r="F183"/>
      <c r="G183"/>
    </row>
    <row r="184" spans="1:7">
      <c r="A184"/>
      <c r="B184"/>
      <c r="C184"/>
      <c r="D184"/>
      <c r="E184"/>
      <c r="F184"/>
      <c r="G184"/>
    </row>
    <row r="185" spans="1:7">
      <c r="A185"/>
      <c r="B185"/>
      <c r="C185"/>
      <c r="D185"/>
      <c r="E185"/>
      <c r="F185"/>
      <c r="G185"/>
    </row>
    <row r="186" spans="1:7">
      <c r="A186"/>
      <c r="B186"/>
      <c r="C186"/>
      <c r="D186"/>
      <c r="E186"/>
      <c r="F186"/>
      <c r="G186"/>
    </row>
    <row r="187" spans="1:7">
      <c r="A187"/>
      <c r="B187"/>
      <c r="C187"/>
      <c r="D187"/>
      <c r="E187"/>
      <c r="F187"/>
      <c r="G187"/>
    </row>
    <row r="188" spans="1:7">
      <c r="A188"/>
      <c r="B188"/>
      <c r="C188"/>
      <c r="D188"/>
      <c r="E188"/>
      <c r="F188"/>
      <c r="G188"/>
    </row>
    <row r="189" spans="1:7">
      <c r="A189"/>
      <c r="B189"/>
      <c r="C189"/>
      <c r="D189"/>
      <c r="E189"/>
      <c r="F189"/>
      <c r="G189"/>
    </row>
    <row r="190" spans="1:7">
      <c r="A190"/>
      <c r="B190"/>
      <c r="C190"/>
      <c r="D190"/>
      <c r="E190"/>
      <c r="F190"/>
      <c r="G190"/>
    </row>
    <row r="191" spans="1:7">
      <c r="A191"/>
      <c r="B191"/>
      <c r="C191"/>
      <c r="D191"/>
      <c r="E191"/>
      <c r="F191"/>
      <c r="G191"/>
    </row>
    <row r="192" spans="1:7">
      <c r="A192"/>
      <c r="B192"/>
      <c r="C192"/>
      <c r="D192"/>
      <c r="E192"/>
      <c r="F192"/>
      <c r="G192"/>
    </row>
    <row r="193" spans="1:7">
      <c r="A193"/>
      <c r="B193"/>
      <c r="C193"/>
      <c r="D193"/>
      <c r="E193"/>
      <c r="F193"/>
      <c r="G193"/>
    </row>
  </sheetData>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AD153"/>
  <sheetViews>
    <sheetView showGridLines="0" tabSelected="1" view="pageBreakPreview" topLeftCell="B1" zoomScale="93" zoomScaleNormal="60" zoomScaleSheetLayoutView="93" zoomScalePageLayoutView="80" workbookViewId="0">
      <selection activeCell="W23" sqref="W23"/>
    </sheetView>
  </sheetViews>
  <sheetFormatPr defaultColWidth="9" defaultRowHeight="12.75"/>
  <cols>
    <col min="1" max="1" width="1.375" style="17" customWidth="1"/>
    <col min="2" max="2" width="11.375" style="17" customWidth="1"/>
    <col min="3" max="3" width="24.5" style="17" customWidth="1"/>
    <col min="4" max="4" width="14.375" style="17" customWidth="1"/>
    <col min="5" max="5" width="13" style="17" customWidth="1"/>
    <col min="6" max="6" width="13.75" style="17" customWidth="1"/>
    <col min="7" max="7" width="12.875" style="17" customWidth="1"/>
    <col min="8" max="8" width="3.5" style="17" customWidth="1"/>
    <col min="9" max="10" width="9" style="17"/>
    <col min="11" max="11" width="8" style="17" customWidth="1"/>
    <col min="12" max="12" width="18" style="17" customWidth="1"/>
    <col min="13" max="13" width="8" style="17" customWidth="1"/>
    <col min="14" max="14" width="14.875" style="17" customWidth="1"/>
    <col min="15" max="15" width="10.75" style="17" customWidth="1"/>
    <col min="16" max="16" width="8" style="17" customWidth="1"/>
    <col min="17" max="18" width="9" style="17"/>
    <col min="19" max="19" width="12" style="17" customWidth="1"/>
    <col min="20" max="20" width="1" style="17" customWidth="1"/>
    <col min="21" max="21" width="2.375" style="17" customWidth="1"/>
    <col min="22" max="22" width="8.125" style="17" customWidth="1"/>
    <col min="23" max="23" width="30.875" style="17" customWidth="1"/>
    <col min="24" max="24" width="8.125" style="17" customWidth="1"/>
    <col min="25" max="25" width="3.875" style="17" customWidth="1"/>
    <col min="26" max="26" width="16.125" style="17" bestFit="1" customWidth="1"/>
    <col min="27" max="27" width="9" style="17"/>
    <col min="28" max="28" width="21.75" style="17" bestFit="1" customWidth="1"/>
    <col min="29" max="29" width="13.25" style="17" customWidth="1"/>
    <col min="30" max="16384" width="9" style="17"/>
  </cols>
  <sheetData>
    <row r="1" spans="1:30" ht="45.75" customHeight="1">
      <c r="A1" s="504"/>
      <c r="B1" s="1016" t="s">
        <v>3234</v>
      </c>
      <c r="C1" s="1016"/>
      <c r="D1" s="1016"/>
      <c r="E1" s="1016"/>
      <c r="F1" s="1016"/>
      <c r="G1" s="1016"/>
      <c r="H1" s="1016"/>
      <c r="I1" s="1016"/>
      <c r="J1" s="1016"/>
      <c r="K1" s="1016"/>
      <c r="L1" s="1016"/>
      <c r="M1" s="1016"/>
      <c r="N1" s="1016"/>
      <c r="O1" s="1016"/>
      <c r="P1" s="1016"/>
      <c r="Q1" s="1016"/>
      <c r="R1" s="1016"/>
      <c r="S1" s="1016"/>
      <c r="T1" s="1016"/>
      <c r="U1" s="1016"/>
      <c r="V1" s="180"/>
      <c r="W1" s="180"/>
      <c r="X1" s="180"/>
      <c r="Y1" s="180"/>
      <c r="Z1" s="180"/>
      <c r="AA1" s="180"/>
      <c r="AB1" s="180"/>
      <c r="AC1" s="180"/>
    </row>
    <row r="8" spans="1:30">
      <c r="AD8" s="17" t="s">
        <v>1944</v>
      </c>
    </row>
    <row r="41" ht="15" customHeight="1"/>
    <row r="43" ht="18" customHeight="1"/>
    <row r="44" ht="24.75" customHeight="1"/>
    <row r="50" spans="2:26" ht="15.75">
      <c r="V50"/>
    </row>
    <row r="51" spans="2:26" ht="15.75">
      <c r="V51" s="530"/>
      <c r="W51" s="530"/>
    </row>
    <row r="52" spans="2:26" ht="15.75">
      <c r="V52" s="530"/>
      <c r="W52" s="530"/>
    </row>
    <row r="53" spans="2:26" ht="15.75">
      <c r="V53" s="530"/>
      <c r="W53" s="530"/>
    </row>
    <row r="54" spans="2:26" ht="15.75">
      <c r="V54" s="530"/>
      <c r="W54" s="530"/>
    </row>
    <row r="57" spans="2:26" ht="15.75">
      <c r="X57"/>
      <c r="Y57"/>
    </row>
    <row r="58" spans="2:26" ht="21.75" customHeight="1">
      <c r="B58" s="806"/>
      <c r="C58" s="806"/>
      <c r="D58" s="806"/>
      <c r="E58" s="806"/>
      <c r="F58" s="806"/>
      <c r="G58" s="806"/>
      <c r="V58" s="190"/>
      <c r="W58"/>
      <c r="X58"/>
      <c r="Y58"/>
      <c r="Z58"/>
    </row>
    <row r="59" spans="2:26" ht="15.75">
      <c r="V59" s="190"/>
      <c r="W59" s="414"/>
      <c r="X59" s="414"/>
      <c r="Y59" s="414"/>
      <c r="Z59"/>
    </row>
    <row r="60" spans="2:26" ht="15.75">
      <c r="V60" s="530"/>
      <c r="W60" s="530"/>
      <c r="Y60" s="414"/>
      <c r="Z60"/>
    </row>
    <row r="61" spans="2:26" ht="15.75">
      <c r="N61" s="95"/>
      <c r="O61" s="95"/>
      <c r="P61" s="95"/>
      <c r="Q61" s="95"/>
      <c r="R61" s="95"/>
      <c r="S61" s="95"/>
      <c r="T61" s="95"/>
      <c r="U61" s="95"/>
      <c r="V61" s="530"/>
      <c r="W61" s="530"/>
      <c r="Y61" s="414"/>
      <c r="Z61"/>
    </row>
    <row r="62" spans="2:26" ht="45">
      <c r="B62" s="807" t="s">
        <v>2125</v>
      </c>
      <c r="C62" s="808" t="s">
        <v>1918</v>
      </c>
      <c r="D62" s="809" t="s">
        <v>1896</v>
      </c>
      <c r="E62" s="809" t="s">
        <v>1919</v>
      </c>
      <c r="F62" s="809" t="s">
        <v>1920</v>
      </c>
      <c r="G62" s="810" t="s">
        <v>1921</v>
      </c>
      <c r="N62" s="95"/>
      <c r="O62" s="95"/>
      <c r="P62" s="95"/>
      <c r="Q62" s="95"/>
      <c r="R62" s="95"/>
      <c r="S62" s="95"/>
      <c r="T62" s="95"/>
      <c r="U62" s="95"/>
      <c r="V62" s="530"/>
      <c r="W62" s="530"/>
      <c r="Y62" s="414"/>
      <c r="Z62"/>
    </row>
    <row r="63" spans="2:26" ht="15.75">
      <c r="B63" s="792" t="s">
        <v>361</v>
      </c>
      <c r="C63" s="793" t="s">
        <v>2294</v>
      </c>
      <c r="D63" s="794">
        <v>974</v>
      </c>
      <c r="E63" s="795">
        <v>0</v>
      </c>
      <c r="F63" s="795">
        <v>0</v>
      </c>
      <c r="G63" s="795">
        <v>0</v>
      </c>
      <c r="N63" s="95"/>
      <c r="O63" s="95"/>
      <c r="P63" s="95"/>
      <c r="Q63" s="95"/>
      <c r="R63" s="95"/>
      <c r="S63" s="95"/>
      <c r="T63" s="95"/>
      <c r="U63" s="95"/>
      <c r="V63" s="530"/>
      <c r="W63" s="530"/>
      <c r="Y63" s="414"/>
      <c r="Z63"/>
    </row>
    <row r="64" spans="2:26" ht="23.25" customHeight="1">
      <c r="B64" s="792" t="s">
        <v>403</v>
      </c>
      <c r="C64" s="793" t="s">
        <v>402</v>
      </c>
      <c r="D64" s="794">
        <v>2920</v>
      </c>
      <c r="E64" s="795">
        <v>0</v>
      </c>
      <c r="F64" s="795">
        <v>0</v>
      </c>
      <c r="G64" s="796">
        <v>0</v>
      </c>
      <c r="N64" s="95"/>
      <c r="O64" s="95"/>
      <c r="P64" s="95"/>
      <c r="Q64" s="95"/>
      <c r="R64" s="95"/>
      <c r="S64" s="95"/>
      <c r="T64" s="95"/>
      <c r="U64" s="95"/>
      <c r="V64" s="530"/>
      <c r="W64" s="530"/>
      <c r="Y64" s="414"/>
      <c r="Z64"/>
    </row>
    <row r="65" spans="2:26" ht="15.75">
      <c r="B65" s="792" t="s">
        <v>406</v>
      </c>
      <c r="C65" s="793" t="s">
        <v>2772</v>
      </c>
      <c r="D65" s="794">
        <v>23025</v>
      </c>
      <c r="E65" s="795">
        <v>0</v>
      </c>
      <c r="F65" s="795">
        <v>0.24338762214983711</v>
      </c>
      <c r="G65" s="795">
        <v>0</v>
      </c>
      <c r="V65" s="530"/>
      <c r="W65" s="530"/>
      <c r="Y65" s="414"/>
      <c r="Z65"/>
    </row>
    <row r="66" spans="2:26" ht="16.5" thickBot="1">
      <c r="B66" s="797" t="s">
        <v>299</v>
      </c>
      <c r="C66" s="798" t="s">
        <v>3218</v>
      </c>
      <c r="D66" s="799">
        <v>92236</v>
      </c>
      <c r="E66" s="940">
        <v>1.2359599288781498E-3</v>
      </c>
      <c r="F66" s="800">
        <v>0.16860011275423914</v>
      </c>
      <c r="G66" s="801">
        <v>7.7995576564465097E-2</v>
      </c>
      <c r="V66" s="530"/>
      <c r="W66" s="530"/>
      <c r="Y66" s="414"/>
      <c r="Z66"/>
    </row>
    <row r="67" spans="2:26" ht="26.25" customHeight="1" thickTop="1">
      <c r="B67" s="802" t="s">
        <v>1897</v>
      </c>
      <c r="C67" s="803" t="s">
        <v>1927</v>
      </c>
      <c r="D67" s="804">
        <f>SUBTOTAL(109,D63:D66)</f>
        <v>119155</v>
      </c>
      <c r="E67" s="941">
        <v>9.567370232050898E-4</v>
      </c>
      <c r="F67" s="805">
        <v>0.17754185724476523</v>
      </c>
      <c r="G67" s="805">
        <v>6.0375141622256767E-2</v>
      </c>
      <c r="V67" s="530"/>
      <c r="W67" s="530"/>
      <c r="X67" s="414"/>
      <c r="Y67" s="414"/>
      <c r="Z67"/>
    </row>
    <row r="68" spans="2:26" ht="26.25" customHeight="1">
      <c r="V68" s="530"/>
      <c r="W68" s="530"/>
      <c r="X68" s="414"/>
      <c r="Y68" s="414"/>
      <c r="Z68"/>
    </row>
    <row r="69" spans="2:26" ht="15.75">
      <c r="V69" s="530"/>
      <c r="W69" s="530"/>
      <c r="X69" s="414"/>
      <c r="Y69" s="414"/>
      <c r="Z69"/>
    </row>
    <row r="70" spans="2:26" ht="15.75">
      <c r="V70" s="530"/>
      <c r="W70" s="530"/>
      <c r="X70" s="414"/>
      <c r="Y70" s="414"/>
      <c r="Z70"/>
    </row>
    <row r="71" spans="2:26" ht="15.75">
      <c r="W71" s="414"/>
      <c r="X71" s="414"/>
      <c r="Y71" s="414"/>
      <c r="Z71"/>
    </row>
    <row r="72" spans="2:26" ht="15.75">
      <c r="W72" s="414"/>
      <c r="X72" s="414"/>
      <c r="Y72" s="414"/>
      <c r="Z72"/>
    </row>
    <row r="73" spans="2:26" ht="15.75">
      <c r="V73" s="414"/>
      <c r="W73" s="414"/>
      <c r="X73" s="414"/>
      <c r="Y73" s="414"/>
      <c r="Z73" s="414"/>
    </row>
    <row r="74" spans="2:26" ht="15.75">
      <c r="V74" s="414"/>
      <c r="W74" s="414"/>
      <c r="X74" s="414"/>
      <c r="Y74" s="414"/>
      <c r="Z74" s="414"/>
    </row>
    <row r="75" spans="2:26" ht="15.75">
      <c r="V75" s="414"/>
      <c r="W75" s="414"/>
      <c r="X75" s="414"/>
      <c r="Y75" s="414"/>
      <c r="Z75" s="414"/>
    </row>
    <row r="76" spans="2:26" ht="15.75">
      <c r="V76" s="414"/>
      <c r="W76" s="414"/>
      <c r="X76" s="414"/>
      <c r="Y76" s="414"/>
      <c r="Z76" s="414"/>
    </row>
    <row r="77" spans="2:26" ht="15.75">
      <c r="V77" s="414"/>
      <c r="W77" s="414"/>
      <c r="X77" s="414"/>
      <c r="Y77" s="414"/>
      <c r="Z77" s="414"/>
    </row>
    <row r="78" spans="2:26" ht="15.75">
      <c r="V78" s="414"/>
      <c r="W78" s="414"/>
      <c r="X78" s="414"/>
      <c r="Y78" s="414"/>
      <c r="Z78" s="414"/>
    </row>
    <row r="79" spans="2:26" ht="15.75">
      <c r="V79" s="414"/>
      <c r="W79" s="414"/>
      <c r="X79" s="414"/>
      <c r="Y79" s="414"/>
      <c r="Z79" s="414"/>
    </row>
    <row r="80" spans="2:26" ht="15.75">
      <c r="V80" s="414"/>
      <c r="W80" s="414"/>
      <c r="X80" s="414"/>
      <c r="Y80" s="414"/>
      <c r="Z80" s="414"/>
    </row>
    <row r="81" spans="22:26" ht="15.75">
      <c r="V81" s="414"/>
      <c r="W81" s="414"/>
      <c r="X81" s="414"/>
      <c r="Y81" s="414"/>
      <c r="Z81" s="414"/>
    </row>
    <row r="82" spans="22:26" ht="15.75">
      <c r="V82" s="414"/>
      <c r="W82" s="414"/>
      <c r="X82" s="414"/>
      <c r="Y82" s="414"/>
      <c r="Z82" s="414"/>
    </row>
    <row r="83" spans="22:26" ht="15.75">
      <c r="V83" s="414"/>
      <c r="W83" s="414"/>
      <c r="X83" s="414"/>
      <c r="Y83" s="414"/>
      <c r="Z83" s="414"/>
    </row>
    <row r="84" spans="22:26" ht="15.75">
      <c r="V84" s="414"/>
      <c r="W84" s="414"/>
      <c r="X84" s="414"/>
      <c r="Y84" s="414"/>
      <c r="Z84" s="414"/>
    </row>
    <row r="85" spans="22:26" ht="15.75">
      <c r="V85" s="414"/>
      <c r="W85" s="414"/>
      <c r="X85" s="414"/>
      <c r="Y85" s="414"/>
      <c r="Z85" s="414"/>
    </row>
    <row r="86" spans="22:26" ht="15.75">
      <c r="V86" s="414"/>
      <c r="W86" s="414"/>
      <c r="X86" s="414"/>
      <c r="Y86" s="414"/>
      <c r="Z86" s="414"/>
    </row>
    <row r="87" spans="22:26" ht="15.75">
      <c r="V87" s="414"/>
      <c r="W87" s="414"/>
      <c r="X87" s="414"/>
      <c r="Y87" s="414"/>
      <c r="Z87" s="414"/>
    </row>
    <row r="88" spans="22:26" ht="15.75">
      <c r="V88" s="414"/>
      <c r="W88" s="414"/>
      <c r="X88" s="414"/>
      <c r="Y88" s="414"/>
      <c r="Z88" s="414"/>
    </row>
    <row r="89" spans="22:26" ht="15.75">
      <c r="V89" s="414"/>
      <c r="W89" s="414"/>
      <c r="X89" s="414"/>
      <c r="Y89" s="414"/>
      <c r="Z89" s="414"/>
    </row>
    <row r="90" spans="22:26" ht="15.75">
      <c r="V90" s="414"/>
      <c r="W90" s="414"/>
      <c r="X90" s="414"/>
      <c r="Y90" s="414"/>
      <c r="Z90" s="414"/>
    </row>
    <row r="91" spans="22:26" ht="15.75">
      <c r="V91" s="414"/>
      <c r="W91" s="414"/>
      <c r="X91" s="414"/>
      <c r="Y91" s="414"/>
      <c r="Z91" s="414"/>
    </row>
    <row r="92" spans="22:26" ht="15.75">
      <c r="V92" s="414"/>
      <c r="W92" s="414"/>
      <c r="X92" s="414"/>
      <c r="Y92" s="414"/>
      <c r="Z92" s="414"/>
    </row>
    <row r="93" spans="22:26" ht="15.75">
      <c r="V93" s="414"/>
      <c r="W93" s="414"/>
      <c r="X93" s="414"/>
      <c r="Y93" s="414"/>
      <c r="Z93" s="414"/>
    </row>
    <row r="94" spans="22:26" ht="15.75">
      <c r="V94" s="414"/>
      <c r="W94" s="414"/>
      <c r="X94" s="414"/>
      <c r="Y94" s="414"/>
      <c r="Z94" s="414"/>
    </row>
    <row r="95" spans="22:26" ht="15.75">
      <c r="V95" s="414"/>
      <c r="W95" s="414"/>
      <c r="X95" s="414"/>
      <c r="Y95" s="414"/>
      <c r="Z95" s="414"/>
    </row>
    <row r="96" spans="22:26" ht="15.75">
      <c r="V96" s="414"/>
      <c r="W96" s="414"/>
      <c r="X96" s="414"/>
      <c r="Y96" s="414"/>
      <c r="Z96" s="414"/>
    </row>
    <row r="97" spans="2:26" ht="15.75">
      <c r="V97" s="414"/>
      <c r="W97" s="414"/>
      <c r="X97" s="414"/>
      <c r="Y97" s="414"/>
      <c r="Z97" s="414"/>
    </row>
    <row r="98" spans="2:26" ht="15.75">
      <c r="V98" s="414"/>
      <c r="W98" s="414"/>
      <c r="X98" s="414"/>
      <c r="Y98" s="414"/>
      <c r="Z98" s="414"/>
    </row>
    <row r="99" spans="2:26" s="835" customFormat="1" ht="15.75">
      <c r="V99" s="833"/>
      <c r="W99" s="833"/>
      <c r="X99" s="833"/>
      <c r="Y99" s="833"/>
      <c r="Z99" s="833"/>
    </row>
    <row r="100" spans="2:26" ht="60">
      <c r="B100" s="836" t="s">
        <v>22</v>
      </c>
      <c r="C100" s="837" t="s">
        <v>3180</v>
      </c>
      <c r="D100" s="838" t="s">
        <v>3171</v>
      </c>
      <c r="E100" s="838" t="s">
        <v>3172</v>
      </c>
      <c r="F100" s="839" t="s">
        <v>3173</v>
      </c>
      <c r="G100" s="839" t="s">
        <v>3178</v>
      </c>
      <c r="V100" s="414"/>
      <c r="W100" s="414"/>
      <c r="X100" s="414"/>
      <c r="Y100" s="414"/>
      <c r="Z100" s="414"/>
    </row>
    <row r="101" spans="2:26" ht="15.75">
      <c r="B101" s="862" t="s">
        <v>306</v>
      </c>
      <c r="C101" s="864"/>
      <c r="D101" s="865"/>
      <c r="E101" s="864"/>
      <c r="F101" s="866"/>
      <c r="G101" s="870"/>
      <c r="V101" s="530"/>
      <c r="W101" s="530"/>
      <c r="X101" s="530"/>
      <c r="Y101" s="530"/>
      <c r="Z101" s="530"/>
    </row>
    <row r="102" spans="2:26" ht="15.75">
      <c r="B102" s="862" t="s">
        <v>403</v>
      </c>
      <c r="C102" s="867"/>
      <c r="D102" s="868"/>
      <c r="E102" s="867"/>
      <c r="F102" s="869"/>
      <c r="G102" s="871"/>
      <c r="V102" s="414"/>
      <c r="W102" s="414"/>
      <c r="X102" s="414"/>
      <c r="Y102" s="414"/>
      <c r="Z102" s="414"/>
    </row>
    <row r="103" spans="2:26" ht="15.75">
      <c r="B103" s="862" t="s">
        <v>406</v>
      </c>
      <c r="C103" s="867"/>
      <c r="D103" s="868"/>
      <c r="E103" s="867"/>
      <c r="F103" s="869"/>
      <c r="G103" s="871"/>
      <c r="V103" s="414"/>
      <c r="W103" s="414"/>
      <c r="X103" s="414"/>
      <c r="Y103" s="414"/>
      <c r="Z103" s="414"/>
    </row>
    <row r="104" spans="2:26" ht="15.75">
      <c r="B104" s="862" t="s">
        <v>299</v>
      </c>
      <c r="C104" s="867"/>
      <c r="D104" s="868"/>
      <c r="E104" s="867"/>
      <c r="F104" s="869"/>
      <c r="G104" s="871"/>
      <c r="V104" s="414"/>
      <c r="W104" s="414"/>
      <c r="X104" s="414"/>
      <c r="Y104" s="414"/>
      <c r="Z104" s="414"/>
    </row>
    <row r="105" spans="2:26" ht="15.75">
      <c r="B105" s="842" t="s">
        <v>1897</v>
      </c>
      <c r="C105" s="840"/>
      <c r="D105" s="863"/>
      <c r="E105" s="840"/>
      <c r="F105" s="841"/>
      <c r="G105" s="872"/>
      <c r="V105" s="530"/>
      <c r="W105" s="530"/>
      <c r="X105" s="530"/>
      <c r="Y105" s="530"/>
      <c r="Z105" s="530"/>
    </row>
    <row r="106" spans="2:26" ht="15.75">
      <c r="V106" s="414"/>
      <c r="W106" s="414"/>
      <c r="X106" s="414"/>
      <c r="Y106" s="414"/>
      <c r="Z106" s="414"/>
    </row>
    <row r="107" spans="2:26" ht="15.75">
      <c r="V107" s="414"/>
      <c r="W107" s="414"/>
      <c r="X107" s="414"/>
      <c r="Y107" s="414"/>
      <c r="Z107" s="414"/>
    </row>
    <row r="108" spans="2:26" ht="15.75">
      <c r="V108" s="414"/>
      <c r="W108" s="414"/>
      <c r="X108" s="414"/>
      <c r="Y108" s="414"/>
      <c r="Z108" s="414"/>
    </row>
    <row r="109" spans="2:26" ht="15.75">
      <c r="V109" s="414"/>
      <c r="W109" s="414"/>
      <c r="X109" s="414"/>
      <c r="Y109" s="414"/>
      <c r="Z109" s="414"/>
    </row>
    <row r="110" spans="2:26" ht="15.75">
      <c r="V110" s="414"/>
      <c r="W110" s="414"/>
      <c r="X110" s="414"/>
      <c r="Y110" s="414"/>
      <c r="Z110" s="414"/>
    </row>
    <row r="111" spans="2:26" ht="15.75">
      <c r="V111" s="414"/>
      <c r="W111" s="414"/>
      <c r="X111" s="414"/>
      <c r="Y111" s="414"/>
      <c r="Z111" s="414"/>
    </row>
    <row r="112" spans="2:26" ht="15.75">
      <c r="V112" s="414"/>
      <c r="W112" s="414"/>
      <c r="X112" s="414"/>
      <c r="Y112" s="414"/>
      <c r="Z112" s="414"/>
    </row>
    <row r="113" spans="22:26" ht="15.75">
      <c r="V113" s="414"/>
      <c r="W113" s="414"/>
      <c r="X113" s="414"/>
      <c r="Y113" s="414"/>
      <c r="Z113" s="414"/>
    </row>
    <row r="114" spans="22:26" ht="15.75">
      <c r="V114" s="414"/>
      <c r="W114" s="414"/>
      <c r="X114" s="414"/>
      <c r="Y114" s="414"/>
      <c r="Z114" s="414"/>
    </row>
    <row r="115" spans="22:26" ht="15.75">
      <c r="V115" s="414"/>
      <c r="W115" s="414"/>
      <c r="X115" s="414"/>
      <c r="Y115" s="414"/>
      <c r="Z115" s="414"/>
    </row>
    <row r="116" spans="22:26" ht="15.75">
      <c r="V116" s="414"/>
      <c r="W116" s="414"/>
      <c r="X116" s="414"/>
      <c r="Y116" s="414"/>
      <c r="Z116" s="414"/>
    </row>
    <row r="117" spans="22:26" ht="15.75">
      <c r="V117" s="414"/>
      <c r="W117" s="414"/>
      <c r="X117" s="414"/>
      <c r="Y117" s="414"/>
      <c r="Z117" s="414"/>
    </row>
    <row r="118" spans="22:26" ht="15.75">
      <c r="V118" s="414"/>
      <c r="W118" s="414"/>
      <c r="X118" s="414"/>
      <c r="Y118" s="414"/>
      <c r="Z118" s="414"/>
    </row>
    <row r="119" spans="22:26" ht="15.75">
      <c r="V119" s="414"/>
      <c r="W119" s="414"/>
      <c r="X119" s="414"/>
      <c r="Y119" s="414"/>
      <c r="Z119" s="414"/>
    </row>
    <row r="120" spans="22:26" ht="15.75">
      <c r="X120"/>
      <c r="Y120"/>
    </row>
    <row r="121" spans="22:26" ht="15.75">
      <c r="X121"/>
      <c r="Y121"/>
    </row>
    <row r="122" spans="22:26" ht="15.75">
      <c r="X122"/>
      <c r="Y122"/>
    </row>
    <row r="123" spans="22:26" ht="15.75">
      <c r="X123"/>
      <c r="Y123"/>
    </row>
    <row r="124" spans="22:26" ht="15.75">
      <c r="X124"/>
      <c r="Y124"/>
    </row>
    <row r="125" spans="22:26" ht="15.75">
      <c r="X125"/>
      <c r="Y125"/>
    </row>
    <row r="126" spans="22:26" ht="15.75">
      <c r="X126"/>
      <c r="Y126"/>
    </row>
    <row r="127" spans="22:26" ht="15.75">
      <c r="X127"/>
      <c r="Y127"/>
    </row>
    <row r="128" spans="22:26" ht="15.75">
      <c r="X128"/>
      <c r="Y128"/>
    </row>
    <row r="129" spans="24:25" ht="15.75">
      <c r="X129"/>
      <c r="Y129"/>
    </row>
    <row r="130" spans="24:25" ht="15.75">
      <c r="X130"/>
      <c r="Y130"/>
    </row>
    <row r="131" spans="24:25" ht="15.75">
      <c r="X131"/>
      <c r="Y131"/>
    </row>
    <row r="132" spans="24:25" ht="15.75">
      <c r="X132"/>
      <c r="Y132"/>
    </row>
    <row r="133" spans="24:25" ht="15.75">
      <c r="X133"/>
      <c r="Y133"/>
    </row>
    <row r="134" spans="24:25" ht="15.75">
      <c r="X134"/>
      <c r="Y134"/>
    </row>
    <row r="135" spans="24:25" ht="15.75">
      <c r="X135"/>
      <c r="Y135"/>
    </row>
    <row r="136" spans="24:25" ht="15.75">
      <c r="X136"/>
      <c r="Y136"/>
    </row>
    <row r="137" spans="24:25" ht="15.75">
      <c r="X137"/>
      <c r="Y137"/>
    </row>
    <row r="138" spans="24:25" ht="15.75">
      <c r="X138"/>
      <c r="Y138"/>
    </row>
    <row r="139" spans="24:25" ht="15.75">
      <c r="X139"/>
      <c r="Y139"/>
    </row>
    <row r="140" spans="24:25" ht="15.75">
      <c r="X140"/>
      <c r="Y140"/>
    </row>
    <row r="141" spans="24:25" ht="15.75">
      <c r="X141"/>
      <c r="Y141"/>
    </row>
    <row r="142" spans="24:25" ht="15.75">
      <c r="X142"/>
      <c r="Y142"/>
    </row>
    <row r="143" spans="24:25" ht="15.75">
      <c r="X143"/>
      <c r="Y143"/>
    </row>
    <row r="144" spans="24:25" ht="15.75">
      <c r="X144"/>
      <c r="Y144"/>
    </row>
    <row r="145" spans="24:25" ht="15.75">
      <c r="X145"/>
      <c r="Y145"/>
    </row>
    <row r="146" spans="24:25" ht="15.75">
      <c r="X146"/>
      <c r="Y146"/>
    </row>
    <row r="147" spans="24:25" ht="15.75">
      <c r="X147"/>
      <c r="Y147"/>
    </row>
    <row r="148" spans="24:25" ht="15.75">
      <c r="X148"/>
      <c r="Y148"/>
    </row>
    <row r="149" spans="24:25" ht="15.75">
      <c r="X149"/>
      <c r="Y149"/>
    </row>
    <row r="150" spans="24:25" ht="15.75">
      <c r="X150"/>
      <c r="Y150"/>
    </row>
    <row r="151" spans="24:25" ht="15.75">
      <c r="X151"/>
      <c r="Y151"/>
    </row>
    <row r="152" spans="24:25" ht="15.75">
      <c r="X152"/>
      <c r="Y152"/>
    </row>
    <row r="153" spans="24:25" ht="15.75">
      <c r="X153"/>
      <c r="Y153"/>
    </row>
  </sheetData>
  <mergeCells count="1">
    <mergeCell ref="B1:U1"/>
  </mergeCells>
  <conditionalFormatting sqref="G100">
    <cfRule type="iconSet" priority="4">
      <iconSet reverse="1">
        <cfvo type="percent" val="0"/>
        <cfvo type="percent" val="3"/>
        <cfvo type="percent" val="5"/>
      </iconSet>
    </cfRule>
  </conditionalFormatting>
  <conditionalFormatting sqref="F100:F101">
    <cfRule type="iconSet" priority="6">
      <iconSet reverse="1">
        <cfvo type="percent" val="0"/>
        <cfvo type="percent" val="3"/>
        <cfvo type="percent" val="5"/>
      </iconSet>
    </cfRule>
  </conditionalFormatting>
  <conditionalFormatting sqref="F101:F105">
    <cfRule type="iconSet" priority="5">
      <iconSet reverse="1">
        <cfvo type="percent" val="0"/>
        <cfvo type="num" val="0.03"/>
        <cfvo type="num" val="0.05"/>
      </iconSet>
    </cfRule>
  </conditionalFormatting>
  <conditionalFormatting sqref="E63:G67">
    <cfRule type="iconSet" priority="1">
      <iconSet reverse="1">
        <cfvo type="percent" val="0"/>
        <cfvo type="num" val="0" gte="0"/>
        <cfvo type="num" val="0.3"/>
      </iconSet>
    </cfRule>
  </conditionalFormatting>
  <printOptions horizontalCentered="1" verticalCentered="1"/>
  <pageMargins left="0" right="0" top="0" bottom="0" header="0.3" footer="0.3"/>
  <pageSetup paperSize="9" scale="44" orientation="portrait" r:id="rId1"/>
  <drawing r:id="rId2"/>
  <tableParts count="2">
    <tablePart r:id="rId3"/>
    <tablePart r:id="rId4"/>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EA48A8-246D-4403-9A0C-C6340D03BBE5}">
  <dimension ref="A2:B24"/>
  <sheetViews>
    <sheetView showGridLines="0" workbookViewId="0">
      <selection activeCell="G15" sqref="G15"/>
    </sheetView>
  </sheetViews>
  <sheetFormatPr defaultColWidth="9" defaultRowHeight="15.75"/>
  <cols>
    <col min="1" max="1" width="17.25" style="812" customWidth="1"/>
    <col min="2" max="2" width="81.875" style="812" customWidth="1"/>
    <col min="3" max="16384" width="9" style="812"/>
  </cols>
  <sheetData>
    <row r="2" spans="1:2" ht="18.75">
      <c r="A2" s="1017" t="s">
        <v>3221</v>
      </c>
      <c r="B2" s="1017"/>
    </row>
    <row r="3" spans="1:2">
      <c r="A3" s="819" t="s">
        <v>22</v>
      </c>
      <c r="B3" s="818" t="s">
        <v>3152</v>
      </c>
    </row>
    <row r="4" spans="1:2" ht="35.25" customHeight="1">
      <c r="A4" s="820" t="s">
        <v>298</v>
      </c>
      <c r="B4" s="813" t="s">
        <v>3202</v>
      </c>
    </row>
    <row r="5" spans="1:2">
      <c r="A5" s="821"/>
      <c r="B5" s="813" t="s">
        <v>3203</v>
      </c>
    </row>
    <row r="6" spans="1:2">
      <c r="A6" s="821"/>
      <c r="B6" s="813" t="s">
        <v>3222</v>
      </c>
    </row>
    <row r="7" spans="1:2">
      <c r="A7" s="821"/>
      <c r="B7" s="813" t="s">
        <v>3223</v>
      </c>
    </row>
    <row r="8" spans="1:2">
      <c r="A8" s="821"/>
      <c r="B8" s="813" t="s">
        <v>3224</v>
      </c>
    </row>
    <row r="9" spans="1:2" ht="31.5" customHeight="1">
      <c r="A9" s="821"/>
      <c r="B9" s="813" t="s">
        <v>3225</v>
      </c>
    </row>
    <row r="10" spans="1:2">
      <c r="A10" s="821"/>
      <c r="B10" s="813" t="s">
        <v>3226</v>
      </c>
    </row>
    <row r="11" spans="1:2">
      <c r="A11" s="811" t="s">
        <v>3153</v>
      </c>
      <c r="B11" s="811" t="s">
        <v>3154</v>
      </c>
    </row>
    <row r="12" spans="1:2" ht="31.5">
      <c r="A12" s="814" t="s">
        <v>298</v>
      </c>
      <c r="B12" s="815" t="s">
        <v>3204</v>
      </c>
    </row>
    <row r="13" spans="1:2" ht="31.5">
      <c r="A13" s="943"/>
      <c r="B13" s="815" t="s">
        <v>3227</v>
      </c>
    </row>
    <row r="14" spans="1:2" ht="31.5">
      <c r="A14" s="943"/>
      <c r="B14" s="815" t="s">
        <v>3228</v>
      </c>
    </row>
    <row r="15" spans="1:2" ht="31.5">
      <c r="A15" s="943"/>
      <c r="B15" s="815" t="s">
        <v>3229</v>
      </c>
    </row>
    <row r="16" spans="1:2">
      <c r="A16" s="943"/>
      <c r="B16" s="815" t="s">
        <v>3230</v>
      </c>
    </row>
    <row r="17" spans="1:2">
      <c r="A17" s="943"/>
      <c r="B17" s="815" t="s">
        <v>3231</v>
      </c>
    </row>
    <row r="18" spans="1:2">
      <c r="A18" s="816"/>
      <c r="B18" s="815" t="s">
        <v>3224</v>
      </c>
    </row>
    <row r="19" spans="1:2">
      <c r="A19" s="817" t="s">
        <v>3153</v>
      </c>
      <c r="B19" s="817" t="s">
        <v>3155</v>
      </c>
    </row>
    <row r="20" spans="1:2" ht="31.5">
      <c r="A20" s="822" t="s">
        <v>298</v>
      </c>
      <c r="B20" s="823" t="s">
        <v>3205</v>
      </c>
    </row>
    <row r="21" spans="1:2">
      <c r="A21" s="824"/>
      <c r="B21" s="823" t="s">
        <v>3206</v>
      </c>
    </row>
    <row r="22" spans="1:2">
      <c r="A22" s="824"/>
      <c r="B22" s="823" t="s">
        <v>3224</v>
      </c>
    </row>
    <row r="23" spans="1:2">
      <c r="A23" s="824"/>
      <c r="B23" s="823" t="s">
        <v>3232</v>
      </c>
    </row>
    <row r="24" spans="1:2">
      <c r="A24" s="824"/>
      <c r="B24" s="823" t="s">
        <v>3233</v>
      </c>
    </row>
  </sheetData>
  <mergeCells count="1">
    <mergeCell ref="A2:B2"/>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A573"/>
  <sheetViews>
    <sheetView showGridLines="0" topLeftCell="G1" zoomScale="91" zoomScaleNormal="91" workbookViewId="0">
      <selection activeCell="H30" sqref="H30"/>
    </sheetView>
  </sheetViews>
  <sheetFormatPr defaultColWidth="20.625" defaultRowHeight="15.75"/>
  <cols>
    <col min="1" max="6" width="0" style="58" hidden="1" customWidth="1"/>
    <col min="7" max="16384" width="20.625" style="58"/>
  </cols>
  <sheetData>
    <row r="1" spans="1:24" ht="26.25" customHeight="1">
      <c r="A1" s="1018" t="s">
        <v>3220</v>
      </c>
      <c r="B1" s="1018"/>
      <c r="C1" s="1018"/>
      <c r="D1" s="1018"/>
      <c r="E1" s="1018"/>
      <c r="F1" s="1018"/>
      <c r="G1" s="1018"/>
      <c r="H1" s="1018"/>
      <c r="I1" s="1018"/>
      <c r="J1" s="1018"/>
      <c r="K1" s="1018"/>
      <c r="L1" s="1018"/>
      <c r="M1" s="1018"/>
      <c r="N1" s="1018"/>
      <c r="O1" s="1018"/>
      <c r="P1" s="1018"/>
      <c r="Q1" s="1018"/>
      <c r="R1" s="1018"/>
      <c r="S1" s="1018"/>
      <c r="T1" s="1018"/>
      <c r="U1" s="1018"/>
      <c r="V1" s="1018"/>
      <c r="W1" s="1018"/>
      <c r="X1" s="1018"/>
    </row>
    <row r="33" spans="1:27">
      <c r="A33"/>
      <c r="B33"/>
    </row>
    <row r="34" spans="1:27">
      <c r="A34" s="899" t="s">
        <v>20</v>
      </c>
      <c r="B34" s="900" t="s">
        <v>2389</v>
      </c>
    </row>
    <row r="35" spans="1:27">
      <c r="A35" s="936" t="s">
        <v>23</v>
      </c>
      <c r="B35" s="900" t="s">
        <v>1885</v>
      </c>
    </row>
    <row r="36" spans="1:27">
      <c r="A36" s="936" t="s">
        <v>22</v>
      </c>
      <c r="B36" s="900" t="s">
        <v>1885</v>
      </c>
    </row>
    <row r="37" spans="1:27" hidden="1">
      <c r="C37" s="208"/>
      <c r="D37" s="208"/>
      <c r="E37" s="208"/>
    </row>
    <row r="38" spans="1:27" s="97" customFormat="1" hidden="1">
      <c r="A38" s="899" t="s">
        <v>24</v>
      </c>
      <c r="B38" s="929" t="s">
        <v>1946</v>
      </c>
      <c r="C38" s="900" t="s">
        <v>2778</v>
      </c>
      <c r="D38" s="900" t="s">
        <v>2779</v>
      </c>
      <c r="E38" s="900" t="s">
        <v>2780</v>
      </c>
      <c r="F38"/>
      <c r="G38"/>
      <c r="H38"/>
      <c r="I38"/>
      <c r="J38"/>
      <c r="K38"/>
      <c r="L38"/>
      <c r="M38"/>
      <c r="N38"/>
      <c r="O38"/>
      <c r="P38"/>
      <c r="Q38"/>
      <c r="R38"/>
      <c r="S38"/>
      <c r="T38"/>
      <c r="U38"/>
      <c r="V38"/>
      <c r="W38"/>
      <c r="X38"/>
      <c r="Y38"/>
      <c r="Z38"/>
      <c r="AA38"/>
    </row>
    <row r="39" spans="1:27" hidden="1">
      <c r="A39" s="900" t="s">
        <v>416</v>
      </c>
      <c r="B39" s="902">
        <v>4836</v>
      </c>
      <c r="C39" s="902">
        <v>4836</v>
      </c>
      <c r="D39" s="902">
        <v>4629</v>
      </c>
      <c r="E39" s="902">
        <v>4836</v>
      </c>
      <c r="F39"/>
      <c r="G39"/>
      <c r="H39"/>
      <c r="I39"/>
      <c r="J39"/>
      <c r="K39"/>
      <c r="L39"/>
      <c r="M39"/>
      <c r="N39"/>
      <c r="O39"/>
      <c r="P39"/>
      <c r="Q39"/>
      <c r="R39"/>
      <c r="S39"/>
      <c r="T39"/>
      <c r="U39"/>
      <c r="V39"/>
      <c r="W39"/>
      <c r="X39"/>
      <c r="Y39"/>
      <c r="Z39"/>
      <c r="AA39"/>
    </row>
    <row r="40" spans="1:27" hidden="1">
      <c r="A40" s="900" t="s">
        <v>418</v>
      </c>
      <c r="B40" s="902">
        <v>2111</v>
      </c>
      <c r="C40" s="902">
        <v>1910</v>
      </c>
      <c r="D40" s="902">
        <v>2111</v>
      </c>
      <c r="E40" s="902">
        <v>2111</v>
      </c>
      <c r="F40"/>
      <c r="G40"/>
      <c r="H40"/>
      <c r="I40"/>
      <c r="J40"/>
      <c r="K40"/>
      <c r="L40"/>
      <c r="M40"/>
      <c r="N40"/>
      <c r="O40"/>
      <c r="P40"/>
      <c r="Q40"/>
      <c r="R40"/>
      <c r="S40"/>
      <c r="T40"/>
      <c r="U40"/>
      <c r="V40"/>
      <c r="W40"/>
      <c r="X40"/>
      <c r="Y40"/>
      <c r="Z40"/>
      <c r="AA40"/>
    </row>
    <row r="41" spans="1:27" hidden="1">
      <c r="A41" s="900" t="s">
        <v>429</v>
      </c>
      <c r="B41" s="902">
        <v>4892</v>
      </c>
      <c r="C41" s="902">
        <v>4892</v>
      </c>
      <c r="D41" s="902">
        <v>4892</v>
      </c>
      <c r="E41" s="902">
        <v>4892</v>
      </c>
      <c r="F41"/>
      <c r="G41"/>
      <c r="H41"/>
      <c r="I41"/>
      <c r="J41"/>
      <c r="K41"/>
      <c r="L41"/>
      <c r="M41"/>
      <c r="N41"/>
      <c r="O41"/>
      <c r="P41"/>
      <c r="Q41"/>
      <c r="R41"/>
      <c r="S41"/>
      <c r="T41"/>
      <c r="U41"/>
      <c r="V41"/>
      <c r="W41"/>
      <c r="X41"/>
      <c r="Y41"/>
      <c r="Z41"/>
      <c r="AA41"/>
    </row>
    <row r="42" spans="1:27" hidden="1">
      <c r="A42" s="900" t="s">
        <v>431</v>
      </c>
      <c r="B42" s="902">
        <v>6936</v>
      </c>
      <c r="C42" s="902">
        <v>6615</v>
      </c>
      <c r="D42" s="902">
        <v>5060</v>
      </c>
      <c r="E42" s="902">
        <v>6936</v>
      </c>
      <c r="F42"/>
      <c r="G42"/>
      <c r="H42"/>
      <c r="I42"/>
      <c r="J42"/>
      <c r="K42"/>
      <c r="L42"/>
      <c r="M42"/>
      <c r="N42"/>
      <c r="O42"/>
      <c r="P42"/>
      <c r="Q42"/>
      <c r="R42"/>
      <c r="S42"/>
      <c r="T42"/>
      <c r="U42"/>
      <c r="V42"/>
      <c r="W42"/>
      <c r="X42"/>
      <c r="Y42"/>
      <c r="Z42"/>
      <c r="AA42"/>
    </row>
    <row r="43" spans="1:27" hidden="1">
      <c r="A43" s="900" t="s">
        <v>428</v>
      </c>
      <c r="B43" s="902">
        <v>11625</v>
      </c>
      <c r="C43" s="902">
        <v>9245</v>
      </c>
      <c r="D43" s="902">
        <v>8770</v>
      </c>
      <c r="E43" s="902">
        <v>11625</v>
      </c>
      <c r="F43"/>
      <c r="G43"/>
      <c r="H43"/>
      <c r="I43"/>
      <c r="J43"/>
      <c r="K43"/>
      <c r="L43"/>
      <c r="M43"/>
      <c r="N43"/>
      <c r="O43"/>
      <c r="P43"/>
      <c r="Q43"/>
      <c r="R43"/>
      <c r="S43"/>
      <c r="T43"/>
      <c r="U43"/>
      <c r="V43"/>
      <c r="W43"/>
      <c r="X43"/>
      <c r="Y43"/>
      <c r="Z43"/>
      <c r="AA43"/>
    </row>
    <row r="44" spans="1:27" hidden="1">
      <c r="A44" s="900" t="s">
        <v>427</v>
      </c>
      <c r="B44" s="902">
        <v>3360</v>
      </c>
      <c r="C44" s="902">
        <v>2990</v>
      </c>
      <c r="D44" s="902">
        <v>500</v>
      </c>
      <c r="E44" s="902">
        <v>3360</v>
      </c>
      <c r="F44"/>
      <c r="G44"/>
    </row>
    <row r="45" spans="1:27" hidden="1">
      <c r="A45" s="900" t="s">
        <v>372</v>
      </c>
      <c r="B45" s="902">
        <v>974</v>
      </c>
      <c r="C45" s="902">
        <v>974</v>
      </c>
      <c r="D45" s="902">
        <v>974</v>
      </c>
      <c r="E45" s="902">
        <v>974</v>
      </c>
      <c r="F45"/>
      <c r="G45"/>
    </row>
    <row r="46" spans="1:27" hidden="1">
      <c r="A46" s="900" t="s">
        <v>414</v>
      </c>
      <c r="B46" s="902">
        <v>6037</v>
      </c>
      <c r="C46" s="902">
        <v>6037</v>
      </c>
      <c r="D46" s="902">
        <v>3370</v>
      </c>
      <c r="E46" s="902">
        <v>6037</v>
      </c>
      <c r="F46"/>
      <c r="G46"/>
    </row>
    <row r="47" spans="1:27" hidden="1">
      <c r="A47" s="900" t="s">
        <v>435</v>
      </c>
      <c r="B47" s="902">
        <v>3486</v>
      </c>
      <c r="C47" s="902">
        <v>0</v>
      </c>
      <c r="D47" s="902">
        <v>3486</v>
      </c>
      <c r="E47" s="902">
        <v>3486</v>
      </c>
      <c r="F47"/>
      <c r="G47"/>
    </row>
    <row r="48" spans="1:27" hidden="1">
      <c r="A48" s="900" t="s">
        <v>410</v>
      </c>
      <c r="B48" s="902">
        <v>4671</v>
      </c>
      <c r="C48" s="902">
        <v>4671</v>
      </c>
      <c r="D48" s="902">
        <v>3134</v>
      </c>
      <c r="E48" s="902">
        <v>4671</v>
      </c>
      <c r="F48"/>
      <c r="G48"/>
    </row>
    <row r="49" spans="1:7" hidden="1">
      <c r="A49" s="900" t="s">
        <v>411</v>
      </c>
      <c r="B49" s="902">
        <v>4676</v>
      </c>
      <c r="C49" s="902">
        <v>4676</v>
      </c>
      <c r="D49" s="902">
        <v>3483</v>
      </c>
      <c r="E49" s="902">
        <v>4676</v>
      </c>
      <c r="F49"/>
      <c r="G49"/>
    </row>
    <row r="50" spans="1:7" hidden="1">
      <c r="A50" s="900" t="s">
        <v>2701</v>
      </c>
      <c r="B50" s="902">
        <v>581</v>
      </c>
      <c r="C50" s="902">
        <v>0</v>
      </c>
      <c r="D50" s="902">
        <v>581</v>
      </c>
      <c r="E50" s="902">
        <v>0</v>
      </c>
      <c r="F50"/>
      <c r="G50"/>
    </row>
    <row r="51" spans="1:7" hidden="1">
      <c r="A51" s="900" t="s">
        <v>445</v>
      </c>
      <c r="B51" s="902">
        <v>3095</v>
      </c>
      <c r="C51" s="902">
        <v>3095</v>
      </c>
      <c r="D51" s="902">
        <v>3095</v>
      </c>
      <c r="E51" s="902">
        <v>3095</v>
      </c>
      <c r="F51"/>
      <c r="G51"/>
    </row>
    <row r="52" spans="1:7" hidden="1">
      <c r="A52" s="900" t="s">
        <v>436</v>
      </c>
      <c r="B52" s="902">
        <v>13302</v>
      </c>
      <c r="C52" s="902">
        <v>13302</v>
      </c>
      <c r="D52" s="902">
        <v>10090</v>
      </c>
      <c r="E52" s="902">
        <v>13302</v>
      </c>
      <c r="F52"/>
      <c r="G52"/>
    </row>
    <row r="53" spans="1:7" hidden="1">
      <c r="A53" s="900" t="s">
        <v>434</v>
      </c>
      <c r="B53" s="902">
        <v>11396</v>
      </c>
      <c r="C53" s="902">
        <v>11396</v>
      </c>
      <c r="D53" s="902">
        <v>11396</v>
      </c>
      <c r="E53" s="902">
        <v>11396</v>
      </c>
      <c r="F53"/>
      <c r="G53"/>
    </row>
    <row r="54" spans="1:7" hidden="1">
      <c r="A54" s="900" t="s">
        <v>443</v>
      </c>
      <c r="B54" s="902">
        <v>11564</v>
      </c>
      <c r="C54" s="902">
        <v>11564</v>
      </c>
      <c r="D54" s="902">
        <v>11564</v>
      </c>
      <c r="E54" s="902">
        <v>11564</v>
      </c>
      <c r="F54"/>
      <c r="G54"/>
    </row>
    <row r="55" spans="1:7" hidden="1">
      <c r="A55" s="900" t="s">
        <v>409</v>
      </c>
      <c r="B55" s="902">
        <v>2805</v>
      </c>
      <c r="C55" s="902">
        <v>2805</v>
      </c>
      <c r="D55" s="902">
        <v>2805</v>
      </c>
      <c r="E55" s="902">
        <v>2805</v>
      </c>
      <c r="F55"/>
      <c r="G55"/>
    </row>
    <row r="56" spans="1:7" hidden="1">
      <c r="A56" s="900" t="s">
        <v>404</v>
      </c>
      <c r="B56" s="902">
        <v>2920</v>
      </c>
      <c r="C56" s="902">
        <v>2920</v>
      </c>
      <c r="D56" s="902">
        <v>2920</v>
      </c>
      <c r="E56" s="902">
        <v>2920</v>
      </c>
      <c r="F56"/>
      <c r="G56"/>
    </row>
    <row r="57" spans="1:7" hidden="1">
      <c r="A57" s="900" t="s">
        <v>426</v>
      </c>
      <c r="B57" s="902">
        <v>6016</v>
      </c>
      <c r="C57" s="902">
        <v>5580</v>
      </c>
      <c r="D57" s="902">
        <v>3910</v>
      </c>
      <c r="E57" s="902">
        <v>6016</v>
      </c>
      <c r="F57"/>
      <c r="G57"/>
    </row>
    <row r="58" spans="1:7" hidden="1">
      <c r="A58" s="900" t="s">
        <v>430</v>
      </c>
      <c r="B58" s="902">
        <v>5950</v>
      </c>
      <c r="C58" s="902">
        <v>5950</v>
      </c>
      <c r="D58" s="902">
        <v>5210</v>
      </c>
      <c r="E58" s="902">
        <v>5950</v>
      </c>
      <c r="F58"/>
      <c r="G58"/>
    </row>
    <row r="59" spans="1:7" hidden="1">
      <c r="A59" s="900" t="s">
        <v>432</v>
      </c>
      <c r="B59" s="902">
        <v>1670</v>
      </c>
      <c r="C59" s="902">
        <v>1670</v>
      </c>
      <c r="D59" s="902">
        <v>0</v>
      </c>
      <c r="E59" s="902">
        <v>1670</v>
      </c>
      <c r="F59"/>
      <c r="G59"/>
    </row>
    <row r="60" spans="1:7" hidden="1">
      <c r="A60" s="900" t="s">
        <v>2310</v>
      </c>
      <c r="B60" s="902">
        <v>2186</v>
      </c>
      <c r="C60" s="902">
        <v>2186</v>
      </c>
      <c r="D60" s="902">
        <v>2186</v>
      </c>
      <c r="E60" s="902">
        <v>2186</v>
      </c>
      <c r="F60"/>
      <c r="G60"/>
    </row>
    <row r="61" spans="1:7" hidden="1">
      <c r="A61" s="900" t="s">
        <v>2309</v>
      </c>
      <c r="B61" s="902">
        <v>2248</v>
      </c>
      <c r="C61" s="902">
        <v>2248</v>
      </c>
      <c r="D61" s="902">
        <v>2130</v>
      </c>
      <c r="E61" s="902">
        <v>2248</v>
      </c>
      <c r="F61"/>
      <c r="G61"/>
    </row>
    <row r="62" spans="1:7" hidden="1">
      <c r="A62" s="900" t="s">
        <v>2311</v>
      </c>
      <c r="B62" s="902">
        <v>2285</v>
      </c>
      <c r="C62" s="902">
        <v>2285</v>
      </c>
      <c r="D62" s="902">
        <v>2285</v>
      </c>
      <c r="E62" s="902">
        <v>2285</v>
      </c>
      <c r="F62"/>
      <c r="G62"/>
    </row>
    <row r="63" spans="1:7" hidden="1">
      <c r="A63" s="900" t="s">
        <v>2699</v>
      </c>
      <c r="B63" s="902">
        <v>114</v>
      </c>
      <c r="C63" s="902">
        <v>114</v>
      </c>
      <c r="D63" s="902">
        <v>0</v>
      </c>
      <c r="E63" s="902">
        <v>0</v>
      </c>
      <c r="F63"/>
      <c r="G63"/>
    </row>
    <row r="64" spans="1:7" hidden="1">
      <c r="A64" s="900" t="s">
        <v>1630</v>
      </c>
      <c r="B64" s="902">
        <v>119736</v>
      </c>
      <c r="C64" s="902">
        <v>111961</v>
      </c>
      <c r="D64" s="902">
        <v>98581</v>
      </c>
      <c r="E64" s="902">
        <v>119041</v>
      </c>
      <c r="F64"/>
      <c r="G64"/>
    </row>
    <row r="65" spans="1:7" hidden="1">
      <c r="A65"/>
      <c r="B65"/>
      <c r="C65"/>
      <c r="D65"/>
      <c r="E65"/>
      <c r="F65"/>
      <c r="G65"/>
    </row>
    <row r="66" spans="1:7">
      <c r="A66"/>
      <c r="B66"/>
      <c r="C66"/>
      <c r="D66"/>
      <c r="E66"/>
      <c r="F66"/>
      <c r="G66"/>
    </row>
    <row r="67" spans="1:7">
      <c r="A67"/>
      <c r="B67"/>
      <c r="C67"/>
      <c r="D67"/>
      <c r="E67"/>
      <c r="F67"/>
      <c r="G67"/>
    </row>
    <row r="68" spans="1:7">
      <c r="A68"/>
      <c r="B68"/>
      <c r="C68"/>
      <c r="D68"/>
      <c r="E68"/>
      <c r="F68"/>
      <c r="G68"/>
    </row>
    <row r="69" spans="1:7">
      <c r="A69"/>
      <c r="B69"/>
      <c r="C69"/>
      <c r="D69"/>
      <c r="E69"/>
      <c r="F69"/>
      <c r="G69"/>
    </row>
    <row r="70" spans="1:7">
      <c r="A70"/>
      <c r="B70"/>
      <c r="C70"/>
      <c r="D70"/>
      <c r="E70"/>
      <c r="F70"/>
      <c r="G70"/>
    </row>
    <row r="71" spans="1:7">
      <c r="A71"/>
      <c r="B71"/>
      <c r="C71"/>
      <c r="D71"/>
      <c r="E71"/>
      <c r="F71"/>
      <c r="G71"/>
    </row>
    <row r="72" spans="1:7">
      <c r="A72"/>
      <c r="B72"/>
      <c r="C72"/>
      <c r="D72"/>
      <c r="E72"/>
      <c r="F72"/>
      <c r="G72"/>
    </row>
    <row r="73" spans="1:7">
      <c r="A73"/>
      <c r="B73"/>
      <c r="C73"/>
      <c r="D73"/>
      <c r="E73"/>
      <c r="F73"/>
      <c r="G73"/>
    </row>
    <row r="74" spans="1:7">
      <c r="A74"/>
      <c r="B74"/>
      <c r="C74"/>
      <c r="D74"/>
      <c r="E74"/>
      <c r="F74"/>
      <c r="G74"/>
    </row>
    <row r="75" spans="1:7">
      <c r="A75"/>
      <c r="B75"/>
      <c r="C75"/>
      <c r="D75"/>
      <c r="E75"/>
      <c r="F75"/>
      <c r="G75"/>
    </row>
    <row r="76" spans="1:7">
      <c r="A76"/>
      <c r="B76"/>
      <c r="C76"/>
      <c r="D76"/>
      <c r="E76"/>
      <c r="F76"/>
      <c r="G76"/>
    </row>
    <row r="77" spans="1:7">
      <c r="A77"/>
      <c r="B77"/>
      <c r="C77"/>
      <c r="D77"/>
      <c r="E77"/>
      <c r="F77"/>
      <c r="G77"/>
    </row>
    <row r="78" spans="1:7">
      <c r="A78"/>
      <c r="B78"/>
      <c r="C78"/>
      <c r="D78"/>
      <c r="E78"/>
      <c r="F78"/>
      <c r="G78"/>
    </row>
    <row r="79" spans="1:7">
      <c r="A79"/>
      <c r="B79"/>
      <c r="C79"/>
      <c r="D79"/>
      <c r="E79"/>
      <c r="F79"/>
      <c r="G79"/>
    </row>
    <row r="80" spans="1:7">
      <c r="A80"/>
      <c r="B80"/>
      <c r="C80"/>
      <c r="D80"/>
      <c r="E80"/>
      <c r="F80"/>
      <c r="G80"/>
    </row>
    <row r="81" spans="1:7">
      <c r="A81"/>
      <c r="B81"/>
      <c r="C81"/>
      <c r="D81"/>
      <c r="E81"/>
      <c r="F81"/>
      <c r="G81"/>
    </row>
    <row r="82" spans="1:7">
      <c r="A82"/>
      <c r="B82"/>
      <c r="C82"/>
      <c r="D82"/>
      <c r="E82"/>
      <c r="F82"/>
      <c r="G82"/>
    </row>
    <row r="83" spans="1:7">
      <c r="A83"/>
      <c r="B83"/>
      <c r="C83"/>
      <c r="D83"/>
      <c r="E83"/>
      <c r="F83"/>
      <c r="G83"/>
    </row>
    <row r="84" spans="1:7">
      <c r="A84"/>
      <c r="B84"/>
      <c r="C84"/>
      <c r="D84"/>
      <c r="E84"/>
      <c r="F84"/>
      <c r="G84"/>
    </row>
    <row r="85" spans="1:7">
      <c r="A85"/>
      <c r="B85"/>
      <c r="C85"/>
      <c r="D85"/>
      <c r="E85"/>
      <c r="F85"/>
      <c r="G85"/>
    </row>
    <row r="86" spans="1:7">
      <c r="A86"/>
      <c r="B86"/>
      <c r="C86"/>
      <c r="D86"/>
      <c r="E86"/>
      <c r="F86"/>
      <c r="G86"/>
    </row>
    <row r="87" spans="1:7">
      <c r="A87"/>
      <c r="B87"/>
      <c r="C87"/>
      <c r="D87"/>
      <c r="E87"/>
      <c r="F87"/>
      <c r="G87"/>
    </row>
    <row r="88" spans="1:7">
      <c r="A88"/>
      <c r="B88"/>
      <c r="C88"/>
      <c r="D88"/>
      <c r="E88"/>
      <c r="F88"/>
      <c r="G88"/>
    </row>
    <row r="89" spans="1:7">
      <c r="A89"/>
      <c r="B89"/>
      <c r="C89"/>
      <c r="D89"/>
      <c r="E89"/>
      <c r="F89"/>
      <c r="G89"/>
    </row>
    <row r="90" spans="1:7">
      <c r="A90"/>
      <c r="B90"/>
      <c r="C90"/>
      <c r="D90"/>
      <c r="E90"/>
      <c r="F90"/>
      <c r="G90"/>
    </row>
    <row r="91" spans="1:7">
      <c r="A91"/>
      <c r="B91"/>
      <c r="C91"/>
      <c r="D91"/>
      <c r="E91"/>
      <c r="F91"/>
      <c r="G91"/>
    </row>
    <row r="92" spans="1:7">
      <c r="A92"/>
      <c r="B92"/>
      <c r="C92"/>
      <c r="D92"/>
      <c r="E92"/>
      <c r="F92"/>
      <c r="G92"/>
    </row>
    <row r="93" spans="1:7">
      <c r="A93"/>
      <c r="B93"/>
      <c r="C93"/>
      <c r="D93"/>
      <c r="E93"/>
      <c r="F93"/>
      <c r="G93"/>
    </row>
    <row r="94" spans="1:7">
      <c r="A94"/>
      <c r="B94"/>
      <c r="C94"/>
      <c r="D94"/>
      <c r="E94"/>
      <c r="F94"/>
      <c r="G94"/>
    </row>
    <row r="95" spans="1:7">
      <c r="A95"/>
      <c r="B95"/>
      <c r="C95"/>
      <c r="D95"/>
      <c r="E95"/>
      <c r="F95"/>
      <c r="G95"/>
    </row>
    <row r="96" spans="1:7">
      <c r="A96"/>
      <c r="B96"/>
      <c r="C96"/>
      <c r="D96"/>
      <c r="E96"/>
      <c r="F96"/>
      <c r="G96"/>
    </row>
    <row r="97" spans="1:7">
      <c r="A97"/>
      <c r="B97"/>
      <c r="C97"/>
      <c r="D97"/>
      <c r="E97"/>
      <c r="F97"/>
      <c r="G97"/>
    </row>
    <row r="98" spans="1:7">
      <c r="A98"/>
      <c r="B98"/>
      <c r="C98"/>
      <c r="D98"/>
      <c r="E98"/>
      <c r="F98"/>
      <c r="G98"/>
    </row>
    <row r="99" spans="1:7">
      <c r="A99"/>
      <c r="B99"/>
      <c r="C99"/>
      <c r="D99"/>
      <c r="E99"/>
      <c r="F99"/>
      <c r="G99"/>
    </row>
    <row r="100" spans="1:7">
      <c r="A100"/>
      <c r="B100"/>
      <c r="C100"/>
      <c r="D100"/>
      <c r="E100"/>
      <c r="F100"/>
      <c r="G100"/>
    </row>
    <row r="101" spans="1:7">
      <c r="A101"/>
      <c r="B101"/>
      <c r="C101"/>
      <c r="D101"/>
      <c r="E101"/>
      <c r="F101"/>
      <c r="G101"/>
    </row>
    <row r="102" spans="1:7">
      <c r="A102"/>
      <c r="B102"/>
      <c r="C102"/>
      <c r="D102"/>
      <c r="E102"/>
      <c r="F102"/>
      <c r="G102"/>
    </row>
    <row r="103" spans="1:7">
      <c r="A103"/>
      <c r="B103"/>
      <c r="C103"/>
      <c r="D103"/>
      <c r="E103"/>
      <c r="F103"/>
      <c r="G103"/>
    </row>
    <row r="104" spans="1:7">
      <c r="A104"/>
      <c r="B104"/>
      <c r="C104"/>
      <c r="D104"/>
      <c r="E104"/>
      <c r="F104"/>
      <c r="G104"/>
    </row>
    <row r="105" spans="1:7">
      <c r="A105"/>
      <c r="B105"/>
      <c r="C105"/>
      <c r="D105"/>
      <c r="E105"/>
      <c r="F105"/>
      <c r="G105"/>
    </row>
    <row r="106" spans="1:7">
      <c r="A106"/>
      <c r="B106"/>
      <c r="C106"/>
      <c r="D106"/>
      <c r="E106"/>
      <c r="F106"/>
      <c r="G106"/>
    </row>
    <row r="107" spans="1:7">
      <c r="A107"/>
      <c r="B107"/>
      <c r="C107"/>
      <c r="D107"/>
      <c r="E107"/>
      <c r="F107"/>
      <c r="G107"/>
    </row>
    <row r="108" spans="1:7">
      <c r="A108"/>
      <c r="B108"/>
      <c r="C108"/>
      <c r="D108"/>
      <c r="E108"/>
      <c r="F108"/>
      <c r="G108"/>
    </row>
    <row r="109" spans="1:7">
      <c r="A109"/>
      <c r="B109"/>
      <c r="C109"/>
      <c r="D109"/>
      <c r="E109"/>
      <c r="F109"/>
      <c r="G109"/>
    </row>
    <row r="110" spans="1:7">
      <c r="A110"/>
      <c r="B110"/>
      <c r="C110"/>
      <c r="D110"/>
      <c r="E110"/>
      <c r="F110"/>
      <c r="G110"/>
    </row>
    <row r="111" spans="1:7">
      <c r="A111"/>
      <c r="B111"/>
      <c r="C111"/>
      <c r="D111"/>
      <c r="E111"/>
      <c r="F111"/>
      <c r="G111"/>
    </row>
    <row r="112" spans="1:7">
      <c r="A112"/>
      <c r="B112"/>
      <c r="C112"/>
      <c r="D112"/>
      <c r="E112"/>
      <c r="F112"/>
      <c r="G112"/>
    </row>
    <row r="113" spans="1:7">
      <c r="A113"/>
      <c r="B113"/>
      <c r="C113"/>
      <c r="D113"/>
      <c r="E113"/>
      <c r="F113"/>
      <c r="G113"/>
    </row>
    <row r="114" spans="1:7">
      <c r="A114"/>
      <c r="B114"/>
      <c r="C114"/>
      <c r="D114"/>
      <c r="E114"/>
      <c r="F114"/>
      <c r="G114"/>
    </row>
    <row r="115" spans="1:7">
      <c r="A115"/>
      <c r="B115"/>
      <c r="C115"/>
      <c r="D115"/>
      <c r="E115"/>
      <c r="F115"/>
      <c r="G115"/>
    </row>
    <row r="116" spans="1:7">
      <c r="A116"/>
      <c r="B116"/>
      <c r="C116"/>
      <c r="D116"/>
      <c r="E116"/>
      <c r="F116"/>
      <c r="G116"/>
    </row>
    <row r="117" spans="1:7">
      <c r="A117"/>
      <c r="B117"/>
      <c r="C117"/>
      <c r="D117"/>
      <c r="E117"/>
      <c r="F117"/>
      <c r="G117"/>
    </row>
    <row r="118" spans="1:7">
      <c r="A118"/>
      <c r="B118"/>
      <c r="C118"/>
      <c r="D118"/>
      <c r="E118"/>
      <c r="F118"/>
      <c r="G118"/>
    </row>
    <row r="119" spans="1:7">
      <c r="A119"/>
      <c r="B119"/>
      <c r="C119"/>
      <c r="D119"/>
      <c r="E119"/>
      <c r="F119"/>
      <c r="G119"/>
    </row>
    <row r="120" spans="1:7">
      <c r="A120"/>
      <c r="B120"/>
      <c r="C120"/>
      <c r="D120"/>
      <c r="E120"/>
      <c r="F120"/>
      <c r="G120"/>
    </row>
    <row r="121" spans="1:7">
      <c r="A121"/>
      <c r="B121"/>
      <c r="C121"/>
      <c r="D121"/>
      <c r="E121"/>
      <c r="F121"/>
      <c r="G121"/>
    </row>
    <row r="122" spans="1:7">
      <c r="A122"/>
      <c r="B122"/>
      <c r="C122"/>
      <c r="D122"/>
      <c r="E122"/>
      <c r="F122"/>
      <c r="G122"/>
    </row>
    <row r="123" spans="1:7">
      <c r="A123"/>
      <c r="B123"/>
      <c r="C123"/>
      <c r="D123"/>
      <c r="E123"/>
      <c r="F123"/>
      <c r="G123"/>
    </row>
    <row r="124" spans="1:7">
      <c r="A124"/>
      <c r="B124"/>
      <c r="C124"/>
      <c r="D124"/>
      <c r="E124"/>
      <c r="F124"/>
      <c r="G124"/>
    </row>
    <row r="125" spans="1:7">
      <c r="A125"/>
      <c r="B125"/>
      <c r="C125"/>
      <c r="D125"/>
      <c r="E125"/>
      <c r="F125"/>
      <c r="G125"/>
    </row>
    <row r="126" spans="1:7">
      <c r="A126"/>
      <c r="B126"/>
      <c r="C126"/>
      <c r="D126"/>
      <c r="E126"/>
      <c r="F126"/>
      <c r="G126"/>
    </row>
    <row r="127" spans="1:7">
      <c r="A127"/>
      <c r="B127"/>
      <c r="C127"/>
      <c r="D127"/>
      <c r="E127"/>
      <c r="F127"/>
      <c r="G127"/>
    </row>
    <row r="128" spans="1:7">
      <c r="A128"/>
      <c r="B128"/>
      <c r="C128"/>
      <c r="D128"/>
      <c r="E128"/>
      <c r="F128"/>
      <c r="G128"/>
    </row>
    <row r="129" spans="1:7">
      <c r="A129"/>
      <c r="B129"/>
      <c r="C129"/>
      <c r="D129"/>
      <c r="E129"/>
      <c r="F129"/>
      <c r="G129"/>
    </row>
    <row r="130" spans="1:7">
      <c r="A130"/>
      <c r="B130"/>
      <c r="C130"/>
      <c r="D130"/>
      <c r="E130"/>
      <c r="F130"/>
      <c r="G130"/>
    </row>
    <row r="131" spans="1:7">
      <c r="A131"/>
      <c r="B131"/>
      <c r="C131"/>
      <c r="D131"/>
      <c r="E131"/>
      <c r="F131"/>
      <c r="G131"/>
    </row>
    <row r="132" spans="1:7">
      <c r="A132"/>
      <c r="B132"/>
      <c r="C132"/>
      <c r="D132"/>
      <c r="E132"/>
      <c r="F132"/>
      <c r="G132"/>
    </row>
    <row r="133" spans="1:7">
      <c r="A133"/>
      <c r="B133"/>
      <c r="C133"/>
      <c r="D133"/>
      <c r="E133"/>
      <c r="F133"/>
      <c r="G133"/>
    </row>
    <row r="134" spans="1:7">
      <c r="A134"/>
      <c r="B134"/>
      <c r="C134"/>
      <c r="D134"/>
      <c r="E134"/>
      <c r="F134"/>
      <c r="G134"/>
    </row>
    <row r="135" spans="1:7">
      <c r="A135"/>
      <c r="B135"/>
      <c r="C135"/>
      <c r="D135"/>
      <c r="E135"/>
      <c r="F135"/>
      <c r="G135"/>
    </row>
    <row r="136" spans="1:7">
      <c r="A136"/>
      <c r="B136"/>
      <c r="C136"/>
      <c r="D136"/>
      <c r="E136"/>
      <c r="F136"/>
      <c r="G136"/>
    </row>
    <row r="137" spans="1:7">
      <c r="A137"/>
      <c r="B137"/>
      <c r="C137"/>
      <c r="D137"/>
      <c r="E137"/>
      <c r="F137"/>
      <c r="G137"/>
    </row>
    <row r="138" spans="1:7">
      <c r="A138"/>
      <c r="B138"/>
      <c r="C138"/>
      <c r="D138"/>
      <c r="E138"/>
      <c r="F138"/>
      <c r="G138"/>
    </row>
    <row r="139" spans="1:7">
      <c r="A139"/>
      <c r="B139"/>
      <c r="C139"/>
      <c r="D139"/>
      <c r="E139"/>
      <c r="F139"/>
      <c r="G139"/>
    </row>
    <row r="140" spans="1:7">
      <c r="A140"/>
      <c r="B140"/>
      <c r="C140"/>
      <c r="D140"/>
      <c r="E140"/>
      <c r="F140"/>
      <c r="G140"/>
    </row>
    <row r="141" spans="1:7">
      <c r="A141"/>
      <c r="B141"/>
      <c r="C141"/>
      <c r="D141"/>
      <c r="E141"/>
      <c r="F141"/>
      <c r="G141"/>
    </row>
    <row r="142" spans="1:7">
      <c r="A142"/>
      <c r="B142"/>
      <c r="C142"/>
      <c r="D142"/>
      <c r="E142"/>
      <c r="F142"/>
      <c r="G142"/>
    </row>
    <row r="143" spans="1:7">
      <c r="A143"/>
      <c r="B143"/>
      <c r="C143"/>
      <c r="D143"/>
      <c r="E143"/>
      <c r="F143"/>
      <c r="G143"/>
    </row>
    <row r="144" spans="1:7">
      <c r="A144"/>
      <c r="B144"/>
      <c r="C144"/>
      <c r="D144"/>
      <c r="E144"/>
      <c r="F144"/>
      <c r="G144"/>
    </row>
    <row r="145" spans="1:7">
      <c r="A145"/>
      <c r="B145"/>
      <c r="C145"/>
      <c r="D145"/>
      <c r="E145"/>
      <c r="F145"/>
      <c r="G145"/>
    </row>
    <row r="146" spans="1:7">
      <c r="A146"/>
      <c r="B146"/>
      <c r="C146"/>
      <c r="D146"/>
      <c r="E146"/>
      <c r="F146"/>
      <c r="G146"/>
    </row>
    <row r="147" spans="1:7">
      <c r="A147"/>
      <c r="B147"/>
      <c r="C147"/>
      <c r="D147"/>
      <c r="E147"/>
      <c r="F147"/>
      <c r="G147"/>
    </row>
    <row r="148" spans="1:7">
      <c r="A148"/>
      <c r="B148"/>
      <c r="C148"/>
      <c r="D148"/>
      <c r="E148"/>
      <c r="F148"/>
      <c r="G148"/>
    </row>
    <row r="149" spans="1:7">
      <c r="A149"/>
      <c r="B149"/>
      <c r="C149"/>
      <c r="D149"/>
      <c r="E149"/>
      <c r="F149"/>
      <c r="G149"/>
    </row>
    <row r="150" spans="1:7">
      <c r="A150"/>
      <c r="B150"/>
      <c r="C150"/>
      <c r="D150"/>
      <c r="E150"/>
      <c r="F150"/>
      <c r="G150"/>
    </row>
    <row r="151" spans="1:7">
      <c r="A151"/>
      <c r="B151"/>
      <c r="C151"/>
      <c r="D151"/>
      <c r="E151"/>
      <c r="F151"/>
      <c r="G151"/>
    </row>
    <row r="152" spans="1:7">
      <c r="A152"/>
      <c r="B152"/>
      <c r="C152"/>
      <c r="D152"/>
      <c r="E152"/>
      <c r="F152"/>
      <c r="G152"/>
    </row>
    <row r="153" spans="1:7">
      <c r="A153"/>
      <c r="B153"/>
      <c r="C153"/>
      <c r="D153"/>
      <c r="E153"/>
      <c r="F153"/>
      <c r="G153"/>
    </row>
    <row r="154" spans="1:7">
      <c r="A154"/>
      <c r="B154"/>
      <c r="C154"/>
      <c r="D154"/>
      <c r="E154"/>
      <c r="F154"/>
      <c r="G154"/>
    </row>
    <row r="155" spans="1:7">
      <c r="A155"/>
      <c r="B155"/>
      <c r="C155"/>
      <c r="D155"/>
      <c r="E155"/>
      <c r="F155"/>
      <c r="G155"/>
    </row>
    <row r="156" spans="1:7">
      <c r="A156"/>
      <c r="B156"/>
      <c r="C156"/>
      <c r="D156"/>
      <c r="E156"/>
      <c r="F156"/>
      <c r="G156"/>
    </row>
    <row r="157" spans="1:7">
      <c r="A157"/>
      <c r="B157"/>
      <c r="C157"/>
      <c r="D157"/>
      <c r="E157"/>
      <c r="F157"/>
      <c r="G157"/>
    </row>
    <row r="158" spans="1:7">
      <c r="A158"/>
      <c r="B158"/>
      <c r="C158"/>
      <c r="D158"/>
      <c r="E158"/>
      <c r="F158"/>
      <c r="G158"/>
    </row>
    <row r="159" spans="1:7">
      <c r="A159"/>
      <c r="B159"/>
      <c r="C159"/>
      <c r="D159"/>
      <c r="E159"/>
      <c r="F159"/>
      <c r="G159"/>
    </row>
    <row r="160" spans="1:7">
      <c r="A160"/>
      <c r="B160"/>
      <c r="C160"/>
      <c r="D160"/>
      <c r="E160"/>
      <c r="F160"/>
      <c r="G160"/>
    </row>
    <row r="161" spans="1:7">
      <c r="A161"/>
      <c r="B161"/>
      <c r="C161"/>
      <c r="D161"/>
      <c r="E161"/>
      <c r="F161"/>
      <c r="G161"/>
    </row>
    <row r="162" spans="1:7">
      <c r="A162"/>
      <c r="B162"/>
      <c r="C162"/>
      <c r="D162"/>
      <c r="E162"/>
      <c r="F162"/>
      <c r="G162"/>
    </row>
    <row r="163" spans="1:7">
      <c r="A163"/>
      <c r="B163"/>
      <c r="C163"/>
      <c r="D163"/>
      <c r="E163"/>
      <c r="F163"/>
      <c r="G163"/>
    </row>
    <row r="164" spans="1:7">
      <c r="A164"/>
      <c r="B164"/>
      <c r="C164"/>
      <c r="D164"/>
      <c r="E164"/>
      <c r="F164"/>
      <c r="G164"/>
    </row>
    <row r="165" spans="1:7">
      <c r="A165"/>
      <c r="B165"/>
      <c r="C165"/>
      <c r="D165"/>
      <c r="E165"/>
      <c r="F165"/>
      <c r="G165"/>
    </row>
    <row r="166" spans="1:7">
      <c r="A166"/>
      <c r="B166"/>
      <c r="C166"/>
      <c r="D166"/>
      <c r="E166"/>
      <c r="F166"/>
      <c r="G166"/>
    </row>
    <row r="167" spans="1:7">
      <c r="A167"/>
      <c r="B167"/>
      <c r="C167"/>
      <c r="D167"/>
      <c r="E167"/>
      <c r="F167"/>
      <c r="G167"/>
    </row>
    <row r="168" spans="1:7">
      <c r="A168"/>
      <c r="B168"/>
      <c r="C168"/>
      <c r="D168"/>
      <c r="E168"/>
      <c r="F168"/>
      <c r="G168"/>
    </row>
    <row r="169" spans="1:7">
      <c r="A169"/>
      <c r="B169"/>
      <c r="C169"/>
      <c r="D169"/>
      <c r="E169"/>
      <c r="F169"/>
      <c r="G169"/>
    </row>
    <row r="170" spans="1:7">
      <c r="A170"/>
      <c r="B170"/>
      <c r="C170"/>
      <c r="D170"/>
      <c r="E170"/>
      <c r="F170"/>
      <c r="G170"/>
    </row>
    <row r="171" spans="1:7">
      <c r="A171"/>
      <c r="B171"/>
      <c r="C171"/>
      <c r="D171"/>
      <c r="E171"/>
      <c r="F171"/>
      <c r="G171"/>
    </row>
    <row r="172" spans="1:7">
      <c r="A172"/>
      <c r="B172"/>
      <c r="C172"/>
      <c r="D172"/>
      <c r="E172"/>
    </row>
    <row r="173" spans="1:7">
      <c r="A173"/>
      <c r="B173"/>
      <c r="C173"/>
      <c r="D173"/>
      <c r="E173"/>
    </row>
    <row r="174" spans="1:7">
      <c r="A174"/>
      <c r="B174"/>
      <c r="C174"/>
      <c r="D174"/>
      <c r="E174"/>
    </row>
    <row r="175" spans="1:7">
      <c r="A175"/>
      <c r="B175"/>
      <c r="C175"/>
      <c r="D175"/>
      <c r="E175"/>
    </row>
    <row r="176" spans="1:7">
      <c r="A176"/>
      <c r="B176"/>
      <c r="C176"/>
      <c r="D176"/>
      <c r="E176"/>
    </row>
    <row r="177" spans="1:5">
      <c r="A177"/>
      <c r="B177"/>
      <c r="C177"/>
      <c r="D177"/>
      <c r="E177"/>
    </row>
    <row r="178" spans="1:5">
      <c r="A178"/>
      <c r="B178"/>
      <c r="C178"/>
      <c r="D178"/>
      <c r="E178"/>
    </row>
    <row r="179" spans="1:5">
      <c r="A179"/>
      <c r="B179"/>
      <c r="C179"/>
      <c r="D179"/>
      <c r="E179"/>
    </row>
    <row r="180" spans="1:5">
      <c r="A180"/>
      <c r="B180"/>
      <c r="C180"/>
      <c r="D180"/>
      <c r="E180"/>
    </row>
    <row r="181" spans="1:5">
      <c r="A181"/>
      <c r="B181"/>
      <c r="C181"/>
      <c r="D181"/>
      <c r="E181"/>
    </row>
    <row r="182" spans="1:5">
      <c r="A182"/>
      <c r="B182"/>
      <c r="C182"/>
      <c r="D182"/>
      <c r="E182"/>
    </row>
    <row r="183" spans="1:5">
      <c r="A183"/>
      <c r="B183"/>
      <c r="C183"/>
      <c r="D183"/>
      <c r="E183"/>
    </row>
    <row r="184" spans="1:5">
      <c r="A184"/>
      <c r="B184"/>
      <c r="C184"/>
      <c r="D184"/>
      <c r="E184"/>
    </row>
    <row r="185" spans="1:5">
      <c r="A185"/>
      <c r="B185"/>
      <c r="C185"/>
      <c r="D185"/>
      <c r="E185"/>
    </row>
    <row r="186" spans="1:5">
      <c r="A186"/>
      <c r="B186"/>
      <c r="C186"/>
      <c r="D186"/>
      <c r="E186"/>
    </row>
    <row r="187" spans="1:5">
      <c r="A187"/>
      <c r="B187"/>
      <c r="C187"/>
      <c r="D187"/>
      <c r="E187"/>
    </row>
    <row r="188" spans="1:5">
      <c r="A188"/>
      <c r="B188"/>
      <c r="C188"/>
      <c r="D188"/>
      <c r="E188"/>
    </row>
    <row r="189" spans="1:5">
      <c r="A189"/>
      <c r="B189"/>
      <c r="C189"/>
      <c r="D189"/>
      <c r="E189"/>
    </row>
    <row r="190" spans="1:5">
      <c r="A190"/>
      <c r="B190"/>
      <c r="C190"/>
      <c r="D190"/>
      <c r="E190"/>
    </row>
    <row r="191" spans="1:5">
      <c r="A191"/>
      <c r="B191"/>
      <c r="C191"/>
      <c r="D191"/>
      <c r="E191"/>
    </row>
    <row r="192" spans="1:5">
      <c r="A192"/>
      <c r="B192"/>
      <c r="C192"/>
      <c r="D192"/>
      <c r="E192"/>
    </row>
    <row r="193" spans="1:5">
      <c r="A193"/>
      <c r="B193"/>
      <c r="C193"/>
      <c r="D193"/>
      <c r="E193"/>
    </row>
    <row r="194" spans="1:5">
      <c r="A194"/>
      <c r="B194"/>
      <c r="C194"/>
      <c r="D194"/>
      <c r="E194"/>
    </row>
    <row r="195" spans="1:5">
      <c r="A195"/>
      <c r="B195"/>
      <c r="C195"/>
      <c r="D195"/>
      <c r="E195"/>
    </row>
    <row r="196" spans="1:5">
      <c r="A196"/>
      <c r="B196"/>
      <c r="C196"/>
      <c r="D196"/>
      <c r="E196"/>
    </row>
    <row r="197" spans="1:5">
      <c r="A197"/>
      <c r="B197"/>
      <c r="C197"/>
      <c r="D197"/>
      <c r="E197"/>
    </row>
    <row r="198" spans="1:5">
      <c r="A198"/>
      <c r="B198"/>
      <c r="C198"/>
      <c r="D198"/>
      <c r="E198"/>
    </row>
    <row r="199" spans="1:5">
      <c r="A199"/>
      <c r="B199"/>
      <c r="C199"/>
      <c r="D199"/>
      <c r="E199"/>
    </row>
    <row r="200" spans="1:5">
      <c r="A200"/>
      <c r="B200"/>
      <c r="C200"/>
      <c r="D200"/>
      <c r="E200"/>
    </row>
    <row r="201" spans="1:5">
      <c r="A201"/>
      <c r="B201"/>
      <c r="C201"/>
      <c r="D201"/>
      <c r="E201"/>
    </row>
    <row r="202" spans="1:5">
      <c r="A202"/>
      <c r="B202"/>
      <c r="C202"/>
      <c r="D202"/>
      <c r="E202"/>
    </row>
    <row r="203" spans="1:5">
      <c r="A203"/>
      <c r="B203"/>
      <c r="C203"/>
      <c r="D203"/>
      <c r="E203"/>
    </row>
    <row r="204" spans="1:5">
      <c r="A204"/>
      <c r="B204"/>
      <c r="C204"/>
      <c r="D204"/>
      <c r="E204"/>
    </row>
    <row r="205" spans="1:5">
      <c r="A205"/>
      <c r="B205"/>
      <c r="C205"/>
      <c r="D205"/>
      <c r="E205"/>
    </row>
    <row r="206" spans="1:5">
      <c r="A206"/>
      <c r="B206"/>
      <c r="C206"/>
      <c r="D206"/>
      <c r="E206"/>
    </row>
    <row r="207" spans="1:5">
      <c r="A207"/>
      <c r="B207"/>
      <c r="C207"/>
      <c r="D207"/>
      <c r="E207"/>
    </row>
    <row r="208" spans="1:5">
      <c r="A208"/>
      <c r="B208"/>
      <c r="C208"/>
      <c r="D208"/>
      <c r="E208"/>
    </row>
    <row r="209" spans="1:5">
      <c r="A209"/>
      <c r="B209"/>
      <c r="C209"/>
      <c r="D209"/>
      <c r="E209"/>
    </row>
    <row r="210" spans="1:5">
      <c r="A210"/>
      <c r="B210"/>
      <c r="C210"/>
      <c r="D210"/>
      <c r="E210"/>
    </row>
    <row r="211" spans="1:5">
      <c r="A211"/>
      <c r="B211"/>
      <c r="C211"/>
      <c r="D211"/>
      <c r="E211"/>
    </row>
    <row r="212" spans="1:5">
      <c r="A212"/>
      <c r="B212"/>
      <c r="C212"/>
      <c r="D212"/>
      <c r="E212"/>
    </row>
    <row r="213" spans="1:5">
      <c r="A213"/>
      <c r="B213"/>
      <c r="C213"/>
      <c r="D213"/>
      <c r="E213"/>
    </row>
    <row r="214" spans="1:5">
      <c r="A214"/>
      <c r="B214"/>
      <c r="C214"/>
      <c r="D214"/>
      <c r="E214"/>
    </row>
    <row r="215" spans="1:5">
      <c r="A215"/>
      <c r="B215"/>
      <c r="C215"/>
      <c r="D215"/>
      <c r="E215"/>
    </row>
    <row r="216" spans="1:5">
      <c r="A216"/>
      <c r="B216"/>
      <c r="C216"/>
      <c r="D216"/>
      <c r="E216"/>
    </row>
    <row r="217" spans="1:5">
      <c r="A217"/>
      <c r="B217"/>
      <c r="C217"/>
      <c r="D217"/>
      <c r="E217"/>
    </row>
    <row r="218" spans="1:5">
      <c r="A218"/>
      <c r="B218"/>
      <c r="C218"/>
      <c r="D218"/>
      <c r="E218"/>
    </row>
    <row r="219" spans="1:5">
      <c r="A219"/>
      <c r="B219"/>
      <c r="C219"/>
      <c r="D219"/>
      <c r="E219"/>
    </row>
    <row r="220" spans="1:5">
      <c r="A220"/>
      <c r="B220"/>
      <c r="C220"/>
      <c r="D220"/>
      <c r="E220"/>
    </row>
    <row r="221" spans="1:5">
      <c r="A221"/>
      <c r="B221"/>
      <c r="C221"/>
      <c r="D221"/>
      <c r="E221"/>
    </row>
    <row r="222" spans="1:5">
      <c r="A222"/>
      <c r="B222"/>
      <c r="C222"/>
      <c r="D222"/>
      <c r="E222"/>
    </row>
    <row r="223" spans="1:5">
      <c r="A223"/>
      <c r="B223"/>
      <c r="C223"/>
      <c r="D223"/>
      <c r="E223"/>
    </row>
    <row r="224" spans="1:5">
      <c r="A224"/>
      <c r="B224"/>
      <c r="C224"/>
      <c r="D224"/>
      <c r="E224"/>
    </row>
    <row r="225" spans="1:5">
      <c r="A225"/>
      <c r="B225"/>
      <c r="C225"/>
      <c r="D225"/>
      <c r="E225"/>
    </row>
    <row r="226" spans="1:5">
      <c r="A226"/>
      <c r="B226"/>
      <c r="C226"/>
      <c r="D226"/>
      <c r="E226"/>
    </row>
    <row r="227" spans="1:5">
      <c r="A227"/>
      <c r="B227"/>
      <c r="C227"/>
      <c r="D227"/>
      <c r="E227"/>
    </row>
    <row r="228" spans="1:5">
      <c r="A228"/>
      <c r="B228"/>
      <c r="C228"/>
      <c r="D228"/>
      <c r="E228"/>
    </row>
    <row r="229" spans="1:5">
      <c r="A229"/>
      <c r="B229"/>
      <c r="C229"/>
      <c r="D229"/>
      <c r="E229"/>
    </row>
    <row r="230" spans="1:5">
      <c r="A230"/>
      <c r="B230"/>
      <c r="C230"/>
      <c r="D230"/>
      <c r="E230"/>
    </row>
    <row r="231" spans="1:5">
      <c r="A231"/>
      <c r="B231"/>
      <c r="C231"/>
      <c r="D231"/>
      <c r="E231"/>
    </row>
    <row r="232" spans="1:5">
      <c r="A232"/>
      <c r="B232"/>
      <c r="C232"/>
      <c r="D232"/>
      <c r="E232"/>
    </row>
    <row r="233" spans="1:5">
      <c r="A233"/>
      <c r="B233"/>
      <c r="C233"/>
      <c r="D233"/>
      <c r="E233"/>
    </row>
    <row r="234" spans="1:5">
      <c r="A234"/>
      <c r="B234"/>
      <c r="C234"/>
      <c r="D234"/>
      <c r="E234"/>
    </row>
    <row r="235" spans="1:5">
      <c r="A235"/>
      <c r="B235"/>
      <c r="C235"/>
      <c r="D235"/>
      <c r="E235"/>
    </row>
    <row r="236" spans="1:5">
      <c r="A236"/>
      <c r="B236"/>
      <c r="C236"/>
      <c r="D236"/>
      <c r="E236"/>
    </row>
    <row r="237" spans="1:5">
      <c r="A237"/>
      <c r="B237"/>
      <c r="C237"/>
      <c r="D237"/>
      <c r="E237"/>
    </row>
    <row r="238" spans="1:5">
      <c r="A238"/>
      <c r="B238"/>
      <c r="C238"/>
      <c r="D238"/>
      <c r="E238"/>
    </row>
    <row r="239" spans="1:5">
      <c r="A239"/>
      <c r="B239"/>
      <c r="C239"/>
      <c r="D239"/>
      <c r="E239"/>
    </row>
    <row r="240" spans="1:5">
      <c r="A240"/>
      <c r="B240"/>
      <c r="C240"/>
      <c r="D240"/>
      <c r="E240"/>
    </row>
    <row r="241" spans="1:5">
      <c r="A241"/>
      <c r="B241"/>
      <c r="C241"/>
      <c r="D241"/>
      <c r="E241"/>
    </row>
    <row r="242" spans="1:5">
      <c r="A242"/>
      <c r="B242"/>
      <c r="C242"/>
      <c r="D242"/>
      <c r="E242"/>
    </row>
    <row r="243" spans="1:5">
      <c r="A243"/>
      <c r="B243"/>
      <c r="C243"/>
      <c r="D243"/>
      <c r="E243"/>
    </row>
    <row r="244" spans="1:5">
      <c r="A244"/>
      <c r="B244"/>
      <c r="C244"/>
      <c r="D244"/>
      <c r="E244"/>
    </row>
    <row r="245" spans="1:5">
      <c r="A245"/>
      <c r="B245"/>
      <c r="C245"/>
      <c r="D245"/>
      <c r="E245"/>
    </row>
    <row r="246" spans="1:5">
      <c r="A246"/>
      <c r="B246"/>
      <c r="C246"/>
      <c r="D246"/>
      <c r="E246"/>
    </row>
    <row r="247" spans="1:5">
      <c r="A247"/>
      <c r="B247"/>
      <c r="C247"/>
      <c r="D247"/>
      <c r="E247"/>
    </row>
    <row r="248" spans="1:5">
      <c r="A248"/>
      <c r="B248"/>
      <c r="C248"/>
      <c r="D248"/>
      <c r="E248"/>
    </row>
    <row r="249" spans="1:5">
      <c r="A249"/>
      <c r="B249"/>
      <c r="C249"/>
      <c r="D249"/>
      <c r="E249"/>
    </row>
    <row r="250" spans="1:5">
      <c r="A250"/>
      <c r="B250"/>
      <c r="C250"/>
      <c r="D250"/>
      <c r="E250"/>
    </row>
    <row r="251" spans="1:5">
      <c r="A251"/>
      <c r="B251"/>
      <c r="C251"/>
      <c r="D251"/>
      <c r="E251"/>
    </row>
    <row r="252" spans="1:5">
      <c r="A252"/>
      <c r="B252"/>
      <c r="C252"/>
      <c r="D252"/>
      <c r="E252"/>
    </row>
    <row r="253" spans="1:5">
      <c r="A253"/>
      <c r="B253"/>
      <c r="C253"/>
      <c r="D253"/>
      <c r="E253"/>
    </row>
    <row r="254" spans="1:5">
      <c r="A254"/>
      <c r="B254"/>
      <c r="C254"/>
      <c r="D254"/>
      <c r="E254"/>
    </row>
    <row r="255" spans="1:5">
      <c r="A255"/>
      <c r="B255"/>
      <c r="C255"/>
      <c r="D255"/>
      <c r="E255"/>
    </row>
    <row r="256" spans="1:5">
      <c r="A256"/>
      <c r="B256"/>
      <c r="C256"/>
      <c r="D256"/>
      <c r="E256"/>
    </row>
    <row r="257" spans="1:5">
      <c r="A257"/>
      <c r="B257"/>
      <c r="C257"/>
      <c r="D257"/>
      <c r="E257"/>
    </row>
    <row r="258" spans="1:5">
      <c r="A258"/>
      <c r="B258"/>
      <c r="C258"/>
      <c r="D258"/>
      <c r="E258"/>
    </row>
    <row r="259" spans="1:5">
      <c r="A259"/>
      <c r="B259"/>
      <c r="C259"/>
      <c r="D259"/>
      <c r="E259"/>
    </row>
    <row r="260" spans="1:5">
      <c r="A260"/>
      <c r="B260"/>
      <c r="C260"/>
      <c r="D260"/>
      <c r="E260"/>
    </row>
    <row r="261" spans="1:5">
      <c r="A261"/>
      <c r="B261"/>
      <c r="C261"/>
      <c r="D261"/>
      <c r="E261"/>
    </row>
    <row r="262" spans="1:5">
      <c r="A262"/>
      <c r="B262"/>
      <c r="C262"/>
      <c r="D262"/>
      <c r="E262"/>
    </row>
    <row r="263" spans="1:5">
      <c r="A263"/>
      <c r="B263"/>
      <c r="C263"/>
      <c r="D263"/>
      <c r="E263"/>
    </row>
    <row r="264" spans="1:5">
      <c r="A264"/>
      <c r="B264"/>
      <c r="C264"/>
      <c r="D264"/>
      <c r="E264"/>
    </row>
    <row r="265" spans="1:5">
      <c r="A265"/>
      <c r="B265"/>
      <c r="C265"/>
      <c r="D265"/>
      <c r="E265"/>
    </row>
    <row r="266" spans="1:5">
      <c r="A266"/>
      <c r="B266"/>
      <c r="C266"/>
      <c r="D266"/>
      <c r="E266"/>
    </row>
    <row r="267" spans="1:5">
      <c r="A267"/>
      <c r="B267"/>
      <c r="C267"/>
      <c r="D267"/>
      <c r="E267"/>
    </row>
    <row r="268" spans="1:5">
      <c r="A268"/>
      <c r="B268"/>
      <c r="C268"/>
      <c r="D268"/>
      <c r="E268"/>
    </row>
    <row r="269" spans="1:5">
      <c r="A269"/>
      <c r="B269"/>
      <c r="C269"/>
      <c r="D269"/>
      <c r="E269"/>
    </row>
    <row r="270" spans="1:5">
      <c r="A270"/>
      <c r="B270"/>
      <c r="C270"/>
      <c r="D270"/>
      <c r="E270"/>
    </row>
    <row r="271" spans="1:5">
      <c r="A271"/>
      <c r="B271"/>
      <c r="C271"/>
      <c r="D271"/>
      <c r="E271"/>
    </row>
    <row r="272" spans="1:5">
      <c r="A272"/>
      <c r="B272"/>
      <c r="C272"/>
      <c r="D272"/>
      <c r="E272"/>
    </row>
    <row r="273" spans="1:5">
      <c r="A273"/>
      <c r="B273"/>
      <c r="C273"/>
      <c r="D273"/>
      <c r="E273"/>
    </row>
    <row r="274" spans="1:5">
      <c r="A274"/>
      <c r="B274"/>
      <c r="C274"/>
      <c r="D274"/>
      <c r="E274"/>
    </row>
    <row r="275" spans="1:5">
      <c r="A275"/>
      <c r="B275"/>
      <c r="C275"/>
      <c r="D275"/>
      <c r="E275"/>
    </row>
    <row r="276" spans="1:5">
      <c r="A276"/>
      <c r="B276"/>
      <c r="C276"/>
      <c r="D276"/>
      <c r="E276"/>
    </row>
    <row r="277" spans="1:5">
      <c r="A277"/>
      <c r="B277"/>
      <c r="C277"/>
      <c r="D277"/>
      <c r="E277"/>
    </row>
    <row r="278" spans="1:5">
      <c r="A278"/>
      <c r="B278"/>
      <c r="C278"/>
      <c r="D278"/>
      <c r="E278"/>
    </row>
    <row r="279" spans="1:5">
      <c r="A279"/>
      <c r="B279"/>
      <c r="C279"/>
      <c r="D279"/>
      <c r="E279"/>
    </row>
    <row r="280" spans="1:5">
      <c r="A280"/>
      <c r="B280"/>
      <c r="C280"/>
      <c r="D280"/>
      <c r="E280"/>
    </row>
    <row r="281" spans="1:5">
      <c r="A281"/>
      <c r="B281"/>
      <c r="C281"/>
      <c r="D281"/>
      <c r="E281"/>
    </row>
    <row r="282" spans="1:5">
      <c r="A282"/>
      <c r="B282"/>
      <c r="C282"/>
      <c r="D282"/>
      <c r="E282"/>
    </row>
    <row r="283" spans="1:5">
      <c r="A283"/>
      <c r="B283"/>
      <c r="C283"/>
      <c r="D283"/>
      <c r="E283"/>
    </row>
    <row r="284" spans="1:5">
      <c r="A284"/>
      <c r="B284"/>
      <c r="C284"/>
      <c r="D284"/>
      <c r="E284"/>
    </row>
    <row r="285" spans="1:5">
      <c r="A285"/>
      <c r="B285"/>
      <c r="C285"/>
      <c r="D285"/>
      <c r="E285"/>
    </row>
    <row r="286" spans="1:5">
      <c r="A286"/>
      <c r="B286"/>
      <c r="C286"/>
      <c r="D286"/>
      <c r="E286"/>
    </row>
    <row r="287" spans="1:5">
      <c r="A287"/>
      <c r="B287"/>
      <c r="C287"/>
      <c r="D287"/>
      <c r="E287"/>
    </row>
    <row r="288" spans="1:5">
      <c r="A288"/>
      <c r="B288"/>
      <c r="C288"/>
      <c r="D288"/>
      <c r="E288"/>
    </row>
    <row r="289" spans="1:5">
      <c r="A289"/>
      <c r="B289"/>
      <c r="C289"/>
      <c r="D289"/>
      <c r="E289"/>
    </row>
    <row r="290" spans="1:5">
      <c r="A290"/>
      <c r="B290"/>
      <c r="C290"/>
      <c r="D290"/>
      <c r="E290"/>
    </row>
    <row r="291" spans="1:5">
      <c r="A291"/>
      <c r="B291"/>
      <c r="C291"/>
      <c r="D291"/>
      <c r="E291"/>
    </row>
    <row r="292" spans="1:5">
      <c r="A292"/>
      <c r="B292"/>
      <c r="C292"/>
      <c r="D292"/>
      <c r="E292"/>
    </row>
    <row r="293" spans="1:5">
      <c r="A293"/>
      <c r="B293"/>
      <c r="C293"/>
      <c r="D293"/>
      <c r="E293"/>
    </row>
    <row r="294" spans="1:5">
      <c r="A294"/>
      <c r="B294"/>
      <c r="C294"/>
      <c r="D294"/>
      <c r="E294"/>
    </row>
    <row r="295" spans="1:5">
      <c r="A295"/>
      <c r="B295"/>
      <c r="C295"/>
      <c r="D295"/>
      <c r="E295"/>
    </row>
    <row r="296" spans="1:5">
      <c r="A296"/>
      <c r="B296"/>
      <c r="C296"/>
      <c r="D296"/>
      <c r="E296"/>
    </row>
    <row r="297" spans="1:5">
      <c r="A297"/>
      <c r="B297"/>
      <c r="C297"/>
      <c r="D297"/>
      <c r="E297"/>
    </row>
    <row r="298" spans="1:5">
      <c r="A298"/>
      <c r="B298"/>
      <c r="C298"/>
      <c r="D298"/>
      <c r="E298"/>
    </row>
    <row r="299" spans="1:5">
      <c r="A299"/>
      <c r="B299"/>
      <c r="C299"/>
      <c r="D299"/>
      <c r="E299"/>
    </row>
    <row r="300" spans="1:5">
      <c r="A300"/>
      <c r="B300"/>
      <c r="C300"/>
      <c r="D300"/>
      <c r="E300"/>
    </row>
    <row r="301" spans="1:5">
      <c r="A301"/>
      <c r="B301"/>
      <c r="C301"/>
      <c r="D301"/>
      <c r="E301"/>
    </row>
    <row r="302" spans="1:5">
      <c r="A302"/>
      <c r="B302"/>
      <c r="C302"/>
      <c r="D302"/>
      <c r="E302"/>
    </row>
    <row r="303" spans="1:5">
      <c r="A303"/>
      <c r="B303"/>
      <c r="C303"/>
      <c r="D303"/>
      <c r="E303"/>
    </row>
    <row r="304" spans="1:5">
      <c r="A304"/>
      <c r="B304"/>
      <c r="C304"/>
      <c r="D304"/>
      <c r="E304"/>
    </row>
    <row r="305" spans="1:5">
      <c r="A305"/>
      <c r="B305"/>
      <c r="C305"/>
      <c r="D305"/>
      <c r="E305"/>
    </row>
    <row r="306" spans="1:5">
      <c r="A306"/>
      <c r="B306"/>
      <c r="C306"/>
      <c r="D306"/>
      <c r="E306"/>
    </row>
    <row r="307" spans="1:5">
      <c r="A307"/>
      <c r="B307"/>
      <c r="C307"/>
      <c r="D307"/>
      <c r="E307"/>
    </row>
    <row r="308" spans="1:5">
      <c r="A308"/>
      <c r="B308"/>
      <c r="C308"/>
      <c r="D308"/>
      <c r="E308"/>
    </row>
    <row r="309" spans="1:5">
      <c r="A309"/>
      <c r="B309"/>
      <c r="C309"/>
      <c r="D309"/>
      <c r="E309"/>
    </row>
    <row r="310" spans="1:5">
      <c r="A310"/>
      <c r="B310"/>
      <c r="C310"/>
      <c r="D310"/>
      <c r="E310"/>
    </row>
    <row r="311" spans="1:5">
      <c r="A311"/>
      <c r="B311"/>
      <c r="C311"/>
      <c r="D311"/>
      <c r="E311"/>
    </row>
    <row r="312" spans="1:5">
      <c r="A312"/>
      <c r="B312"/>
      <c r="C312"/>
      <c r="D312"/>
      <c r="E312"/>
    </row>
    <row r="313" spans="1:5">
      <c r="A313"/>
      <c r="B313"/>
      <c r="C313"/>
      <c r="D313"/>
      <c r="E313"/>
    </row>
    <row r="314" spans="1:5">
      <c r="A314"/>
      <c r="B314"/>
      <c r="C314"/>
      <c r="D314"/>
      <c r="E314"/>
    </row>
    <row r="315" spans="1:5">
      <c r="A315"/>
      <c r="B315"/>
      <c r="C315"/>
      <c r="D315"/>
      <c r="E315"/>
    </row>
    <row r="316" spans="1:5">
      <c r="A316"/>
      <c r="B316"/>
      <c r="C316"/>
      <c r="D316"/>
      <c r="E316"/>
    </row>
    <row r="317" spans="1:5">
      <c r="A317"/>
      <c r="B317"/>
      <c r="C317"/>
      <c r="D317"/>
      <c r="E317"/>
    </row>
    <row r="318" spans="1:5">
      <c r="A318"/>
      <c r="B318"/>
      <c r="C318"/>
      <c r="D318"/>
      <c r="E318"/>
    </row>
    <row r="319" spans="1:5">
      <c r="A319"/>
      <c r="B319"/>
      <c r="C319"/>
      <c r="D319"/>
      <c r="E319"/>
    </row>
    <row r="320" spans="1:5">
      <c r="A320"/>
      <c r="B320"/>
      <c r="C320"/>
      <c r="D320"/>
      <c r="E320"/>
    </row>
    <row r="321" spans="1:5">
      <c r="A321"/>
      <c r="B321"/>
      <c r="C321"/>
      <c r="D321"/>
      <c r="E321"/>
    </row>
    <row r="322" spans="1:5">
      <c r="A322"/>
      <c r="B322"/>
      <c r="C322"/>
      <c r="D322"/>
      <c r="E322"/>
    </row>
    <row r="323" spans="1:5">
      <c r="A323"/>
      <c r="B323"/>
      <c r="C323"/>
      <c r="D323"/>
      <c r="E323"/>
    </row>
    <row r="324" spans="1:5">
      <c r="A324"/>
      <c r="B324"/>
      <c r="C324"/>
      <c r="D324"/>
      <c r="E324"/>
    </row>
    <row r="325" spans="1:5">
      <c r="A325"/>
      <c r="B325"/>
      <c r="C325"/>
      <c r="D325"/>
      <c r="E325"/>
    </row>
    <row r="326" spans="1:5">
      <c r="A326"/>
      <c r="B326"/>
      <c r="C326"/>
      <c r="D326"/>
      <c r="E326"/>
    </row>
    <row r="327" spans="1:5">
      <c r="A327"/>
      <c r="B327"/>
      <c r="C327"/>
      <c r="D327"/>
      <c r="E327"/>
    </row>
    <row r="328" spans="1:5">
      <c r="A328"/>
      <c r="B328"/>
      <c r="C328"/>
      <c r="D328"/>
      <c r="E328"/>
    </row>
    <row r="329" spans="1:5">
      <c r="A329"/>
      <c r="B329"/>
      <c r="C329"/>
      <c r="D329"/>
      <c r="E329"/>
    </row>
    <row r="330" spans="1:5">
      <c r="A330"/>
      <c r="B330"/>
      <c r="C330"/>
      <c r="D330"/>
      <c r="E330"/>
    </row>
    <row r="331" spans="1:5">
      <c r="A331"/>
      <c r="B331"/>
      <c r="C331"/>
      <c r="D331"/>
      <c r="E331"/>
    </row>
    <row r="332" spans="1:5">
      <c r="A332"/>
      <c r="B332"/>
      <c r="C332"/>
      <c r="D332"/>
      <c r="E332"/>
    </row>
    <row r="333" spans="1:5">
      <c r="A333"/>
      <c r="B333"/>
      <c r="C333"/>
      <c r="D333"/>
      <c r="E333"/>
    </row>
    <row r="334" spans="1:5">
      <c r="A334"/>
      <c r="B334"/>
      <c r="C334"/>
      <c r="D334"/>
      <c r="E334"/>
    </row>
    <row r="335" spans="1:5">
      <c r="A335"/>
      <c r="B335"/>
      <c r="C335"/>
      <c r="D335"/>
      <c r="E335"/>
    </row>
    <row r="336" spans="1:5">
      <c r="A336"/>
      <c r="B336"/>
      <c r="C336"/>
      <c r="D336"/>
      <c r="E336"/>
    </row>
    <row r="337" spans="1:5">
      <c r="A337"/>
      <c r="B337"/>
      <c r="C337"/>
      <c r="D337"/>
      <c r="E337"/>
    </row>
    <row r="338" spans="1:5">
      <c r="A338"/>
      <c r="B338"/>
      <c r="C338"/>
      <c r="D338"/>
      <c r="E338"/>
    </row>
    <row r="339" spans="1:5">
      <c r="A339"/>
      <c r="B339"/>
      <c r="C339"/>
      <c r="D339"/>
      <c r="E339"/>
    </row>
    <row r="340" spans="1:5">
      <c r="A340"/>
      <c r="B340"/>
      <c r="C340"/>
      <c r="D340"/>
      <c r="E340"/>
    </row>
    <row r="341" spans="1:5">
      <c r="A341"/>
      <c r="B341"/>
      <c r="C341"/>
      <c r="D341"/>
      <c r="E341"/>
    </row>
    <row r="342" spans="1:5">
      <c r="A342"/>
      <c r="B342"/>
      <c r="C342"/>
      <c r="D342"/>
      <c r="E342"/>
    </row>
    <row r="343" spans="1:5">
      <c r="A343"/>
      <c r="B343"/>
      <c r="C343"/>
      <c r="D343"/>
      <c r="E343"/>
    </row>
    <row r="344" spans="1:5">
      <c r="A344"/>
      <c r="B344"/>
      <c r="C344"/>
      <c r="D344"/>
      <c r="E344"/>
    </row>
    <row r="345" spans="1:5">
      <c r="A345"/>
      <c r="B345"/>
      <c r="C345"/>
      <c r="D345"/>
      <c r="E345"/>
    </row>
    <row r="346" spans="1:5">
      <c r="A346"/>
      <c r="B346"/>
      <c r="C346"/>
      <c r="D346"/>
      <c r="E346"/>
    </row>
    <row r="347" spans="1:5">
      <c r="A347"/>
      <c r="B347"/>
      <c r="C347"/>
      <c r="D347"/>
      <c r="E347"/>
    </row>
    <row r="348" spans="1:5">
      <c r="A348"/>
      <c r="B348"/>
      <c r="C348"/>
      <c r="D348"/>
      <c r="E348"/>
    </row>
    <row r="349" spans="1:5">
      <c r="A349"/>
      <c r="B349"/>
      <c r="C349"/>
      <c r="D349"/>
      <c r="E349"/>
    </row>
    <row r="350" spans="1:5">
      <c r="A350"/>
      <c r="B350"/>
      <c r="C350"/>
      <c r="D350"/>
      <c r="E350"/>
    </row>
    <row r="351" spans="1:5">
      <c r="A351"/>
      <c r="B351"/>
      <c r="C351"/>
      <c r="D351"/>
      <c r="E351"/>
    </row>
    <row r="352" spans="1:5">
      <c r="A352"/>
      <c r="B352"/>
      <c r="C352"/>
      <c r="D352"/>
      <c r="E352"/>
    </row>
    <row r="353" spans="1:5">
      <c r="A353"/>
      <c r="B353"/>
      <c r="C353"/>
      <c r="D353"/>
      <c r="E353"/>
    </row>
    <row r="354" spans="1:5">
      <c r="A354"/>
      <c r="B354"/>
      <c r="C354"/>
      <c r="D354"/>
      <c r="E354"/>
    </row>
    <row r="355" spans="1:5">
      <c r="A355"/>
      <c r="B355"/>
      <c r="C355"/>
      <c r="D355"/>
      <c r="E355"/>
    </row>
    <row r="356" spans="1:5">
      <c r="A356"/>
      <c r="B356"/>
      <c r="C356"/>
      <c r="D356"/>
      <c r="E356"/>
    </row>
    <row r="357" spans="1:5">
      <c r="A357"/>
      <c r="B357"/>
      <c r="C357"/>
      <c r="D357"/>
      <c r="E357"/>
    </row>
    <row r="358" spans="1:5">
      <c r="A358"/>
      <c r="B358"/>
      <c r="C358"/>
      <c r="D358"/>
      <c r="E358"/>
    </row>
    <row r="359" spans="1:5">
      <c r="A359"/>
      <c r="B359"/>
      <c r="C359"/>
      <c r="D359"/>
      <c r="E359"/>
    </row>
    <row r="360" spans="1:5">
      <c r="A360"/>
      <c r="B360"/>
      <c r="C360"/>
      <c r="D360"/>
      <c r="E360"/>
    </row>
    <row r="361" spans="1:5">
      <c r="A361"/>
      <c r="B361"/>
      <c r="C361"/>
      <c r="D361"/>
      <c r="E361"/>
    </row>
    <row r="362" spans="1:5">
      <c r="A362"/>
      <c r="B362"/>
      <c r="C362"/>
      <c r="D362"/>
      <c r="E362"/>
    </row>
    <row r="363" spans="1:5">
      <c r="A363"/>
      <c r="B363"/>
      <c r="C363"/>
      <c r="D363"/>
      <c r="E363"/>
    </row>
    <row r="364" spans="1:5">
      <c r="A364"/>
      <c r="B364"/>
      <c r="C364"/>
      <c r="D364"/>
      <c r="E364"/>
    </row>
    <row r="365" spans="1:5">
      <c r="A365"/>
      <c r="B365"/>
      <c r="C365"/>
      <c r="D365"/>
      <c r="E365"/>
    </row>
    <row r="366" spans="1:5">
      <c r="A366"/>
      <c r="B366"/>
      <c r="C366"/>
      <c r="D366"/>
      <c r="E366"/>
    </row>
    <row r="367" spans="1:5">
      <c r="A367"/>
      <c r="B367"/>
      <c r="C367"/>
      <c r="D367"/>
      <c r="E367"/>
    </row>
    <row r="368" spans="1:5">
      <c r="A368"/>
      <c r="B368"/>
      <c r="C368"/>
      <c r="D368"/>
      <c r="E368"/>
    </row>
    <row r="369" spans="1:5">
      <c r="A369"/>
      <c r="B369"/>
      <c r="C369"/>
      <c r="D369"/>
      <c r="E369"/>
    </row>
    <row r="370" spans="1:5">
      <c r="A370"/>
      <c r="B370"/>
      <c r="C370"/>
      <c r="D370"/>
      <c r="E370"/>
    </row>
    <row r="371" spans="1:5">
      <c r="A371"/>
      <c r="B371"/>
      <c r="C371"/>
      <c r="D371"/>
      <c r="E371"/>
    </row>
    <row r="372" spans="1:5">
      <c r="A372"/>
      <c r="B372"/>
      <c r="C372"/>
      <c r="D372"/>
      <c r="E372"/>
    </row>
    <row r="373" spans="1:5">
      <c r="A373"/>
      <c r="B373"/>
      <c r="C373"/>
      <c r="D373"/>
      <c r="E373"/>
    </row>
    <row r="374" spans="1:5">
      <c r="A374"/>
      <c r="B374"/>
      <c r="C374"/>
      <c r="D374"/>
      <c r="E374"/>
    </row>
    <row r="375" spans="1:5">
      <c r="A375"/>
      <c r="B375"/>
      <c r="C375"/>
      <c r="D375"/>
      <c r="E375"/>
    </row>
    <row r="376" spans="1:5">
      <c r="A376"/>
      <c r="B376"/>
      <c r="C376"/>
      <c r="D376"/>
      <c r="E376"/>
    </row>
    <row r="377" spans="1:5">
      <c r="A377"/>
      <c r="B377"/>
      <c r="C377"/>
      <c r="D377"/>
      <c r="E377"/>
    </row>
    <row r="378" spans="1:5">
      <c r="A378"/>
      <c r="B378"/>
      <c r="C378"/>
      <c r="D378"/>
      <c r="E378"/>
    </row>
    <row r="379" spans="1:5">
      <c r="A379"/>
      <c r="B379"/>
      <c r="C379"/>
      <c r="D379"/>
      <c r="E379"/>
    </row>
    <row r="380" spans="1:5">
      <c r="A380"/>
      <c r="B380"/>
      <c r="C380"/>
      <c r="D380"/>
      <c r="E380"/>
    </row>
    <row r="381" spans="1:5">
      <c r="A381"/>
      <c r="B381"/>
      <c r="C381"/>
      <c r="D381"/>
      <c r="E381"/>
    </row>
    <row r="382" spans="1:5">
      <c r="A382"/>
      <c r="B382"/>
      <c r="C382"/>
      <c r="D382"/>
      <c r="E382"/>
    </row>
    <row r="383" spans="1:5">
      <c r="A383"/>
      <c r="B383"/>
      <c r="C383"/>
      <c r="D383"/>
      <c r="E383"/>
    </row>
    <row r="384" spans="1:5">
      <c r="A384"/>
      <c r="B384"/>
      <c r="C384"/>
      <c r="D384"/>
      <c r="E384"/>
    </row>
    <row r="385" spans="1:5">
      <c r="A385"/>
      <c r="B385"/>
      <c r="C385"/>
      <c r="D385"/>
      <c r="E385"/>
    </row>
    <row r="386" spans="1:5">
      <c r="A386"/>
      <c r="B386"/>
      <c r="C386"/>
      <c r="D386"/>
      <c r="E386"/>
    </row>
    <row r="387" spans="1:5">
      <c r="A387"/>
      <c r="B387"/>
      <c r="C387"/>
      <c r="D387"/>
      <c r="E387"/>
    </row>
    <row r="388" spans="1:5">
      <c r="A388"/>
      <c r="B388"/>
      <c r="C388"/>
      <c r="D388"/>
      <c r="E388"/>
    </row>
    <row r="389" spans="1:5">
      <c r="A389"/>
      <c r="B389"/>
      <c r="C389"/>
      <c r="D389"/>
      <c r="E389"/>
    </row>
    <row r="390" spans="1:5">
      <c r="A390"/>
      <c r="B390"/>
      <c r="C390"/>
      <c r="D390"/>
      <c r="E390"/>
    </row>
    <row r="391" spans="1:5">
      <c r="A391"/>
      <c r="B391"/>
      <c r="C391"/>
      <c r="D391"/>
      <c r="E391"/>
    </row>
    <row r="392" spans="1:5">
      <c r="A392"/>
      <c r="B392"/>
      <c r="C392"/>
      <c r="D392"/>
      <c r="E392"/>
    </row>
    <row r="393" spans="1:5">
      <c r="A393"/>
      <c r="B393"/>
      <c r="C393"/>
      <c r="D393"/>
      <c r="E393"/>
    </row>
    <row r="394" spans="1:5">
      <c r="A394"/>
      <c r="B394"/>
      <c r="C394"/>
      <c r="D394"/>
      <c r="E394"/>
    </row>
    <row r="395" spans="1:5">
      <c r="A395"/>
      <c r="B395"/>
      <c r="C395"/>
      <c r="D395"/>
      <c r="E395"/>
    </row>
    <row r="396" spans="1:5">
      <c r="A396"/>
      <c r="B396"/>
      <c r="C396"/>
      <c r="D396"/>
      <c r="E396"/>
    </row>
    <row r="397" spans="1:5">
      <c r="A397"/>
      <c r="B397"/>
      <c r="C397"/>
      <c r="D397"/>
      <c r="E397"/>
    </row>
    <row r="398" spans="1:5">
      <c r="A398"/>
      <c r="B398"/>
      <c r="C398"/>
      <c r="D398"/>
      <c r="E398"/>
    </row>
    <row r="399" spans="1:5">
      <c r="A399"/>
      <c r="B399"/>
      <c r="C399"/>
      <c r="D399"/>
      <c r="E399"/>
    </row>
    <row r="400" spans="1:5">
      <c r="A400"/>
      <c r="B400"/>
      <c r="C400"/>
      <c r="D400"/>
      <c r="E400"/>
    </row>
    <row r="401" spans="1:5">
      <c r="A401"/>
      <c r="B401"/>
      <c r="C401"/>
      <c r="D401"/>
      <c r="E401"/>
    </row>
    <row r="402" spans="1:5">
      <c r="A402"/>
      <c r="B402"/>
      <c r="C402"/>
      <c r="D402"/>
      <c r="E402"/>
    </row>
    <row r="403" spans="1:5">
      <c r="A403"/>
      <c r="B403"/>
      <c r="C403"/>
      <c r="D403"/>
      <c r="E403"/>
    </row>
    <row r="404" spans="1:5">
      <c r="A404"/>
      <c r="B404"/>
      <c r="C404"/>
      <c r="D404"/>
      <c r="E404"/>
    </row>
    <row r="405" spans="1:5">
      <c r="A405"/>
      <c r="B405"/>
      <c r="C405"/>
      <c r="D405"/>
      <c r="E405"/>
    </row>
    <row r="406" spans="1:5">
      <c r="A406"/>
      <c r="B406"/>
      <c r="C406"/>
      <c r="D406"/>
      <c r="E406"/>
    </row>
    <row r="407" spans="1:5">
      <c r="A407"/>
      <c r="B407"/>
      <c r="C407"/>
      <c r="D407"/>
      <c r="E407"/>
    </row>
    <row r="408" spans="1:5">
      <c r="A408"/>
      <c r="B408"/>
      <c r="C408"/>
      <c r="D408"/>
      <c r="E408"/>
    </row>
    <row r="409" spans="1:5">
      <c r="A409"/>
      <c r="B409"/>
      <c r="C409"/>
      <c r="D409"/>
      <c r="E409"/>
    </row>
    <row r="410" spans="1:5">
      <c r="A410"/>
      <c r="B410"/>
      <c r="C410"/>
      <c r="D410"/>
      <c r="E410"/>
    </row>
    <row r="411" spans="1:5">
      <c r="A411"/>
      <c r="B411"/>
      <c r="C411"/>
      <c r="D411"/>
      <c r="E411"/>
    </row>
    <row r="412" spans="1:5">
      <c r="A412"/>
      <c r="B412"/>
      <c r="C412"/>
      <c r="D412"/>
      <c r="E412"/>
    </row>
    <row r="413" spans="1:5">
      <c r="A413"/>
      <c r="B413"/>
      <c r="C413"/>
      <c r="D413"/>
      <c r="E413"/>
    </row>
    <row r="414" spans="1:5">
      <c r="A414"/>
      <c r="B414"/>
      <c r="C414"/>
      <c r="D414"/>
      <c r="E414"/>
    </row>
    <row r="415" spans="1:5">
      <c r="A415"/>
      <c r="B415"/>
      <c r="C415"/>
      <c r="D415"/>
      <c r="E415"/>
    </row>
    <row r="416" spans="1:5">
      <c r="A416"/>
      <c r="B416"/>
      <c r="C416"/>
      <c r="D416"/>
      <c r="E416"/>
    </row>
    <row r="417" spans="1:5">
      <c r="A417"/>
      <c r="B417"/>
      <c r="C417"/>
      <c r="D417"/>
      <c r="E417"/>
    </row>
    <row r="418" spans="1:5">
      <c r="A418"/>
      <c r="B418"/>
      <c r="C418"/>
      <c r="D418"/>
      <c r="E418"/>
    </row>
    <row r="419" spans="1:5">
      <c r="A419"/>
      <c r="B419"/>
      <c r="C419"/>
      <c r="D419"/>
      <c r="E419"/>
    </row>
    <row r="420" spans="1:5">
      <c r="A420"/>
      <c r="B420"/>
      <c r="C420"/>
      <c r="D420"/>
      <c r="E420"/>
    </row>
    <row r="421" spans="1:5">
      <c r="A421"/>
      <c r="B421"/>
      <c r="C421"/>
      <c r="D421"/>
      <c r="E421"/>
    </row>
    <row r="422" spans="1:5">
      <c r="A422"/>
      <c r="B422"/>
      <c r="C422"/>
      <c r="D422"/>
      <c r="E422"/>
    </row>
    <row r="423" spans="1:5">
      <c r="A423"/>
      <c r="B423"/>
      <c r="C423"/>
      <c r="D423"/>
      <c r="E423"/>
    </row>
    <row r="424" spans="1:5">
      <c r="A424"/>
      <c r="B424"/>
      <c r="C424"/>
      <c r="D424"/>
      <c r="E424"/>
    </row>
    <row r="425" spans="1:5">
      <c r="A425"/>
      <c r="B425"/>
      <c r="C425"/>
      <c r="D425"/>
      <c r="E425"/>
    </row>
    <row r="426" spans="1:5">
      <c r="A426"/>
      <c r="B426"/>
      <c r="C426"/>
      <c r="D426"/>
      <c r="E426"/>
    </row>
    <row r="427" spans="1:5">
      <c r="A427"/>
      <c r="B427"/>
      <c r="C427"/>
      <c r="D427"/>
      <c r="E427"/>
    </row>
    <row r="428" spans="1:5">
      <c r="A428"/>
      <c r="B428"/>
      <c r="C428"/>
      <c r="D428"/>
      <c r="E428"/>
    </row>
    <row r="429" spans="1:5">
      <c r="A429"/>
      <c r="B429"/>
      <c r="C429"/>
      <c r="D429"/>
      <c r="E429"/>
    </row>
    <row r="430" spans="1:5">
      <c r="A430"/>
      <c r="B430"/>
      <c r="C430"/>
      <c r="D430"/>
      <c r="E430"/>
    </row>
    <row r="431" spans="1:5">
      <c r="A431"/>
      <c r="B431"/>
      <c r="C431"/>
      <c r="D431"/>
      <c r="E431"/>
    </row>
    <row r="432" spans="1:5">
      <c r="A432"/>
      <c r="B432"/>
      <c r="C432"/>
      <c r="D432"/>
      <c r="E432"/>
    </row>
    <row r="433" spans="1:5">
      <c r="A433"/>
      <c r="B433"/>
      <c r="C433"/>
      <c r="D433"/>
      <c r="E433"/>
    </row>
    <row r="434" spans="1:5">
      <c r="A434"/>
      <c r="B434"/>
      <c r="C434"/>
      <c r="D434"/>
      <c r="E434"/>
    </row>
    <row r="435" spans="1:5">
      <c r="A435"/>
      <c r="B435"/>
      <c r="C435"/>
      <c r="D435"/>
      <c r="E435"/>
    </row>
    <row r="436" spans="1:5">
      <c r="A436"/>
      <c r="B436"/>
      <c r="C436"/>
      <c r="D436"/>
      <c r="E436"/>
    </row>
    <row r="437" spans="1:5">
      <c r="A437"/>
      <c r="B437"/>
      <c r="C437"/>
      <c r="D437"/>
      <c r="E437"/>
    </row>
    <row r="438" spans="1:5">
      <c r="A438"/>
      <c r="B438"/>
      <c r="C438"/>
      <c r="D438"/>
      <c r="E438"/>
    </row>
    <row r="439" spans="1:5">
      <c r="A439"/>
      <c r="B439"/>
      <c r="C439"/>
      <c r="D439"/>
      <c r="E439"/>
    </row>
    <row r="440" spans="1:5">
      <c r="A440"/>
      <c r="B440"/>
      <c r="C440"/>
      <c r="D440"/>
      <c r="E440"/>
    </row>
    <row r="441" spans="1:5">
      <c r="A441"/>
      <c r="B441"/>
      <c r="C441"/>
      <c r="D441"/>
      <c r="E441"/>
    </row>
    <row r="442" spans="1:5">
      <c r="A442"/>
      <c r="B442"/>
      <c r="C442"/>
      <c r="D442"/>
      <c r="E442"/>
    </row>
    <row r="443" spans="1:5">
      <c r="A443"/>
      <c r="B443"/>
      <c r="C443"/>
      <c r="D443"/>
      <c r="E443"/>
    </row>
    <row r="444" spans="1:5">
      <c r="A444"/>
      <c r="B444"/>
      <c r="C444"/>
      <c r="D444"/>
      <c r="E444"/>
    </row>
    <row r="445" spans="1:5">
      <c r="A445"/>
      <c r="B445"/>
      <c r="C445"/>
      <c r="D445"/>
      <c r="E445"/>
    </row>
    <row r="446" spans="1:5">
      <c r="A446"/>
      <c r="B446"/>
      <c r="C446"/>
      <c r="D446"/>
      <c r="E446"/>
    </row>
    <row r="447" spans="1:5">
      <c r="A447"/>
      <c r="B447"/>
      <c r="C447"/>
      <c r="D447"/>
      <c r="E447"/>
    </row>
    <row r="448" spans="1:5">
      <c r="A448"/>
      <c r="B448"/>
      <c r="C448"/>
      <c r="D448"/>
      <c r="E448"/>
    </row>
    <row r="449" spans="1:5">
      <c r="A449"/>
      <c r="B449"/>
      <c r="C449"/>
      <c r="D449"/>
      <c r="E449"/>
    </row>
    <row r="450" spans="1:5">
      <c r="A450"/>
      <c r="B450"/>
      <c r="C450"/>
      <c r="D450"/>
      <c r="E450"/>
    </row>
    <row r="451" spans="1:5">
      <c r="A451"/>
      <c r="B451"/>
      <c r="C451"/>
      <c r="D451"/>
      <c r="E451"/>
    </row>
    <row r="452" spans="1:5">
      <c r="A452"/>
      <c r="B452"/>
      <c r="C452"/>
      <c r="D452"/>
      <c r="E452"/>
    </row>
    <row r="453" spans="1:5">
      <c r="A453"/>
      <c r="B453"/>
      <c r="C453"/>
      <c r="D453"/>
      <c r="E453"/>
    </row>
    <row r="454" spans="1:5">
      <c r="A454"/>
      <c r="B454"/>
      <c r="C454"/>
      <c r="D454"/>
      <c r="E454"/>
    </row>
    <row r="455" spans="1:5">
      <c r="A455"/>
      <c r="B455"/>
      <c r="C455"/>
      <c r="D455"/>
      <c r="E455"/>
    </row>
    <row r="456" spans="1:5">
      <c r="A456"/>
      <c r="B456"/>
      <c r="C456"/>
      <c r="D456"/>
      <c r="E456"/>
    </row>
    <row r="457" spans="1:5">
      <c r="A457"/>
      <c r="B457"/>
      <c r="C457"/>
      <c r="D457"/>
      <c r="E457"/>
    </row>
    <row r="458" spans="1:5">
      <c r="A458"/>
      <c r="B458"/>
      <c r="C458"/>
      <c r="D458"/>
      <c r="E458"/>
    </row>
    <row r="459" spans="1:5">
      <c r="A459"/>
      <c r="B459"/>
      <c r="C459"/>
      <c r="D459"/>
      <c r="E459"/>
    </row>
    <row r="460" spans="1:5">
      <c r="A460"/>
      <c r="B460"/>
      <c r="C460"/>
      <c r="D460"/>
      <c r="E460"/>
    </row>
    <row r="461" spans="1:5">
      <c r="A461"/>
      <c r="B461"/>
      <c r="C461"/>
      <c r="D461"/>
      <c r="E461"/>
    </row>
    <row r="462" spans="1:5">
      <c r="A462"/>
      <c r="B462"/>
      <c r="C462"/>
      <c r="D462"/>
      <c r="E462"/>
    </row>
    <row r="463" spans="1:5">
      <c r="A463"/>
      <c r="B463"/>
      <c r="C463"/>
      <c r="D463"/>
      <c r="E463"/>
    </row>
    <row r="464" spans="1:5">
      <c r="A464"/>
      <c r="B464"/>
      <c r="C464"/>
      <c r="D464"/>
      <c r="E464"/>
    </row>
    <row r="465" spans="1:5">
      <c r="A465"/>
      <c r="B465"/>
      <c r="C465"/>
      <c r="D465"/>
      <c r="E465"/>
    </row>
    <row r="466" spans="1:5">
      <c r="A466"/>
      <c r="B466"/>
      <c r="C466"/>
      <c r="D466"/>
      <c r="E466"/>
    </row>
    <row r="467" spans="1:5">
      <c r="A467"/>
      <c r="B467"/>
      <c r="C467"/>
      <c r="D467"/>
      <c r="E467"/>
    </row>
    <row r="468" spans="1:5">
      <c r="A468"/>
      <c r="B468"/>
      <c r="C468"/>
      <c r="D468"/>
      <c r="E468"/>
    </row>
    <row r="469" spans="1:5">
      <c r="A469"/>
      <c r="B469"/>
      <c r="C469"/>
      <c r="D469"/>
      <c r="E469"/>
    </row>
    <row r="470" spans="1:5">
      <c r="A470"/>
      <c r="B470"/>
      <c r="C470"/>
      <c r="D470"/>
      <c r="E470"/>
    </row>
    <row r="471" spans="1:5">
      <c r="A471"/>
      <c r="B471"/>
      <c r="C471"/>
      <c r="D471"/>
      <c r="E471"/>
    </row>
    <row r="472" spans="1:5">
      <c r="A472"/>
      <c r="B472"/>
      <c r="C472"/>
      <c r="D472"/>
      <c r="E472"/>
    </row>
    <row r="473" spans="1:5">
      <c r="A473"/>
      <c r="B473"/>
      <c r="C473"/>
      <c r="D473"/>
      <c r="E473"/>
    </row>
    <row r="474" spans="1:5">
      <c r="A474"/>
      <c r="B474"/>
      <c r="C474"/>
      <c r="D474"/>
      <c r="E474"/>
    </row>
    <row r="475" spans="1:5">
      <c r="A475"/>
      <c r="B475"/>
      <c r="C475"/>
      <c r="D475"/>
      <c r="E475"/>
    </row>
    <row r="476" spans="1:5">
      <c r="A476"/>
      <c r="B476"/>
      <c r="C476"/>
      <c r="D476"/>
      <c r="E476"/>
    </row>
    <row r="477" spans="1:5">
      <c r="A477"/>
      <c r="B477"/>
      <c r="C477"/>
      <c r="D477"/>
      <c r="E477"/>
    </row>
    <row r="478" spans="1:5">
      <c r="A478"/>
      <c r="B478"/>
      <c r="C478"/>
      <c r="D478"/>
      <c r="E478"/>
    </row>
    <row r="479" spans="1:5">
      <c r="A479"/>
      <c r="B479"/>
      <c r="C479"/>
      <c r="D479"/>
      <c r="E479"/>
    </row>
    <row r="480" spans="1:5">
      <c r="A480"/>
      <c r="B480"/>
      <c r="C480"/>
      <c r="D480"/>
      <c r="E480"/>
    </row>
    <row r="481" spans="1:5">
      <c r="A481"/>
      <c r="B481"/>
      <c r="C481"/>
      <c r="D481"/>
      <c r="E481"/>
    </row>
    <row r="482" spans="1:5">
      <c r="A482"/>
      <c r="B482"/>
      <c r="C482"/>
      <c r="D482"/>
      <c r="E482"/>
    </row>
    <row r="483" spans="1:5">
      <c r="A483"/>
      <c r="B483"/>
      <c r="C483"/>
      <c r="D483"/>
      <c r="E483"/>
    </row>
    <row r="484" spans="1:5">
      <c r="A484"/>
      <c r="B484"/>
      <c r="C484"/>
      <c r="D484"/>
      <c r="E484"/>
    </row>
    <row r="485" spans="1:5">
      <c r="A485"/>
      <c r="B485"/>
      <c r="C485"/>
      <c r="D485"/>
      <c r="E485"/>
    </row>
    <row r="486" spans="1:5">
      <c r="A486"/>
      <c r="B486"/>
      <c r="C486"/>
      <c r="D486"/>
      <c r="E486"/>
    </row>
    <row r="487" spans="1:5">
      <c r="A487"/>
      <c r="B487"/>
      <c r="C487"/>
      <c r="D487"/>
      <c r="E487"/>
    </row>
    <row r="488" spans="1:5">
      <c r="A488"/>
      <c r="B488"/>
      <c r="C488"/>
      <c r="D488"/>
      <c r="E488"/>
    </row>
    <row r="489" spans="1:5">
      <c r="A489"/>
      <c r="B489"/>
      <c r="C489"/>
      <c r="D489"/>
      <c r="E489"/>
    </row>
    <row r="490" spans="1:5">
      <c r="A490"/>
      <c r="B490"/>
      <c r="C490"/>
      <c r="D490"/>
      <c r="E490"/>
    </row>
    <row r="491" spans="1:5">
      <c r="A491"/>
      <c r="B491"/>
      <c r="C491"/>
      <c r="D491"/>
      <c r="E491"/>
    </row>
    <row r="492" spans="1:5">
      <c r="A492"/>
      <c r="B492"/>
      <c r="C492"/>
      <c r="D492"/>
      <c r="E492"/>
    </row>
    <row r="493" spans="1:5">
      <c r="A493"/>
      <c r="B493"/>
      <c r="C493"/>
      <c r="D493"/>
      <c r="E493"/>
    </row>
    <row r="494" spans="1:5">
      <c r="A494"/>
      <c r="B494"/>
      <c r="C494"/>
      <c r="D494"/>
      <c r="E494"/>
    </row>
    <row r="495" spans="1:5">
      <c r="A495"/>
      <c r="B495"/>
      <c r="C495"/>
      <c r="D495"/>
      <c r="E495"/>
    </row>
    <row r="496" spans="1:5">
      <c r="A496"/>
      <c r="B496"/>
      <c r="C496"/>
      <c r="D496"/>
      <c r="E496"/>
    </row>
    <row r="497" spans="1:5">
      <c r="A497"/>
      <c r="B497"/>
      <c r="C497"/>
      <c r="D497"/>
      <c r="E497"/>
    </row>
    <row r="498" spans="1:5">
      <c r="A498"/>
      <c r="B498"/>
      <c r="C498"/>
      <c r="D498"/>
      <c r="E498"/>
    </row>
    <row r="499" spans="1:5">
      <c r="A499"/>
      <c r="B499"/>
      <c r="C499"/>
      <c r="D499"/>
      <c r="E499"/>
    </row>
    <row r="500" spans="1:5">
      <c r="A500"/>
      <c r="B500"/>
      <c r="C500"/>
      <c r="D500"/>
      <c r="E500"/>
    </row>
    <row r="501" spans="1:5">
      <c r="A501"/>
      <c r="B501"/>
      <c r="C501"/>
      <c r="D501"/>
      <c r="E501"/>
    </row>
    <row r="502" spans="1:5">
      <c r="A502"/>
      <c r="B502"/>
      <c r="C502"/>
      <c r="D502"/>
      <c r="E502"/>
    </row>
    <row r="503" spans="1:5">
      <c r="A503"/>
      <c r="B503"/>
      <c r="C503"/>
      <c r="D503"/>
      <c r="E503"/>
    </row>
    <row r="504" spans="1:5">
      <c r="A504"/>
      <c r="B504"/>
      <c r="C504"/>
      <c r="D504"/>
      <c r="E504"/>
    </row>
    <row r="505" spans="1:5">
      <c r="A505"/>
      <c r="B505"/>
      <c r="C505"/>
      <c r="D505"/>
      <c r="E505"/>
    </row>
    <row r="506" spans="1:5">
      <c r="A506"/>
      <c r="B506"/>
      <c r="C506"/>
      <c r="D506"/>
      <c r="E506"/>
    </row>
    <row r="507" spans="1:5">
      <c r="A507"/>
      <c r="B507"/>
      <c r="C507"/>
      <c r="D507"/>
      <c r="E507"/>
    </row>
    <row r="508" spans="1:5">
      <c r="A508"/>
      <c r="B508"/>
      <c r="C508"/>
      <c r="D508"/>
      <c r="E508"/>
    </row>
    <row r="509" spans="1:5">
      <c r="A509"/>
      <c r="B509"/>
      <c r="C509"/>
      <c r="D509"/>
      <c r="E509"/>
    </row>
    <row r="510" spans="1:5">
      <c r="A510"/>
      <c r="B510"/>
      <c r="C510"/>
      <c r="D510"/>
      <c r="E510"/>
    </row>
    <row r="511" spans="1:5">
      <c r="A511"/>
      <c r="B511"/>
      <c r="C511"/>
      <c r="D511"/>
      <c r="E511"/>
    </row>
    <row r="512" spans="1:5">
      <c r="A512"/>
      <c r="B512"/>
      <c r="C512"/>
      <c r="D512"/>
      <c r="E512"/>
    </row>
    <row r="513" spans="1:5">
      <c r="A513"/>
      <c r="B513"/>
      <c r="C513"/>
      <c r="D513"/>
      <c r="E513"/>
    </row>
    <row r="514" spans="1:5">
      <c r="A514"/>
      <c r="B514"/>
      <c r="C514"/>
      <c r="D514"/>
      <c r="E514"/>
    </row>
    <row r="515" spans="1:5">
      <c r="A515"/>
      <c r="B515"/>
      <c r="C515"/>
      <c r="D515"/>
      <c r="E515"/>
    </row>
    <row r="516" spans="1:5">
      <c r="A516"/>
      <c r="B516"/>
      <c r="C516"/>
      <c r="D516"/>
      <c r="E516"/>
    </row>
    <row r="517" spans="1:5">
      <c r="A517"/>
      <c r="B517"/>
      <c r="C517"/>
      <c r="D517"/>
      <c r="E517"/>
    </row>
    <row r="518" spans="1:5">
      <c r="A518"/>
      <c r="B518"/>
      <c r="C518"/>
      <c r="D518"/>
      <c r="E518"/>
    </row>
    <row r="519" spans="1:5">
      <c r="A519"/>
      <c r="B519"/>
      <c r="C519"/>
      <c r="D519"/>
      <c r="E519"/>
    </row>
    <row r="520" spans="1:5">
      <c r="A520"/>
      <c r="B520"/>
      <c r="C520"/>
      <c r="D520"/>
      <c r="E520"/>
    </row>
    <row r="521" spans="1:5">
      <c r="A521"/>
      <c r="B521"/>
      <c r="C521"/>
      <c r="D521"/>
      <c r="E521"/>
    </row>
    <row r="522" spans="1:5">
      <c r="A522"/>
      <c r="B522"/>
      <c r="C522"/>
      <c r="D522"/>
      <c r="E522"/>
    </row>
    <row r="523" spans="1:5">
      <c r="A523"/>
      <c r="B523"/>
      <c r="C523"/>
      <c r="D523"/>
      <c r="E523"/>
    </row>
    <row r="524" spans="1:5">
      <c r="A524"/>
      <c r="B524"/>
      <c r="C524"/>
      <c r="D524"/>
      <c r="E524"/>
    </row>
    <row r="525" spans="1:5">
      <c r="A525"/>
      <c r="B525"/>
      <c r="C525"/>
      <c r="D525"/>
      <c r="E525"/>
    </row>
    <row r="526" spans="1:5">
      <c r="A526"/>
      <c r="B526"/>
      <c r="C526"/>
      <c r="D526"/>
      <c r="E526"/>
    </row>
    <row r="527" spans="1:5">
      <c r="A527"/>
      <c r="B527"/>
      <c r="C527"/>
      <c r="D527"/>
      <c r="E527"/>
    </row>
    <row r="528" spans="1:5">
      <c r="A528"/>
      <c r="B528"/>
      <c r="C528"/>
      <c r="D528"/>
      <c r="E528"/>
    </row>
    <row r="529" spans="1:5">
      <c r="A529"/>
      <c r="B529"/>
      <c r="C529"/>
      <c r="D529"/>
      <c r="E529"/>
    </row>
    <row r="530" spans="1:5">
      <c r="A530"/>
      <c r="B530"/>
      <c r="C530"/>
      <c r="D530"/>
      <c r="E530"/>
    </row>
    <row r="531" spans="1:5">
      <c r="A531"/>
      <c r="B531"/>
      <c r="C531"/>
      <c r="D531"/>
      <c r="E531"/>
    </row>
    <row r="532" spans="1:5">
      <c r="A532"/>
      <c r="B532"/>
      <c r="C532"/>
      <c r="D532"/>
      <c r="E532"/>
    </row>
    <row r="533" spans="1:5">
      <c r="A533"/>
      <c r="B533"/>
      <c r="C533"/>
      <c r="D533"/>
      <c r="E533"/>
    </row>
    <row r="534" spans="1:5">
      <c r="A534"/>
      <c r="B534"/>
      <c r="C534"/>
      <c r="D534"/>
      <c r="E534"/>
    </row>
    <row r="535" spans="1:5">
      <c r="A535"/>
      <c r="B535"/>
      <c r="C535"/>
      <c r="D535"/>
      <c r="E535"/>
    </row>
    <row r="536" spans="1:5">
      <c r="A536"/>
      <c r="B536"/>
      <c r="C536"/>
      <c r="D536"/>
      <c r="E536"/>
    </row>
    <row r="537" spans="1:5">
      <c r="A537"/>
      <c r="B537"/>
      <c r="C537"/>
      <c r="D537"/>
      <c r="E537"/>
    </row>
    <row r="538" spans="1:5">
      <c r="A538"/>
      <c r="B538"/>
      <c r="C538"/>
      <c r="D538"/>
      <c r="E538"/>
    </row>
    <row r="539" spans="1:5">
      <c r="A539"/>
      <c r="B539"/>
      <c r="C539"/>
      <c r="D539"/>
      <c r="E539"/>
    </row>
    <row r="540" spans="1:5">
      <c r="A540"/>
      <c r="B540"/>
      <c r="C540"/>
      <c r="D540"/>
      <c r="E540"/>
    </row>
    <row r="541" spans="1:5">
      <c r="A541"/>
      <c r="B541"/>
      <c r="C541"/>
      <c r="D541"/>
      <c r="E541"/>
    </row>
    <row r="542" spans="1:5">
      <c r="A542"/>
      <c r="B542"/>
      <c r="C542"/>
      <c r="D542"/>
      <c r="E542"/>
    </row>
    <row r="543" spans="1:5">
      <c r="A543"/>
      <c r="B543"/>
      <c r="C543"/>
      <c r="D543"/>
      <c r="E543"/>
    </row>
    <row r="544" spans="1:5">
      <c r="A544"/>
      <c r="B544"/>
      <c r="C544"/>
      <c r="D544"/>
      <c r="E544"/>
    </row>
    <row r="545" spans="1:5">
      <c r="A545"/>
      <c r="B545"/>
      <c r="C545"/>
      <c r="D545"/>
      <c r="E545"/>
    </row>
    <row r="546" spans="1:5">
      <c r="A546"/>
      <c r="B546"/>
      <c r="C546"/>
      <c r="D546"/>
      <c r="E546"/>
    </row>
    <row r="547" spans="1:5">
      <c r="A547"/>
      <c r="B547"/>
      <c r="C547"/>
      <c r="D547"/>
      <c r="E547"/>
    </row>
    <row r="548" spans="1:5">
      <c r="A548"/>
      <c r="B548"/>
      <c r="C548"/>
      <c r="D548"/>
      <c r="E548"/>
    </row>
    <row r="549" spans="1:5">
      <c r="A549"/>
      <c r="B549"/>
      <c r="C549"/>
      <c r="D549"/>
      <c r="E549"/>
    </row>
    <row r="550" spans="1:5">
      <c r="A550"/>
      <c r="B550"/>
      <c r="C550"/>
      <c r="D550"/>
      <c r="E550"/>
    </row>
    <row r="551" spans="1:5">
      <c r="A551"/>
      <c r="B551"/>
      <c r="C551"/>
      <c r="D551"/>
      <c r="E551"/>
    </row>
    <row r="552" spans="1:5">
      <c r="A552"/>
      <c r="B552"/>
      <c r="C552"/>
      <c r="D552"/>
      <c r="E552"/>
    </row>
    <row r="553" spans="1:5">
      <c r="A553"/>
      <c r="B553"/>
      <c r="C553"/>
      <c r="D553"/>
      <c r="E553"/>
    </row>
    <row r="554" spans="1:5">
      <c r="A554"/>
      <c r="B554"/>
      <c r="C554"/>
      <c r="D554"/>
      <c r="E554"/>
    </row>
    <row r="555" spans="1:5">
      <c r="A555"/>
      <c r="B555"/>
      <c r="C555"/>
      <c r="D555"/>
      <c r="E555"/>
    </row>
    <row r="556" spans="1:5">
      <c r="A556"/>
      <c r="B556"/>
      <c r="C556"/>
      <c r="D556"/>
      <c r="E556"/>
    </row>
    <row r="557" spans="1:5">
      <c r="A557"/>
      <c r="B557"/>
      <c r="C557"/>
      <c r="D557"/>
      <c r="E557"/>
    </row>
    <row r="558" spans="1:5">
      <c r="A558"/>
      <c r="B558"/>
      <c r="C558"/>
      <c r="D558"/>
      <c r="E558"/>
    </row>
    <row r="559" spans="1:5">
      <c r="A559"/>
      <c r="B559"/>
      <c r="C559"/>
      <c r="D559"/>
      <c r="E559"/>
    </row>
    <row r="560" spans="1:5">
      <c r="A560"/>
      <c r="B560"/>
      <c r="C560"/>
      <c r="D560"/>
      <c r="E560"/>
    </row>
    <row r="561" spans="1:5">
      <c r="A561"/>
      <c r="B561"/>
      <c r="C561"/>
      <c r="D561"/>
      <c r="E561"/>
    </row>
    <row r="562" spans="1:5">
      <c r="A562"/>
      <c r="B562"/>
      <c r="C562"/>
      <c r="D562"/>
      <c r="E562"/>
    </row>
    <row r="563" spans="1:5">
      <c r="A563"/>
      <c r="B563"/>
      <c r="C563"/>
      <c r="D563"/>
      <c r="E563"/>
    </row>
    <row r="564" spans="1:5">
      <c r="A564"/>
      <c r="B564"/>
      <c r="C564"/>
      <c r="D564"/>
      <c r="E564"/>
    </row>
    <row r="565" spans="1:5">
      <c r="A565"/>
      <c r="B565"/>
      <c r="C565"/>
      <c r="D565"/>
      <c r="E565"/>
    </row>
    <row r="566" spans="1:5">
      <c r="A566"/>
      <c r="B566"/>
      <c r="C566"/>
      <c r="D566"/>
      <c r="E566"/>
    </row>
    <row r="567" spans="1:5">
      <c r="A567"/>
      <c r="B567"/>
      <c r="C567"/>
      <c r="D567"/>
      <c r="E567"/>
    </row>
    <row r="568" spans="1:5">
      <c r="A568"/>
      <c r="B568"/>
      <c r="C568"/>
      <c r="D568"/>
      <c r="E568"/>
    </row>
    <row r="569" spans="1:5">
      <c r="A569"/>
      <c r="B569"/>
      <c r="C569"/>
      <c r="D569"/>
      <c r="E569"/>
    </row>
    <row r="570" spans="1:5">
      <c r="A570"/>
      <c r="B570"/>
      <c r="C570"/>
      <c r="D570"/>
      <c r="E570"/>
    </row>
    <row r="571" spans="1:5">
      <c r="A571"/>
      <c r="B571"/>
      <c r="C571"/>
      <c r="D571"/>
      <c r="E571"/>
    </row>
    <row r="572" spans="1:5">
      <c r="A572"/>
      <c r="B572"/>
      <c r="C572"/>
      <c r="D572"/>
      <c r="E572"/>
    </row>
    <row r="573" spans="1:5">
      <c r="A573"/>
      <c r="B573"/>
      <c r="C573"/>
      <c r="D573"/>
      <c r="E573"/>
    </row>
  </sheetData>
  <mergeCells count="1">
    <mergeCell ref="A1:X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L2:P105"/>
  <sheetViews>
    <sheetView showGridLines="0" workbookViewId="0">
      <selection activeCell="J29" sqref="J29"/>
    </sheetView>
  </sheetViews>
  <sheetFormatPr defaultColWidth="14" defaultRowHeight="15.75"/>
  <cols>
    <col min="9" max="9" width="22.625" customWidth="1"/>
    <col min="10" max="10" width="24.75" customWidth="1"/>
    <col min="11" max="11" width="42.5" customWidth="1"/>
    <col min="12" max="12" width="14" hidden="1" customWidth="1"/>
    <col min="13" max="13" width="17.25" hidden="1" customWidth="1"/>
    <col min="14" max="14" width="57" hidden="1" customWidth="1"/>
    <col min="15" max="15" width="45.375" hidden="1" customWidth="1"/>
    <col min="16" max="16" width="71.75" hidden="1" customWidth="1"/>
  </cols>
  <sheetData>
    <row r="2" spans="12:16">
      <c r="L2" s="538" t="s">
        <v>35</v>
      </c>
      <c r="M2" s="530" t="s">
        <v>1885</v>
      </c>
    </row>
    <row r="3" spans="12:16">
      <c r="N3" s="414"/>
      <c r="O3" s="414"/>
      <c r="P3" s="414"/>
    </row>
    <row r="4" spans="12:16">
      <c r="L4" s="538" t="s">
        <v>24</v>
      </c>
      <c r="M4" s="538" t="s">
        <v>20</v>
      </c>
      <c r="N4" s="530" t="s">
        <v>2778</v>
      </c>
      <c r="O4" s="530" t="s">
        <v>2779</v>
      </c>
      <c r="P4" s="530" t="s">
        <v>2780</v>
      </c>
    </row>
    <row r="5" spans="12:16">
      <c r="L5" s="530" t="s">
        <v>416</v>
      </c>
      <c r="M5" s="530" t="s">
        <v>2387</v>
      </c>
      <c r="N5" s="528">
        <v>4717</v>
      </c>
      <c r="O5" s="528">
        <v>4129</v>
      </c>
      <c r="P5" s="528">
        <v>1284.8370370370371</v>
      </c>
    </row>
    <row r="6" spans="12:16">
      <c r="M6" s="530" t="s">
        <v>2389</v>
      </c>
      <c r="N6" s="528">
        <v>4836</v>
      </c>
      <c r="O6" s="528">
        <v>4629</v>
      </c>
      <c r="P6" s="528">
        <v>4836</v>
      </c>
    </row>
    <row r="7" spans="12:16">
      <c r="M7" s="530" t="s">
        <v>2388</v>
      </c>
      <c r="N7" s="528">
        <v>4859</v>
      </c>
      <c r="O7" s="528">
        <v>4859</v>
      </c>
      <c r="P7" s="528">
        <v>4859</v>
      </c>
    </row>
    <row r="8" spans="12:16">
      <c r="L8" s="530" t="s">
        <v>3057</v>
      </c>
      <c r="M8" s="530"/>
      <c r="N8" s="528">
        <v>14412</v>
      </c>
      <c r="O8" s="528">
        <v>13617</v>
      </c>
      <c r="P8" s="528">
        <v>10979.837037037038</v>
      </c>
    </row>
    <row r="9" spans="12:16">
      <c r="L9" s="530" t="s">
        <v>418</v>
      </c>
      <c r="M9" s="530" t="s">
        <v>2387</v>
      </c>
      <c r="N9" s="528">
        <v>1895</v>
      </c>
      <c r="O9" s="528">
        <v>2111</v>
      </c>
      <c r="P9" s="528">
        <v>2111</v>
      </c>
    </row>
    <row r="10" spans="12:16">
      <c r="M10" s="530" t="s">
        <v>2389</v>
      </c>
      <c r="N10" s="528">
        <v>1910</v>
      </c>
      <c r="O10" s="528">
        <v>2111</v>
      </c>
      <c r="P10" s="528">
        <v>2111</v>
      </c>
    </row>
    <row r="11" spans="12:16">
      <c r="M11" s="530" t="s">
        <v>2388</v>
      </c>
      <c r="N11" s="528">
        <v>2111</v>
      </c>
      <c r="O11" s="528">
        <v>2111</v>
      </c>
      <c r="P11" s="528">
        <v>2111</v>
      </c>
    </row>
    <row r="12" spans="12:16">
      <c r="L12" s="530" t="s">
        <v>3058</v>
      </c>
      <c r="M12" s="530"/>
      <c r="N12" s="528">
        <v>5916</v>
      </c>
      <c r="O12" s="528">
        <v>6333</v>
      </c>
      <c r="P12" s="528">
        <v>6333</v>
      </c>
    </row>
    <row r="13" spans="12:16">
      <c r="L13" s="530" t="s">
        <v>429</v>
      </c>
      <c r="M13" s="530" t="s">
        <v>2387</v>
      </c>
      <c r="N13" s="528">
        <v>4892</v>
      </c>
      <c r="O13" s="528">
        <v>4130</v>
      </c>
      <c r="P13" s="528">
        <v>4892</v>
      </c>
    </row>
    <row r="14" spans="12:16">
      <c r="M14" s="530" t="s">
        <v>2389</v>
      </c>
      <c r="N14" s="528">
        <v>4892</v>
      </c>
      <c r="O14" s="528">
        <v>4892</v>
      </c>
      <c r="P14" s="528">
        <v>4892</v>
      </c>
    </row>
    <row r="15" spans="12:16">
      <c r="M15" s="530" t="s">
        <v>2388</v>
      </c>
      <c r="N15" s="528">
        <v>4892</v>
      </c>
      <c r="O15" s="528">
        <v>4892</v>
      </c>
      <c r="P15" s="528">
        <v>4892</v>
      </c>
    </row>
    <row r="16" spans="12:16">
      <c r="L16" s="530" t="s">
        <v>3059</v>
      </c>
      <c r="M16" s="530"/>
      <c r="N16" s="528">
        <v>14676</v>
      </c>
      <c r="O16" s="528">
        <v>13914</v>
      </c>
      <c r="P16" s="528">
        <v>14676</v>
      </c>
    </row>
    <row r="17" spans="12:16">
      <c r="L17" s="530" t="s">
        <v>431</v>
      </c>
      <c r="M17" s="530" t="s">
        <v>2387</v>
      </c>
      <c r="N17" s="528">
        <v>6936</v>
      </c>
      <c r="O17" s="528">
        <v>5830</v>
      </c>
      <c r="P17" s="528">
        <v>6936</v>
      </c>
    </row>
    <row r="18" spans="12:16">
      <c r="M18" s="530" t="s">
        <v>2389</v>
      </c>
      <c r="N18" s="528">
        <v>6615</v>
      </c>
      <c r="O18" s="528">
        <v>5060</v>
      </c>
      <c r="P18" s="528">
        <v>6936</v>
      </c>
    </row>
    <row r="19" spans="12:16">
      <c r="M19" s="530" t="s">
        <v>2388</v>
      </c>
      <c r="N19" s="528">
        <v>6936</v>
      </c>
      <c r="O19" s="528">
        <v>4760</v>
      </c>
      <c r="P19" s="528">
        <v>6936</v>
      </c>
    </row>
    <row r="20" spans="12:16">
      <c r="L20" s="530" t="s">
        <v>3060</v>
      </c>
      <c r="M20" s="530"/>
      <c r="N20" s="528">
        <v>20487</v>
      </c>
      <c r="O20" s="528">
        <v>15650</v>
      </c>
      <c r="P20" s="528">
        <v>20808</v>
      </c>
    </row>
    <row r="21" spans="12:16">
      <c r="L21" s="530" t="s">
        <v>428</v>
      </c>
      <c r="M21" s="530" t="s">
        <v>2387</v>
      </c>
      <c r="N21" s="528">
        <v>11625</v>
      </c>
      <c r="O21" s="528">
        <v>8160</v>
      </c>
      <c r="P21" s="528">
        <v>11625</v>
      </c>
    </row>
    <row r="22" spans="12:16">
      <c r="M22" s="530" t="s">
        <v>2389</v>
      </c>
      <c r="N22" s="528">
        <v>9245</v>
      </c>
      <c r="O22" s="528">
        <v>8770</v>
      </c>
      <c r="P22" s="528">
        <v>11625</v>
      </c>
    </row>
    <row r="23" spans="12:16">
      <c r="M23" s="530" t="s">
        <v>2388</v>
      </c>
      <c r="N23" s="528">
        <v>11625</v>
      </c>
      <c r="O23" s="528">
        <v>7910</v>
      </c>
      <c r="P23" s="528">
        <v>11625</v>
      </c>
    </row>
    <row r="24" spans="12:16">
      <c r="L24" s="530" t="s">
        <v>3061</v>
      </c>
      <c r="M24" s="530"/>
      <c r="N24" s="528">
        <v>32495</v>
      </c>
      <c r="O24" s="528">
        <v>24840</v>
      </c>
      <c r="P24" s="528">
        <v>34875</v>
      </c>
    </row>
    <row r="25" spans="12:16">
      <c r="L25" s="530" t="s">
        <v>427</v>
      </c>
      <c r="M25" s="530" t="s">
        <v>2387</v>
      </c>
      <c r="N25" s="528">
        <v>3360</v>
      </c>
      <c r="O25" s="528">
        <v>0</v>
      </c>
      <c r="P25" s="528">
        <v>3360</v>
      </c>
    </row>
    <row r="26" spans="12:16">
      <c r="M26" s="530" t="s">
        <v>2389</v>
      </c>
      <c r="N26" s="528">
        <v>2990</v>
      </c>
      <c r="O26" s="528">
        <v>500</v>
      </c>
      <c r="P26" s="528">
        <v>3360</v>
      </c>
    </row>
    <row r="27" spans="12:16">
      <c r="M27" s="530" t="s">
        <v>2388</v>
      </c>
      <c r="N27" s="528">
        <v>3360</v>
      </c>
      <c r="O27" s="528">
        <v>500</v>
      </c>
      <c r="P27" s="528">
        <v>3360</v>
      </c>
    </row>
    <row r="28" spans="12:16">
      <c r="L28" s="530" t="s">
        <v>3062</v>
      </c>
      <c r="M28" s="530"/>
      <c r="N28" s="528">
        <v>9710</v>
      </c>
      <c r="O28" s="528">
        <v>1000</v>
      </c>
      <c r="P28" s="528">
        <v>10080</v>
      </c>
    </row>
    <row r="29" spans="12:16">
      <c r="L29" s="530" t="s">
        <v>372</v>
      </c>
      <c r="M29" s="530" t="s">
        <v>2387</v>
      </c>
      <c r="N29" s="528">
        <v>979</v>
      </c>
      <c r="O29" s="528">
        <v>979</v>
      </c>
      <c r="P29" s="528">
        <v>979</v>
      </c>
    </row>
    <row r="30" spans="12:16">
      <c r="M30" s="530" t="s">
        <v>2389</v>
      </c>
      <c r="N30" s="528">
        <v>974</v>
      </c>
      <c r="O30" s="528">
        <v>974</v>
      </c>
      <c r="P30" s="528">
        <v>974</v>
      </c>
    </row>
    <row r="31" spans="12:16">
      <c r="M31" s="530" t="s">
        <v>2388</v>
      </c>
      <c r="N31" s="528">
        <v>971</v>
      </c>
      <c r="O31" s="528">
        <v>971</v>
      </c>
      <c r="P31" s="528">
        <v>971</v>
      </c>
    </row>
    <row r="32" spans="12:16">
      <c r="L32" s="530" t="s">
        <v>3063</v>
      </c>
      <c r="M32" s="530"/>
      <c r="N32" s="528">
        <v>2924</v>
      </c>
      <c r="O32" s="528">
        <v>2924</v>
      </c>
      <c r="P32" s="528">
        <v>2924</v>
      </c>
    </row>
    <row r="33" spans="12:16">
      <c r="L33" s="530" t="s">
        <v>414</v>
      </c>
      <c r="M33" s="530" t="s">
        <v>2387</v>
      </c>
      <c r="N33" s="528">
        <v>6042</v>
      </c>
      <c r="O33" s="528">
        <v>3930</v>
      </c>
      <c r="P33" s="528">
        <v>6042</v>
      </c>
    </row>
    <row r="34" spans="12:16">
      <c r="M34" s="530" t="s">
        <v>2389</v>
      </c>
      <c r="N34" s="528">
        <v>6037</v>
      </c>
      <c r="O34" s="528">
        <v>3370</v>
      </c>
      <c r="P34" s="528">
        <v>6037</v>
      </c>
    </row>
    <row r="35" spans="12:16">
      <c r="M35" s="530" t="s">
        <v>2388</v>
      </c>
      <c r="N35" s="528">
        <v>6042</v>
      </c>
      <c r="O35" s="528">
        <v>3930</v>
      </c>
      <c r="P35" s="528">
        <v>6042</v>
      </c>
    </row>
    <row r="36" spans="12:16">
      <c r="L36" s="530" t="s">
        <v>3064</v>
      </c>
      <c r="M36" s="530"/>
      <c r="N36" s="528">
        <v>18121</v>
      </c>
      <c r="O36" s="528">
        <v>11230</v>
      </c>
      <c r="P36" s="528">
        <v>18121</v>
      </c>
    </row>
    <row r="37" spans="12:16">
      <c r="L37" s="530" t="s">
        <v>435</v>
      </c>
      <c r="M37" s="530" t="s">
        <v>2387</v>
      </c>
      <c r="N37" s="528">
        <v>3486</v>
      </c>
      <c r="O37" s="528">
        <v>3486</v>
      </c>
      <c r="P37" s="528">
        <v>3486</v>
      </c>
    </row>
    <row r="38" spans="12:16">
      <c r="M38" s="530" t="s">
        <v>2389</v>
      </c>
      <c r="N38" s="528">
        <v>0</v>
      </c>
      <c r="O38" s="528">
        <v>3486</v>
      </c>
      <c r="P38" s="528">
        <v>3486</v>
      </c>
    </row>
    <row r="39" spans="12:16">
      <c r="M39" s="530" t="s">
        <v>2388</v>
      </c>
      <c r="N39" s="528">
        <v>3486</v>
      </c>
      <c r="O39" s="528">
        <v>3486</v>
      </c>
      <c r="P39" s="528">
        <v>3486</v>
      </c>
    </row>
    <row r="40" spans="12:16">
      <c r="L40" s="530" t="s">
        <v>3065</v>
      </c>
      <c r="M40" s="530"/>
      <c r="N40" s="528">
        <v>6972</v>
      </c>
      <c r="O40" s="528">
        <v>10458</v>
      </c>
      <c r="P40" s="528">
        <v>10458</v>
      </c>
    </row>
    <row r="41" spans="12:16">
      <c r="L41" s="530" t="s">
        <v>410</v>
      </c>
      <c r="M41" s="530" t="s">
        <v>2387</v>
      </c>
      <c r="N41" s="528">
        <v>4645</v>
      </c>
      <c r="O41" s="528">
        <v>2074</v>
      </c>
      <c r="P41" s="528">
        <v>4645</v>
      </c>
    </row>
    <row r="42" spans="12:16">
      <c r="M42" s="530" t="s">
        <v>2389</v>
      </c>
      <c r="N42" s="528">
        <v>4671</v>
      </c>
      <c r="O42" s="528">
        <v>3134</v>
      </c>
      <c r="P42" s="528">
        <v>4671</v>
      </c>
    </row>
    <row r="43" spans="12:16">
      <c r="M43" s="530" t="s">
        <v>2388</v>
      </c>
      <c r="N43" s="528">
        <v>4671</v>
      </c>
      <c r="O43" s="528">
        <v>3114</v>
      </c>
      <c r="P43" s="528">
        <v>4671</v>
      </c>
    </row>
    <row r="44" spans="12:16">
      <c r="L44" s="530" t="s">
        <v>3066</v>
      </c>
      <c r="M44" s="530"/>
      <c r="N44" s="528">
        <v>13987</v>
      </c>
      <c r="O44" s="528">
        <v>8322</v>
      </c>
      <c r="P44" s="528">
        <v>13987</v>
      </c>
    </row>
    <row r="45" spans="12:16">
      <c r="L45" s="530" t="s">
        <v>411</v>
      </c>
      <c r="M45" s="530" t="s">
        <v>2387</v>
      </c>
      <c r="N45" s="528">
        <v>4104</v>
      </c>
      <c r="O45" s="528">
        <v>3023</v>
      </c>
      <c r="P45" s="528">
        <v>2717.6562962962967</v>
      </c>
    </row>
    <row r="46" spans="12:16">
      <c r="M46" s="530" t="s">
        <v>2389</v>
      </c>
      <c r="N46" s="528">
        <v>4676</v>
      </c>
      <c r="O46" s="528">
        <v>3483</v>
      </c>
      <c r="P46" s="528">
        <v>4676</v>
      </c>
    </row>
    <row r="47" spans="12:16">
      <c r="M47" s="530" t="s">
        <v>2388</v>
      </c>
      <c r="N47" s="528">
        <v>4676</v>
      </c>
      <c r="O47" s="528">
        <v>3823</v>
      </c>
      <c r="P47" s="528">
        <v>4676</v>
      </c>
    </row>
    <row r="48" spans="12:16">
      <c r="L48" s="530" t="s">
        <v>3067</v>
      </c>
      <c r="M48" s="530"/>
      <c r="N48" s="528">
        <v>13456</v>
      </c>
      <c r="O48" s="528">
        <v>10329</v>
      </c>
      <c r="P48" s="528">
        <v>12069.656296296296</v>
      </c>
    </row>
    <row r="49" spans="12:16">
      <c r="L49" s="530" t="s">
        <v>2701</v>
      </c>
      <c r="M49" s="530" t="s">
        <v>2387</v>
      </c>
      <c r="N49" s="528">
        <v>0</v>
      </c>
      <c r="O49" s="528">
        <v>581</v>
      </c>
      <c r="P49" s="528">
        <v>581</v>
      </c>
    </row>
    <row r="50" spans="12:16">
      <c r="M50" s="530" t="s">
        <v>2389</v>
      </c>
      <c r="N50" s="528">
        <v>0</v>
      </c>
      <c r="O50" s="528">
        <v>581</v>
      </c>
      <c r="P50" s="528">
        <v>0</v>
      </c>
    </row>
    <row r="51" spans="12:16">
      <c r="M51" s="530" t="s">
        <v>2388</v>
      </c>
      <c r="N51" s="528">
        <v>0</v>
      </c>
      <c r="O51" s="528">
        <v>581</v>
      </c>
      <c r="P51" s="528">
        <v>0</v>
      </c>
    </row>
    <row r="52" spans="12:16">
      <c r="L52" s="530" t="s">
        <v>3068</v>
      </c>
      <c r="M52" s="530"/>
      <c r="N52" s="528">
        <v>0</v>
      </c>
      <c r="O52" s="528">
        <v>1743</v>
      </c>
      <c r="P52" s="528">
        <v>581</v>
      </c>
    </row>
    <row r="53" spans="12:16">
      <c r="L53" s="530" t="s">
        <v>445</v>
      </c>
      <c r="M53" s="530" t="s">
        <v>2387</v>
      </c>
      <c r="N53" s="528">
        <v>3095</v>
      </c>
      <c r="O53" s="528">
        <v>3095</v>
      </c>
      <c r="P53" s="528">
        <v>3095</v>
      </c>
    </row>
    <row r="54" spans="12:16">
      <c r="M54" s="530" t="s">
        <v>2389</v>
      </c>
      <c r="N54" s="528">
        <v>3095</v>
      </c>
      <c r="O54" s="528">
        <v>3095</v>
      </c>
      <c r="P54" s="528">
        <v>3095</v>
      </c>
    </row>
    <row r="55" spans="12:16">
      <c r="M55" s="530" t="s">
        <v>2388</v>
      </c>
      <c r="N55" s="528">
        <v>3095</v>
      </c>
      <c r="O55" s="528">
        <v>3095</v>
      </c>
      <c r="P55" s="528">
        <v>3095</v>
      </c>
    </row>
    <row r="56" spans="12:16">
      <c r="L56" s="530" t="s">
        <v>3069</v>
      </c>
      <c r="M56" s="530"/>
      <c r="N56" s="528">
        <v>9285</v>
      </c>
      <c r="O56" s="528">
        <v>9285</v>
      </c>
      <c r="P56" s="528">
        <v>9285</v>
      </c>
    </row>
    <row r="57" spans="12:16">
      <c r="L57" s="530" t="s">
        <v>436</v>
      </c>
      <c r="M57" s="530" t="s">
        <v>2387</v>
      </c>
      <c r="N57" s="528">
        <v>13302</v>
      </c>
      <c r="O57" s="528">
        <v>8870</v>
      </c>
      <c r="P57" s="528">
        <v>13302</v>
      </c>
    </row>
    <row r="58" spans="12:16">
      <c r="M58" s="530" t="s">
        <v>2389</v>
      </c>
      <c r="N58" s="528">
        <v>13302</v>
      </c>
      <c r="O58" s="528">
        <v>10090</v>
      </c>
      <c r="P58" s="528">
        <v>13302</v>
      </c>
    </row>
    <row r="59" spans="12:16">
      <c r="M59" s="530" t="s">
        <v>2388</v>
      </c>
      <c r="N59" s="528">
        <v>13302</v>
      </c>
      <c r="O59" s="528">
        <v>10530</v>
      </c>
      <c r="P59" s="528">
        <v>13302</v>
      </c>
    </row>
    <row r="60" spans="12:16">
      <c r="L60" s="530" t="s">
        <v>3070</v>
      </c>
      <c r="M60" s="530"/>
      <c r="N60" s="528">
        <v>39906</v>
      </c>
      <c r="O60" s="528">
        <v>29490</v>
      </c>
      <c r="P60" s="528">
        <v>39906</v>
      </c>
    </row>
    <row r="61" spans="12:16">
      <c r="L61" s="530" t="s">
        <v>434</v>
      </c>
      <c r="M61" s="530" t="s">
        <v>2387</v>
      </c>
      <c r="N61" s="528">
        <v>11487</v>
      </c>
      <c r="O61" s="528">
        <v>6816</v>
      </c>
      <c r="P61" s="528">
        <v>11487</v>
      </c>
    </row>
    <row r="62" spans="12:16">
      <c r="M62" s="530" t="s">
        <v>2389</v>
      </c>
      <c r="N62" s="528">
        <v>11396</v>
      </c>
      <c r="O62" s="528">
        <v>11396</v>
      </c>
      <c r="P62" s="528">
        <v>11396</v>
      </c>
    </row>
    <row r="63" spans="12:16">
      <c r="M63" s="530" t="s">
        <v>2388</v>
      </c>
      <c r="N63" s="528">
        <v>11487</v>
      </c>
      <c r="O63" s="528">
        <v>8531</v>
      </c>
      <c r="P63" s="528">
        <v>11487</v>
      </c>
    </row>
    <row r="64" spans="12:16">
      <c r="L64" s="530" t="s">
        <v>3071</v>
      </c>
      <c r="M64" s="530"/>
      <c r="N64" s="528">
        <v>34370</v>
      </c>
      <c r="O64" s="528">
        <v>26743</v>
      </c>
      <c r="P64" s="528">
        <v>34370</v>
      </c>
    </row>
    <row r="65" spans="12:16">
      <c r="L65" s="530" t="s">
        <v>443</v>
      </c>
      <c r="M65" s="530" t="s">
        <v>2387</v>
      </c>
      <c r="N65" s="528">
        <v>11564</v>
      </c>
      <c r="O65" s="528">
        <v>11564</v>
      </c>
      <c r="P65" s="528">
        <v>11564</v>
      </c>
    </row>
    <row r="66" spans="12:16">
      <c r="M66" s="530" t="s">
        <v>2389</v>
      </c>
      <c r="N66" s="528">
        <v>11564</v>
      </c>
      <c r="O66" s="528">
        <v>11564</v>
      </c>
      <c r="P66" s="528">
        <v>11564</v>
      </c>
    </row>
    <row r="67" spans="12:16">
      <c r="M67" s="530" t="s">
        <v>2388</v>
      </c>
      <c r="N67" s="528">
        <v>11564</v>
      </c>
      <c r="O67" s="528">
        <v>11564</v>
      </c>
      <c r="P67" s="528">
        <v>11564</v>
      </c>
    </row>
    <row r="68" spans="12:16">
      <c r="L68" s="530" t="s">
        <v>3072</v>
      </c>
      <c r="M68" s="530"/>
      <c r="N68" s="528">
        <v>34692</v>
      </c>
      <c r="O68" s="528">
        <v>34692</v>
      </c>
      <c r="P68" s="528">
        <v>34692</v>
      </c>
    </row>
    <row r="69" spans="12:16">
      <c r="L69" s="530" t="s">
        <v>409</v>
      </c>
      <c r="M69" s="530" t="s">
        <v>2387</v>
      </c>
      <c r="N69" s="528">
        <v>2805</v>
      </c>
      <c r="O69" s="528">
        <v>2805</v>
      </c>
      <c r="P69" s="528">
        <v>2805</v>
      </c>
    </row>
    <row r="70" spans="12:16">
      <c r="M70" s="530" t="s">
        <v>2389</v>
      </c>
      <c r="N70" s="528">
        <v>2805</v>
      </c>
      <c r="O70" s="528">
        <v>2805</v>
      </c>
      <c r="P70" s="528">
        <v>2805</v>
      </c>
    </row>
    <row r="71" spans="12:16">
      <c r="M71" s="530" t="s">
        <v>2388</v>
      </c>
      <c r="N71" s="528">
        <v>0</v>
      </c>
      <c r="O71" s="528">
        <v>2805</v>
      </c>
      <c r="P71" s="528">
        <v>2805</v>
      </c>
    </row>
    <row r="72" spans="12:16">
      <c r="L72" s="530" t="s">
        <v>3073</v>
      </c>
      <c r="M72" s="530"/>
      <c r="N72" s="528">
        <v>5610</v>
      </c>
      <c r="O72" s="528">
        <v>8415</v>
      </c>
      <c r="P72" s="528">
        <v>8415</v>
      </c>
    </row>
    <row r="73" spans="12:16">
      <c r="L73" s="530" t="s">
        <v>404</v>
      </c>
      <c r="M73" s="530" t="s">
        <v>2387</v>
      </c>
      <c r="N73" s="528">
        <v>2920</v>
      </c>
      <c r="O73" s="528">
        <v>2920</v>
      </c>
      <c r="P73" s="528">
        <v>2920</v>
      </c>
    </row>
    <row r="74" spans="12:16">
      <c r="M74" s="530" t="s">
        <v>2389</v>
      </c>
      <c r="N74" s="528">
        <v>2920</v>
      </c>
      <c r="O74" s="528">
        <v>2920</v>
      </c>
      <c r="P74" s="528">
        <v>2920</v>
      </c>
    </row>
    <row r="75" spans="12:16">
      <c r="M75" s="530" t="s">
        <v>2388</v>
      </c>
      <c r="N75" s="528">
        <v>2920</v>
      </c>
      <c r="O75" s="528">
        <v>2920</v>
      </c>
      <c r="P75" s="528">
        <v>2920</v>
      </c>
    </row>
    <row r="76" spans="12:16">
      <c r="L76" s="530" t="s">
        <v>3074</v>
      </c>
      <c r="M76" s="530"/>
      <c r="N76" s="528">
        <v>8760</v>
      </c>
      <c r="O76" s="528">
        <v>8760</v>
      </c>
      <c r="P76" s="528">
        <v>8760</v>
      </c>
    </row>
    <row r="77" spans="12:16">
      <c r="L77" s="530" t="s">
        <v>426</v>
      </c>
      <c r="M77" s="530" t="s">
        <v>2387</v>
      </c>
      <c r="N77" s="528">
        <v>6016</v>
      </c>
      <c r="O77" s="528">
        <v>4020</v>
      </c>
      <c r="P77" s="528">
        <v>6016</v>
      </c>
    </row>
    <row r="78" spans="12:16">
      <c r="M78" s="530" t="s">
        <v>2389</v>
      </c>
      <c r="N78" s="528">
        <v>5580</v>
      </c>
      <c r="O78" s="528">
        <v>3910</v>
      </c>
      <c r="P78" s="528">
        <v>6016</v>
      </c>
    </row>
    <row r="79" spans="12:16">
      <c r="M79" s="530" t="s">
        <v>2388</v>
      </c>
      <c r="N79" s="528">
        <v>6016</v>
      </c>
      <c r="O79" s="528">
        <v>3770</v>
      </c>
      <c r="P79" s="528">
        <v>6016</v>
      </c>
    </row>
    <row r="80" spans="12:16">
      <c r="L80" s="530" t="s">
        <v>3075</v>
      </c>
      <c r="M80" s="530"/>
      <c r="N80" s="528">
        <v>17612</v>
      </c>
      <c r="O80" s="528">
        <v>11700</v>
      </c>
      <c r="P80" s="528">
        <v>18048</v>
      </c>
    </row>
    <row r="81" spans="12:16">
      <c r="L81" s="530" t="s">
        <v>430</v>
      </c>
      <c r="M81" s="530" t="s">
        <v>2387</v>
      </c>
      <c r="N81" s="528">
        <v>5950</v>
      </c>
      <c r="O81" s="528">
        <v>5030</v>
      </c>
      <c r="P81" s="528">
        <v>5950</v>
      </c>
    </row>
    <row r="82" spans="12:16">
      <c r="M82" s="530" t="s">
        <v>2389</v>
      </c>
      <c r="N82" s="528">
        <v>5950</v>
      </c>
      <c r="O82" s="528">
        <v>5210</v>
      </c>
      <c r="P82" s="528">
        <v>5950</v>
      </c>
    </row>
    <row r="83" spans="12:16">
      <c r="M83" s="530" t="s">
        <v>2388</v>
      </c>
      <c r="N83" s="528">
        <v>5950</v>
      </c>
      <c r="O83" s="528">
        <v>5890</v>
      </c>
      <c r="P83" s="528">
        <v>5950</v>
      </c>
    </row>
    <row r="84" spans="12:16">
      <c r="L84" s="530" t="s">
        <v>3076</v>
      </c>
      <c r="M84" s="530"/>
      <c r="N84" s="528">
        <v>17850</v>
      </c>
      <c r="O84" s="528">
        <v>16130</v>
      </c>
      <c r="P84" s="528">
        <v>17850</v>
      </c>
    </row>
    <row r="85" spans="12:16">
      <c r="L85" s="530" t="s">
        <v>432</v>
      </c>
      <c r="M85" s="530" t="s">
        <v>2387</v>
      </c>
      <c r="N85" s="528">
        <v>1670</v>
      </c>
      <c r="O85" s="528">
        <v>800</v>
      </c>
      <c r="P85" s="528">
        <v>1670</v>
      </c>
    </row>
    <row r="86" spans="12:16">
      <c r="M86" s="530" t="s">
        <v>2389</v>
      </c>
      <c r="N86" s="528">
        <v>1670</v>
      </c>
      <c r="O86" s="528">
        <v>0</v>
      </c>
      <c r="P86" s="528">
        <v>1670</v>
      </c>
    </row>
    <row r="87" spans="12:16">
      <c r="M87" s="530" t="s">
        <v>2388</v>
      </c>
      <c r="N87" s="528">
        <v>1670</v>
      </c>
      <c r="O87" s="528">
        <v>0</v>
      </c>
      <c r="P87" s="528">
        <v>1670</v>
      </c>
    </row>
    <row r="88" spans="12:16">
      <c r="L88" s="530" t="s">
        <v>3077</v>
      </c>
      <c r="M88" s="530"/>
      <c r="N88" s="528">
        <v>5010</v>
      </c>
      <c r="O88" s="528">
        <v>800</v>
      </c>
      <c r="P88" s="528">
        <v>5010</v>
      </c>
    </row>
    <row r="89" spans="12:16">
      <c r="L89" s="530" t="s">
        <v>2310</v>
      </c>
      <c r="M89" s="530" t="s">
        <v>2387</v>
      </c>
      <c r="N89" s="528">
        <v>2186</v>
      </c>
      <c r="O89" s="528">
        <v>1710</v>
      </c>
      <c r="P89" s="528">
        <v>2186</v>
      </c>
    </row>
    <row r="90" spans="12:16">
      <c r="M90" s="530" t="s">
        <v>2389</v>
      </c>
      <c r="N90" s="528">
        <v>2186</v>
      </c>
      <c r="O90" s="528">
        <v>2186</v>
      </c>
      <c r="P90" s="528">
        <v>2186</v>
      </c>
    </row>
    <row r="91" spans="12:16">
      <c r="M91" s="530" t="s">
        <v>2388</v>
      </c>
      <c r="N91" s="528">
        <v>2186</v>
      </c>
      <c r="O91" s="528">
        <v>2186</v>
      </c>
      <c r="P91" s="528">
        <v>2186</v>
      </c>
    </row>
    <row r="92" spans="12:16">
      <c r="L92" s="530" t="s">
        <v>3078</v>
      </c>
      <c r="M92" s="530"/>
      <c r="N92" s="528">
        <v>6558</v>
      </c>
      <c r="O92" s="528">
        <v>6082</v>
      </c>
      <c r="P92" s="528">
        <v>6558</v>
      </c>
    </row>
    <row r="93" spans="12:16">
      <c r="L93" s="530" t="s">
        <v>2309</v>
      </c>
      <c r="M93" s="530" t="s">
        <v>2387</v>
      </c>
      <c r="N93" s="528">
        <v>2248</v>
      </c>
      <c r="O93" s="528">
        <v>2200</v>
      </c>
      <c r="P93" s="528">
        <v>2248</v>
      </c>
    </row>
    <row r="94" spans="12:16">
      <c r="M94" s="530" t="s">
        <v>2389</v>
      </c>
      <c r="N94" s="528">
        <v>2248</v>
      </c>
      <c r="O94" s="528">
        <v>2130</v>
      </c>
      <c r="P94" s="528">
        <v>2248</v>
      </c>
    </row>
    <row r="95" spans="12:16">
      <c r="M95" s="530" t="s">
        <v>2388</v>
      </c>
      <c r="N95" s="528">
        <v>2248</v>
      </c>
      <c r="O95" s="528">
        <v>2248</v>
      </c>
      <c r="P95" s="528">
        <v>2248</v>
      </c>
    </row>
    <row r="96" spans="12:16">
      <c r="L96" s="530" t="s">
        <v>3079</v>
      </c>
      <c r="M96" s="530"/>
      <c r="N96" s="528">
        <v>6744</v>
      </c>
      <c r="O96" s="528">
        <v>6578</v>
      </c>
      <c r="P96" s="528">
        <v>6744</v>
      </c>
    </row>
    <row r="97" spans="12:16">
      <c r="L97" s="530" t="s">
        <v>2311</v>
      </c>
      <c r="M97" s="530" t="s">
        <v>2387</v>
      </c>
      <c r="N97" s="528">
        <v>2285</v>
      </c>
      <c r="O97" s="528">
        <v>2285</v>
      </c>
      <c r="P97" s="528">
        <v>2285</v>
      </c>
    </row>
    <row r="98" spans="12:16">
      <c r="M98" s="530" t="s">
        <v>2389</v>
      </c>
      <c r="N98" s="528">
        <v>2285</v>
      </c>
      <c r="O98" s="528">
        <v>2285</v>
      </c>
      <c r="P98" s="528">
        <v>2285</v>
      </c>
    </row>
    <row r="99" spans="12:16">
      <c r="M99" s="530" t="s">
        <v>2388</v>
      </c>
      <c r="N99" s="528">
        <v>2285</v>
      </c>
      <c r="O99" s="528">
        <v>2285</v>
      </c>
      <c r="P99" s="528">
        <v>2285</v>
      </c>
    </row>
    <row r="100" spans="12:16">
      <c r="L100" s="530" t="s">
        <v>3080</v>
      </c>
      <c r="M100" s="530"/>
      <c r="N100" s="528">
        <v>6855</v>
      </c>
      <c r="O100" s="528">
        <v>6855</v>
      </c>
      <c r="P100" s="528">
        <v>6855</v>
      </c>
    </row>
    <row r="101" spans="12:16">
      <c r="L101" s="530" t="s">
        <v>2699</v>
      </c>
      <c r="M101" s="530" t="s">
        <v>2387</v>
      </c>
      <c r="N101" s="528">
        <v>114</v>
      </c>
      <c r="O101" s="528">
        <v>100</v>
      </c>
      <c r="P101" s="528">
        <v>114</v>
      </c>
    </row>
    <row r="102" spans="12:16">
      <c r="M102" s="530" t="s">
        <v>2389</v>
      </c>
      <c r="N102" s="528">
        <v>114</v>
      </c>
      <c r="O102" s="528">
        <v>0</v>
      </c>
      <c r="P102" s="528">
        <v>0</v>
      </c>
    </row>
    <row r="103" spans="12:16">
      <c r="M103" s="530" t="s">
        <v>2388</v>
      </c>
      <c r="N103" s="528">
        <v>114</v>
      </c>
      <c r="O103" s="528">
        <v>0</v>
      </c>
      <c r="P103" s="528">
        <v>0</v>
      </c>
    </row>
    <row r="104" spans="12:16">
      <c r="L104" s="530" t="s">
        <v>3081</v>
      </c>
      <c r="M104" s="530"/>
      <c r="N104" s="528">
        <v>342</v>
      </c>
      <c r="O104" s="528">
        <v>100</v>
      </c>
      <c r="P104" s="528">
        <v>114</v>
      </c>
    </row>
    <row r="105" spans="12:16">
      <c r="L105" s="530" t="s">
        <v>1630</v>
      </c>
      <c r="N105" s="528">
        <v>346750</v>
      </c>
      <c r="O105" s="528">
        <v>285990</v>
      </c>
      <c r="P105" s="528">
        <v>352499.49333333335</v>
      </c>
    </row>
  </sheetData>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C3330"/>
  <sheetViews>
    <sheetView workbookViewId="0">
      <selection activeCell="D12" sqref="D12"/>
    </sheetView>
  </sheetViews>
  <sheetFormatPr defaultColWidth="9" defaultRowHeight="12.75"/>
  <cols>
    <col min="1" max="3" width="9" style="18"/>
    <col min="4" max="4" width="9" style="67"/>
    <col min="5" max="5" width="15.875" style="66" customWidth="1"/>
    <col min="6" max="14" width="9" style="18"/>
    <col min="15" max="15" width="15.875" style="18" customWidth="1"/>
    <col min="16" max="27" width="9" style="18"/>
    <col min="28" max="28" width="13" style="62" customWidth="1"/>
    <col min="29" max="29" width="16.75" style="62" customWidth="1"/>
    <col min="30" max="16384" width="9" style="18"/>
  </cols>
  <sheetData>
    <row r="1" spans="1:29" ht="14.25" thickTop="1" thickBot="1">
      <c r="A1" s="1" t="s">
        <v>0</v>
      </c>
      <c r="B1" s="1" t="s">
        <v>1</v>
      </c>
      <c r="C1" s="1" t="s">
        <v>2</v>
      </c>
      <c r="D1" s="49" t="s">
        <v>3</v>
      </c>
      <c r="E1" s="49" t="s">
        <v>4</v>
      </c>
      <c r="F1" s="1" t="s">
        <v>1154</v>
      </c>
      <c r="G1" s="1" t="s">
        <v>5</v>
      </c>
      <c r="H1" s="1" t="s">
        <v>6</v>
      </c>
      <c r="I1" s="1" t="s">
        <v>51</v>
      </c>
      <c r="J1" s="1" t="s">
        <v>52</v>
      </c>
      <c r="K1" s="1" t="s">
        <v>55</v>
      </c>
      <c r="L1" s="2" t="s">
        <v>57</v>
      </c>
      <c r="M1" s="2" t="s">
        <v>59</v>
      </c>
      <c r="N1" s="2" t="s">
        <v>115</v>
      </c>
      <c r="O1" s="2" t="s">
        <v>116</v>
      </c>
      <c r="P1" s="2" t="s">
        <v>61</v>
      </c>
      <c r="Q1" s="2" t="s">
        <v>60</v>
      </c>
      <c r="R1" s="3" t="s">
        <v>62</v>
      </c>
      <c r="S1" s="3" t="s">
        <v>1155</v>
      </c>
      <c r="T1" s="4" t="s">
        <v>64</v>
      </c>
      <c r="U1" s="3" t="s">
        <v>65</v>
      </c>
      <c r="V1" s="3" t="s">
        <v>66</v>
      </c>
      <c r="W1" s="5" t="s">
        <v>67</v>
      </c>
      <c r="X1" s="5"/>
      <c r="Y1" s="5" t="s">
        <v>1156</v>
      </c>
      <c r="Z1" s="5" t="s">
        <v>68</v>
      </c>
      <c r="AA1" s="47" t="s">
        <v>69</v>
      </c>
      <c r="AB1" s="62" t="s">
        <v>1157</v>
      </c>
    </row>
    <row r="2" spans="1:29" ht="13.5" thickBot="1">
      <c r="A2" s="11" t="s">
        <v>16</v>
      </c>
      <c r="B2" s="12" t="s">
        <v>16</v>
      </c>
      <c r="C2" s="11" t="s">
        <v>16</v>
      </c>
      <c r="D2" s="53" t="s">
        <v>16</v>
      </c>
      <c r="E2" s="50" t="s">
        <v>16</v>
      </c>
      <c r="F2" s="12" t="s">
        <v>17</v>
      </c>
      <c r="G2" s="11" t="s">
        <v>17</v>
      </c>
      <c r="H2" s="12" t="s">
        <v>54</v>
      </c>
      <c r="I2" s="11" t="s">
        <v>16</v>
      </c>
      <c r="J2" s="12" t="s">
        <v>19</v>
      </c>
      <c r="K2" s="11" t="s">
        <v>56</v>
      </c>
      <c r="L2" s="12" t="s">
        <v>17</v>
      </c>
      <c r="M2" s="11" t="s">
        <v>17</v>
      </c>
      <c r="N2" s="12" t="s">
        <v>17</v>
      </c>
      <c r="O2" s="11" t="s">
        <v>17</v>
      </c>
      <c r="P2" s="12" t="s">
        <v>56</v>
      </c>
      <c r="Q2" s="11" t="s">
        <v>17</v>
      </c>
      <c r="R2" s="12" t="s">
        <v>17</v>
      </c>
      <c r="S2" s="11" t="s">
        <v>17</v>
      </c>
      <c r="T2" s="12" t="s">
        <v>17</v>
      </c>
      <c r="U2" s="11" t="s">
        <v>1158</v>
      </c>
      <c r="V2" s="12" t="s">
        <v>1158</v>
      </c>
      <c r="W2" s="11" t="s">
        <v>17</v>
      </c>
      <c r="X2" s="11"/>
      <c r="Y2" s="12" t="s">
        <v>17</v>
      </c>
      <c r="Z2" s="11" t="s">
        <v>17</v>
      </c>
      <c r="AA2" s="48" t="s">
        <v>17</v>
      </c>
    </row>
    <row r="3" spans="1:29" ht="129" thickTop="1" thickBot="1">
      <c r="A3" s="14" t="s">
        <v>20</v>
      </c>
      <c r="B3" s="13" t="s">
        <v>1159</v>
      </c>
      <c r="C3" s="14" t="s">
        <v>22</v>
      </c>
      <c r="D3" s="54" t="s">
        <v>23</v>
      </c>
      <c r="E3" s="51" t="s">
        <v>24</v>
      </c>
      <c r="F3" s="13" t="s">
        <v>26</v>
      </c>
      <c r="G3" s="14" t="s">
        <v>1160</v>
      </c>
      <c r="H3" s="13" t="s">
        <v>1161</v>
      </c>
      <c r="I3" s="14" t="s">
        <v>1162</v>
      </c>
      <c r="J3" s="13" t="s">
        <v>1163</v>
      </c>
      <c r="K3" s="14" t="s">
        <v>1164</v>
      </c>
      <c r="L3" s="13" t="s">
        <v>1165</v>
      </c>
      <c r="M3" s="14" t="s">
        <v>1166</v>
      </c>
      <c r="N3" s="13" t="s">
        <v>1167</v>
      </c>
      <c r="O3" s="14" t="s">
        <v>1168</v>
      </c>
      <c r="P3" s="13" t="s">
        <v>1169</v>
      </c>
      <c r="Q3" s="14" t="s">
        <v>1170</v>
      </c>
      <c r="R3" s="13" t="s">
        <v>1171</v>
      </c>
      <c r="S3" s="14" t="s">
        <v>1172</v>
      </c>
      <c r="T3" s="13" t="s">
        <v>1173</v>
      </c>
      <c r="U3" s="14" t="s">
        <v>1174</v>
      </c>
      <c r="V3" s="13" t="s">
        <v>1175</v>
      </c>
      <c r="W3" s="16" t="s">
        <v>1176</v>
      </c>
      <c r="X3" s="16" t="s">
        <v>1177</v>
      </c>
      <c r="Y3" s="13" t="s">
        <v>1178</v>
      </c>
      <c r="Z3" s="14" t="s">
        <v>1179</v>
      </c>
      <c r="AA3" s="56" t="s">
        <v>1180</v>
      </c>
      <c r="AB3" s="63" t="s">
        <v>1181</v>
      </c>
      <c r="AC3" s="63" t="s">
        <v>1182</v>
      </c>
    </row>
    <row r="4" spans="1:29" ht="14.25" thickTop="1" thickBot="1">
      <c r="A4" s="42" t="s">
        <v>2386</v>
      </c>
      <c r="B4" s="10" t="s">
        <v>1183</v>
      </c>
      <c r="C4" s="8" t="s">
        <v>38</v>
      </c>
      <c r="D4" s="52" t="s">
        <v>329</v>
      </c>
      <c r="E4" s="52" t="s">
        <v>631</v>
      </c>
      <c r="F4" s="7"/>
      <c r="G4" s="8"/>
      <c r="H4" s="7" t="s">
        <v>42</v>
      </c>
      <c r="I4" s="41" t="s">
        <v>314</v>
      </c>
      <c r="J4" s="7"/>
      <c r="K4" s="15">
        <v>0</v>
      </c>
      <c r="L4" s="7"/>
      <c r="M4" s="8"/>
      <c r="N4" s="7"/>
      <c r="O4" s="8"/>
      <c r="P4" s="7"/>
      <c r="Q4" s="7"/>
      <c r="R4" s="8"/>
      <c r="S4" s="7"/>
      <c r="T4" s="9"/>
      <c r="U4" s="7" t="s">
        <v>131</v>
      </c>
      <c r="V4" s="7" t="s">
        <v>131</v>
      </c>
      <c r="W4" s="7"/>
      <c r="X4" s="7" t="s">
        <v>132</v>
      </c>
      <c r="Y4" s="8"/>
      <c r="Z4" s="7"/>
      <c r="AA4" s="57"/>
      <c r="AB4" s="62" t="s">
        <v>2706</v>
      </c>
      <c r="AC4" s="62" t="s">
        <v>361</v>
      </c>
    </row>
    <row r="5" spans="1:29" ht="14.25" thickTop="1" thickBot="1">
      <c r="A5" s="42" t="s">
        <v>2387</v>
      </c>
      <c r="B5" s="10" t="s">
        <v>318</v>
      </c>
      <c r="C5" s="8" t="s">
        <v>298</v>
      </c>
      <c r="D5" s="52" t="s">
        <v>189</v>
      </c>
      <c r="E5" s="52" t="s">
        <v>544</v>
      </c>
      <c r="F5" s="7"/>
      <c r="G5" s="8"/>
      <c r="H5" s="7" t="s">
        <v>130</v>
      </c>
      <c r="I5" s="41" t="s">
        <v>144</v>
      </c>
      <c r="J5" s="7"/>
      <c r="K5" s="15">
        <v>0.1</v>
      </c>
      <c r="L5" s="7"/>
      <c r="M5" s="8"/>
      <c r="N5" s="7"/>
      <c r="O5" s="8"/>
      <c r="P5" s="7"/>
      <c r="Q5" s="7"/>
      <c r="R5" s="8"/>
      <c r="S5" s="7"/>
      <c r="T5" s="9"/>
      <c r="U5" s="7" t="s">
        <v>1184</v>
      </c>
      <c r="V5" s="7" t="s">
        <v>145</v>
      </c>
      <c r="W5" s="7"/>
      <c r="X5" s="7" t="s">
        <v>223</v>
      </c>
      <c r="Y5" s="8"/>
      <c r="Z5" s="7"/>
      <c r="AA5" s="57"/>
      <c r="AB5" s="62" t="s">
        <v>2706</v>
      </c>
      <c r="AC5" s="62" t="s">
        <v>306</v>
      </c>
    </row>
    <row r="6" spans="1:29" ht="14.25" thickTop="1" thickBot="1">
      <c r="A6" s="42" t="s">
        <v>2388</v>
      </c>
      <c r="B6" s="10" t="s">
        <v>1185</v>
      </c>
      <c r="C6" s="8" t="s">
        <v>702</v>
      </c>
      <c r="D6" s="52" t="s">
        <v>323</v>
      </c>
      <c r="E6" s="52" t="s">
        <v>665</v>
      </c>
      <c r="F6" s="7"/>
      <c r="G6" s="8"/>
      <c r="H6" s="7" t="s">
        <v>287</v>
      </c>
      <c r="I6" s="6" t="s">
        <v>1186</v>
      </c>
      <c r="J6" s="7"/>
      <c r="K6" s="15">
        <v>0.2</v>
      </c>
      <c r="L6" s="7"/>
      <c r="M6" s="8"/>
      <c r="N6" s="7"/>
      <c r="O6" s="8"/>
      <c r="P6" s="7"/>
      <c r="Q6" s="7"/>
      <c r="R6" s="8"/>
      <c r="S6" s="7"/>
      <c r="T6" s="9"/>
      <c r="U6" s="7" t="s">
        <v>180</v>
      </c>
      <c r="V6" s="7" t="s">
        <v>180</v>
      </c>
      <c r="W6" s="7"/>
      <c r="X6" s="7" t="s">
        <v>139</v>
      </c>
      <c r="Y6" s="8"/>
      <c r="Z6" s="7"/>
      <c r="AA6" s="57"/>
      <c r="AB6" s="62" t="s">
        <v>2706</v>
      </c>
      <c r="AC6" s="62" t="s">
        <v>316</v>
      </c>
    </row>
    <row r="7" spans="1:29" ht="14.25" thickTop="1" thickBot="1">
      <c r="A7" s="42" t="s">
        <v>2389</v>
      </c>
      <c r="B7" s="10" t="s">
        <v>1187</v>
      </c>
      <c r="D7" s="52" t="s">
        <v>140</v>
      </c>
      <c r="E7" s="52" t="s">
        <v>583</v>
      </c>
      <c r="F7" s="7"/>
      <c r="G7" s="8"/>
      <c r="H7" s="7"/>
      <c r="I7" s="41" t="s">
        <v>331</v>
      </c>
      <c r="J7" s="7"/>
      <c r="K7" s="15">
        <v>0.3</v>
      </c>
      <c r="L7" s="7"/>
      <c r="M7" s="8"/>
      <c r="N7" s="7"/>
      <c r="O7" s="8"/>
      <c r="P7" s="7"/>
      <c r="Q7" s="7"/>
      <c r="R7" s="8"/>
      <c r="S7" s="7"/>
      <c r="T7" s="9"/>
      <c r="U7" s="7" t="s">
        <v>134</v>
      </c>
      <c r="V7" s="7" t="s">
        <v>134</v>
      </c>
      <c r="W7" s="7"/>
      <c r="X7" s="7"/>
      <c r="Y7" s="8"/>
      <c r="Z7" s="7"/>
      <c r="AA7" s="57"/>
      <c r="AB7" s="62" t="s">
        <v>2706</v>
      </c>
      <c r="AC7" s="62" t="s">
        <v>475</v>
      </c>
    </row>
    <row r="8" spans="1:29" ht="14.25" thickTop="1" thickBot="1">
      <c r="A8" s="65"/>
      <c r="B8" s="10" t="s">
        <v>1188</v>
      </c>
      <c r="D8" s="52" t="s">
        <v>142</v>
      </c>
      <c r="E8" s="52" t="s">
        <v>605</v>
      </c>
      <c r="F8" s="7"/>
      <c r="G8" s="8"/>
      <c r="H8" s="7"/>
      <c r="I8" s="55" t="s">
        <v>1189</v>
      </c>
      <c r="J8" s="7"/>
      <c r="K8" s="15">
        <v>0.4</v>
      </c>
      <c r="L8" s="7"/>
      <c r="M8" s="8"/>
      <c r="N8" s="7"/>
      <c r="O8" s="8"/>
      <c r="P8" s="7"/>
      <c r="Q8" s="7"/>
      <c r="R8" s="8"/>
      <c r="S8" s="7"/>
      <c r="T8" s="9"/>
      <c r="U8" s="65"/>
      <c r="V8" s="65"/>
      <c r="W8" s="7"/>
      <c r="X8" s="7"/>
      <c r="Y8" s="8"/>
      <c r="Z8" s="7"/>
      <c r="AA8" s="57"/>
      <c r="AB8" s="62" t="s">
        <v>2706</v>
      </c>
      <c r="AC8" s="62" t="s">
        <v>403</v>
      </c>
    </row>
    <row r="9" spans="1:29" ht="13.5" thickBot="1">
      <c r="A9" s="65"/>
      <c r="B9" s="10" t="s">
        <v>2294</v>
      </c>
      <c r="D9" s="52" t="s">
        <v>721</v>
      </c>
      <c r="E9" s="52" t="s">
        <v>652</v>
      </c>
      <c r="F9" s="7"/>
      <c r="G9" s="8"/>
      <c r="H9" s="7"/>
      <c r="I9" s="40" t="s">
        <v>1190</v>
      </c>
      <c r="J9" s="7"/>
      <c r="K9" s="15">
        <v>0.5</v>
      </c>
      <c r="L9" s="7"/>
      <c r="M9" s="8"/>
      <c r="N9" s="7"/>
      <c r="O9" s="8"/>
      <c r="P9" s="7"/>
      <c r="Q9" s="7"/>
      <c r="R9" s="8"/>
      <c r="S9" s="7"/>
      <c r="T9" s="9"/>
      <c r="U9" s="7"/>
      <c r="V9" s="8"/>
      <c r="W9" s="7"/>
      <c r="X9" s="7"/>
      <c r="Y9" s="8"/>
      <c r="Z9" s="7"/>
      <c r="AA9" s="57"/>
      <c r="AB9" s="62" t="s">
        <v>2706</v>
      </c>
      <c r="AC9" s="62" t="s">
        <v>406</v>
      </c>
    </row>
    <row r="10" spans="1:29" ht="13.5" thickBot="1">
      <c r="B10" s="10" t="s">
        <v>308</v>
      </c>
      <c r="D10" s="52" t="s">
        <v>743</v>
      </c>
      <c r="E10" s="52" t="s">
        <v>940</v>
      </c>
      <c r="F10" s="7"/>
      <c r="G10" s="8"/>
      <c r="H10" s="7"/>
      <c r="I10" s="40" t="s">
        <v>1192</v>
      </c>
      <c r="J10" s="7"/>
      <c r="K10" s="15">
        <v>0.6</v>
      </c>
      <c r="L10" s="7"/>
      <c r="M10" s="8"/>
      <c r="N10" s="7"/>
      <c r="O10" s="8"/>
      <c r="P10" s="7"/>
      <c r="Q10" s="7"/>
      <c r="R10" s="8"/>
      <c r="S10" s="7"/>
      <c r="T10" s="9"/>
      <c r="U10" s="7"/>
      <c r="V10" s="8"/>
      <c r="W10" s="7"/>
      <c r="X10" s="7"/>
      <c r="Y10" s="8"/>
      <c r="Z10" s="7"/>
      <c r="AA10" s="57"/>
      <c r="AB10" s="62" t="s">
        <v>2706</v>
      </c>
      <c r="AC10" s="62" t="s">
        <v>456</v>
      </c>
    </row>
    <row r="11" spans="1:29" ht="13.5" thickBot="1">
      <c r="B11" s="10" t="s">
        <v>1191</v>
      </c>
      <c r="D11" s="52" t="s">
        <v>775</v>
      </c>
      <c r="E11" s="52" t="s">
        <v>542</v>
      </c>
      <c r="F11" s="7"/>
      <c r="G11" s="8"/>
      <c r="H11" s="7"/>
      <c r="I11" s="30" t="s">
        <v>301</v>
      </c>
      <c r="J11" s="7"/>
      <c r="K11" s="15">
        <v>0.7</v>
      </c>
      <c r="L11" s="7"/>
      <c r="M11" s="8"/>
      <c r="N11" s="7"/>
      <c r="O11" s="8"/>
      <c r="P11" s="7"/>
      <c r="Q11" s="7"/>
      <c r="R11" s="8"/>
      <c r="S11" s="7"/>
      <c r="T11" s="9"/>
      <c r="U11" s="7"/>
      <c r="V11" s="8"/>
      <c r="W11" s="7"/>
      <c r="X11" s="7"/>
      <c r="Y11" s="8"/>
      <c r="Z11" s="7"/>
      <c r="AA11" s="57"/>
      <c r="AB11" s="62" t="s">
        <v>2706</v>
      </c>
      <c r="AC11" s="62" t="s">
        <v>358</v>
      </c>
    </row>
    <row r="12" spans="1:29" ht="13.5" thickBot="1">
      <c r="A12" s="65"/>
      <c r="B12" s="10" t="s">
        <v>322</v>
      </c>
      <c r="D12" s="52" t="s">
        <v>1073</v>
      </c>
      <c r="E12" s="52" t="s">
        <v>571</v>
      </c>
      <c r="F12" s="7"/>
      <c r="G12" s="8"/>
      <c r="H12" s="7"/>
      <c r="I12" s="30" t="s">
        <v>222</v>
      </c>
      <c r="J12" s="7"/>
      <c r="K12" s="15">
        <v>0.8</v>
      </c>
      <c r="L12" s="7"/>
      <c r="M12" s="8"/>
      <c r="N12" s="7"/>
      <c r="O12" s="8"/>
      <c r="P12" s="7"/>
      <c r="Q12" s="7"/>
      <c r="R12" s="8"/>
      <c r="S12" s="7"/>
      <c r="T12" s="9"/>
      <c r="U12" s="7"/>
      <c r="V12" s="8"/>
      <c r="W12" s="7"/>
      <c r="X12" s="7"/>
      <c r="Y12" s="8"/>
      <c r="Z12" s="7"/>
      <c r="AA12" s="57"/>
      <c r="AB12" s="62" t="s">
        <v>2706</v>
      </c>
      <c r="AC12" s="62" t="s">
        <v>299</v>
      </c>
    </row>
    <row r="13" spans="1:29" ht="13.5" thickBot="1">
      <c r="A13" s="65"/>
      <c r="B13" s="10" t="s">
        <v>1193</v>
      </c>
      <c r="C13" s="65"/>
      <c r="D13" s="52" t="s">
        <v>706</v>
      </c>
      <c r="E13" s="52" t="s">
        <v>593</v>
      </c>
      <c r="F13" s="7"/>
      <c r="G13" s="8"/>
      <c r="H13" s="7"/>
      <c r="I13" s="30" t="s">
        <v>41</v>
      </c>
      <c r="J13" s="7"/>
      <c r="K13" s="15">
        <v>0.9</v>
      </c>
      <c r="L13" s="7"/>
      <c r="M13" s="8"/>
      <c r="N13" s="7"/>
      <c r="O13" s="8"/>
      <c r="P13" s="7"/>
      <c r="Q13" s="7"/>
      <c r="R13" s="8"/>
      <c r="S13" s="7"/>
      <c r="T13" s="9"/>
      <c r="U13" s="7"/>
      <c r="V13" s="8"/>
      <c r="W13" s="7"/>
      <c r="X13" s="7"/>
      <c r="Y13" s="8"/>
      <c r="Z13" s="7"/>
      <c r="AA13" s="57"/>
      <c r="AB13" s="62" t="s">
        <v>38</v>
      </c>
      <c r="AC13" s="62" t="s">
        <v>189</v>
      </c>
    </row>
    <row r="14" spans="1:29" ht="13.5" thickBot="1">
      <c r="A14" s="65"/>
      <c r="B14" s="10" t="s">
        <v>1194</v>
      </c>
      <c r="D14" s="52" t="s">
        <v>361</v>
      </c>
      <c r="E14" s="52" t="s">
        <v>585</v>
      </c>
      <c r="F14" s="7"/>
      <c r="G14" s="8"/>
      <c r="H14" s="7"/>
      <c r="I14" s="46" t="s">
        <v>220</v>
      </c>
      <c r="J14" s="7"/>
      <c r="K14" s="15">
        <v>1</v>
      </c>
      <c r="L14" s="7"/>
      <c r="M14" s="8"/>
      <c r="N14" s="7"/>
      <c r="O14" s="8"/>
      <c r="P14" s="7"/>
      <c r="Q14" s="7"/>
      <c r="R14" s="8"/>
      <c r="S14" s="7"/>
      <c r="T14" s="9"/>
      <c r="U14" s="7"/>
      <c r="V14" s="8"/>
      <c r="W14" s="7"/>
      <c r="X14" s="7"/>
      <c r="Y14" s="8"/>
      <c r="Z14" s="7"/>
      <c r="AA14" s="57"/>
      <c r="AB14" s="62" t="s">
        <v>38</v>
      </c>
      <c r="AC14" s="62" t="s">
        <v>140</v>
      </c>
    </row>
    <row r="15" spans="1:29" ht="13.5" thickBot="1">
      <c r="A15" s="65"/>
      <c r="B15" s="10" t="s">
        <v>1195</v>
      </c>
      <c r="D15" s="52" t="s">
        <v>306</v>
      </c>
      <c r="E15" s="52" t="s">
        <v>554</v>
      </c>
      <c r="F15" s="7"/>
      <c r="G15" s="8"/>
      <c r="H15" s="7"/>
      <c r="I15" s="30" t="s">
        <v>286</v>
      </c>
      <c r="J15" s="7"/>
      <c r="K15" s="8"/>
      <c r="L15" s="7"/>
      <c r="M15" s="8"/>
      <c r="N15" s="7"/>
      <c r="O15" s="8"/>
      <c r="P15" s="7"/>
      <c r="Q15" s="7"/>
      <c r="R15" s="8"/>
      <c r="S15" s="7"/>
      <c r="T15" s="9"/>
      <c r="U15" s="7"/>
      <c r="V15" s="8"/>
      <c r="W15" s="7"/>
      <c r="X15" s="7"/>
      <c r="Y15" s="8"/>
      <c r="Z15" s="7"/>
      <c r="AA15" s="57"/>
      <c r="AB15" s="62" t="s">
        <v>38</v>
      </c>
      <c r="AC15" s="62" t="s">
        <v>142</v>
      </c>
    </row>
    <row r="16" spans="1:29" ht="13.5" thickBot="1">
      <c r="B16" s="10" t="s">
        <v>1196</v>
      </c>
      <c r="D16" s="52" t="s">
        <v>1078</v>
      </c>
      <c r="E16" s="52" t="s">
        <v>555</v>
      </c>
      <c r="F16" s="7"/>
      <c r="G16" s="8"/>
      <c r="H16" s="7"/>
      <c r="I16" s="30" t="s">
        <v>705</v>
      </c>
      <c r="J16" s="7"/>
      <c r="K16" s="8"/>
      <c r="L16" s="7"/>
      <c r="M16" s="8"/>
      <c r="N16" s="7"/>
      <c r="O16" s="8"/>
      <c r="P16" s="7"/>
      <c r="Q16" s="7"/>
      <c r="R16" s="8"/>
      <c r="S16" s="7"/>
      <c r="T16" s="9"/>
      <c r="U16" s="7"/>
      <c r="V16" s="8"/>
      <c r="W16" s="7"/>
      <c r="X16" s="7"/>
      <c r="Y16" s="8"/>
      <c r="Z16" s="7"/>
      <c r="AA16" s="57"/>
      <c r="AB16" s="62" t="s">
        <v>38</v>
      </c>
      <c r="AC16" s="62" t="s">
        <v>775</v>
      </c>
    </row>
    <row r="17" spans="2:29" ht="13.5" thickBot="1">
      <c r="B17" s="10" t="s">
        <v>413</v>
      </c>
      <c r="D17" s="52" t="s">
        <v>39</v>
      </c>
      <c r="E17" s="52" t="s">
        <v>533</v>
      </c>
      <c r="F17" s="7"/>
      <c r="G17" s="8"/>
      <c r="H17" s="7"/>
      <c r="I17" s="30" t="s">
        <v>279</v>
      </c>
      <c r="J17" s="7"/>
      <c r="K17" s="8"/>
      <c r="L17" s="7"/>
      <c r="M17" s="8"/>
      <c r="N17" s="7"/>
      <c r="O17" s="8"/>
      <c r="P17" s="7"/>
      <c r="Q17" s="7"/>
      <c r="R17" s="8"/>
      <c r="S17" s="7"/>
      <c r="T17" s="9"/>
      <c r="U17" s="7"/>
      <c r="V17" s="8"/>
      <c r="W17" s="7"/>
      <c r="X17" s="7"/>
      <c r="Y17" s="8"/>
      <c r="Z17" s="7"/>
      <c r="AA17" s="57"/>
      <c r="AB17" s="62" t="s">
        <v>38</v>
      </c>
      <c r="AC17" s="62" t="s">
        <v>1073</v>
      </c>
    </row>
    <row r="18" spans="2:29" ht="13.5" thickBot="1">
      <c r="B18" s="10" t="s">
        <v>1198</v>
      </c>
      <c r="D18" s="52" t="s">
        <v>709</v>
      </c>
      <c r="E18" s="52" t="s">
        <v>668</v>
      </c>
      <c r="F18" s="7"/>
      <c r="G18" s="8"/>
      <c r="H18" s="7"/>
      <c r="I18" s="30" t="s">
        <v>272</v>
      </c>
      <c r="J18" s="7"/>
      <c r="K18" s="8"/>
      <c r="L18" s="7"/>
      <c r="M18" s="8"/>
      <c r="N18" s="7"/>
      <c r="O18" s="8"/>
      <c r="P18" s="7"/>
      <c r="Q18" s="7"/>
      <c r="R18" s="8"/>
      <c r="S18" s="7"/>
      <c r="T18" s="9"/>
      <c r="U18" s="7"/>
      <c r="V18" s="8"/>
      <c r="W18" s="7"/>
      <c r="X18" s="7"/>
      <c r="Y18" s="8"/>
      <c r="Z18" s="7"/>
      <c r="AA18" s="57"/>
      <c r="AB18" s="62" t="s">
        <v>38</v>
      </c>
      <c r="AC18" s="62" t="s">
        <v>1078</v>
      </c>
    </row>
    <row r="19" spans="2:29" ht="13.5" thickBot="1">
      <c r="B19" s="10" t="s">
        <v>1199</v>
      </c>
      <c r="D19" s="52" t="s">
        <v>309</v>
      </c>
      <c r="E19" s="52" t="s">
        <v>667</v>
      </c>
      <c r="F19" s="7"/>
      <c r="G19" s="8"/>
      <c r="H19" s="7"/>
      <c r="I19" s="30" t="s">
        <v>311</v>
      </c>
      <c r="J19" s="7"/>
      <c r="K19" s="8"/>
      <c r="L19" s="7"/>
      <c r="M19" s="8"/>
      <c r="N19" s="7"/>
      <c r="O19" s="8"/>
      <c r="P19" s="7"/>
      <c r="Q19" s="7"/>
      <c r="R19" s="8"/>
      <c r="S19" s="7"/>
      <c r="T19" s="9"/>
      <c r="U19" s="7"/>
      <c r="V19" s="8"/>
      <c r="W19" s="7"/>
      <c r="X19" s="7"/>
      <c r="Y19" s="8"/>
      <c r="Z19" s="7"/>
      <c r="AA19" s="57"/>
      <c r="AB19" s="62" t="s">
        <v>38</v>
      </c>
      <c r="AC19" s="62" t="s">
        <v>1304</v>
      </c>
    </row>
    <row r="20" spans="2:29" ht="13.5" thickBot="1">
      <c r="B20" s="10" t="s">
        <v>135</v>
      </c>
      <c r="D20" s="52" t="s">
        <v>316</v>
      </c>
      <c r="E20" s="52" t="s">
        <v>644</v>
      </c>
      <c r="F20" s="7"/>
      <c r="G20" s="8"/>
      <c r="H20" s="7"/>
      <c r="I20" s="30" t="s">
        <v>320</v>
      </c>
      <c r="J20" s="7"/>
      <c r="K20" s="8"/>
      <c r="L20" s="7"/>
      <c r="M20" s="8"/>
      <c r="N20" s="7"/>
      <c r="O20" s="8"/>
      <c r="P20" s="7"/>
      <c r="Q20" s="7"/>
      <c r="R20" s="8"/>
      <c r="S20" s="7"/>
      <c r="T20" s="9"/>
      <c r="U20" s="7"/>
      <c r="V20" s="8"/>
      <c r="W20" s="7"/>
      <c r="X20" s="7"/>
      <c r="Y20" s="8"/>
      <c r="Z20" s="7"/>
      <c r="AA20" s="57"/>
      <c r="AB20" s="62" t="s">
        <v>38</v>
      </c>
      <c r="AC20" s="62" t="s">
        <v>39</v>
      </c>
    </row>
    <row r="21" spans="2:29" ht="13.5" thickBot="1">
      <c r="B21" s="10" t="s">
        <v>37</v>
      </c>
      <c r="D21" s="52" t="s">
        <v>146</v>
      </c>
      <c r="E21" s="52" t="s">
        <v>582</v>
      </c>
      <c r="F21" s="7"/>
      <c r="G21" s="8"/>
      <c r="H21" s="7"/>
      <c r="I21" s="40" t="s">
        <v>1202</v>
      </c>
      <c r="J21" s="7"/>
      <c r="K21" s="8"/>
      <c r="L21" s="7"/>
      <c r="M21" s="8"/>
      <c r="N21" s="7"/>
      <c r="O21" s="8"/>
      <c r="P21" s="7"/>
      <c r="Q21" s="7"/>
      <c r="R21" s="8"/>
      <c r="S21" s="7"/>
      <c r="T21" s="9"/>
      <c r="U21" s="7"/>
      <c r="V21" s="8"/>
      <c r="W21" s="7"/>
      <c r="X21" s="7"/>
      <c r="Y21" s="8"/>
      <c r="Z21" s="7"/>
      <c r="AA21" s="57"/>
      <c r="AB21" s="62" t="s">
        <v>38</v>
      </c>
      <c r="AC21" s="62" t="s">
        <v>146</v>
      </c>
    </row>
    <row r="22" spans="2:29" ht="13.5" thickBot="1">
      <c r="B22" s="10" t="s">
        <v>1201</v>
      </c>
      <c r="D22" s="52" t="s">
        <v>151</v>
      </c>
      <c r="E22" s="52" t="s">
        <v>545</v>
      </c>
      <c r="F22" s="7"/>
      <c r="G22" s="8"/>
      <c r="H22" s="7"/>
      <c r="I22" s="40" t="s">
        <v>1204</v>
      </c>
      <c r="J22" s="7"/>
      <c r="K22" s="8"/>
      <c r="L22" s="7"/>
      <c r="M22" s="8"/>
      <c r="N22" s="7"/>
      <c r="O22" s="8"/>
      <c r="P22" s="7"/>
      <c r="Q22" s="7"/>
      <c r="R22" s="8"/>
      <c r="S22" s="7"/>
      <c r="T22" s="9"/>
      <c r="U22" s="7"/>
      <c r="V22" s="8"/>
      <c r="W22" s="7"/>
      <c r="X22" s="7"/>
      <c r="Y22" s="8"/>
      <c r="Z22" s="7"/>
      <c r="AA22" s="57"/>
      <c r="AB22" s="62" t="s">
        <v>38</v>
      </c>
      <c r="AC22" s="62" t="s">
        <v>151</v>
      </c>
    </row>
    <row r="23" spans="2:29" ht="13.5" thickBot="1">
      <c r="B23" s="10" t="s">
        <v>1203</v>
      </c>
      <c r="D23" s="52" t="s">
        <v>199</v>
      </c>
      <c r="E23" s="52" t="s">
        <v>663</v>
      </c>
      <c r="F23" s="7"/>
      <c r="G23" s="8"/>
      <c r="H23" s="7"/>
      <c r="I23" s="30" t="s">
        <v>338</v>
      </c>
      <c r="J23" s="7"/>
      <c r="K23" s="8"/>
      <c r="L23" s="7"/>
      <c r="M23" s="8"/>
      <c r="N23" s="7"/>
      <c r="O23" s="8"/>
      <c r="P23" s="7"/>
      <c r="Q23" s="7"/>
      <c r="R23" s="8"/>
      <c r="S23" s="7"/>
      <c r="T23" s="9"/>
      <c r="U23" s="7"/>
      <c r="V23" s="8"/>
      <c r="W23" s="7"/>
      <c r="X23" s="7"/>
      <c r="Y23" s="8"/>
      <c r="Z23" s="7"/>
      <c r="AA23" s="57"/>
      <c r="AB23" s="62" t="s">
        <v>38</v>
      </c>
      <c r="AC23" s="62" t="s">
        <v>199</v>
      </c>
    </row>
    <row r="24" spans="2:29" ht="13.5" thickBot="1">
      <c r="B24" s="10" t="s">
        <v>1205</v>
      </c>
      <c r="D24" s="52" t="s">
        <v>475</v>
      </c>
      <c r="E24" s="52" t="s">
        <v>624</v>
      </c>
      <c r="F24" s="7"/>
      <c r="G24" s="8"/>
      <c r="H24" s="7"/>
      <c r="I24" s="30" t="s">
        <v>708</v>
      </c>
      <c r="J24" s="7"/>
      <c r="K24" s="8"/>
      <c r="L24" s="7"/>
      <c r="M24" s="8"/>
      <c r="N24" s="7"/>
      <c r="O24" s="8"/>
      <c r="P24" s="7"/>
      <c r="Q24" s="7"/>
      <c r="R24" s="8"/>
      <c r="S24" s="7"/>
      <c r="T24" s="9"/>
      <c r="U24" s="7"/>
      <c r="V24" s="8"/>
      <c r="W24" s="7"/>
      <c r="X24" s="7"/>
      <c r="Y24" s="8"/>
      <c r="Z24" s="7"/>
      <c r="AA24" s="57"/>
      <c r="AB24" s="62" t="s">
        <v>38</v>
      </c>
      <c r="AC24" s="62" t="s">
        <v>153</v>
      </c>
    </row>
    <row r="25" spans="2:29" ht="13.5" thickBot="1">
      <c r="B25" s="10" t="s">
        <v>1206</v>
      </c>
      <c r="D25" s="52" t="s">
        <v>712</v>
      </c>
      <c r="E25" s="52" t="s">
        <v>617</v>
      </c>
      <c r="F25" s="7"/>
      <c r="G25" s="8"/>
      <c r="H25" s="7"/>
      <c r="I25" s="40" t="s">
        <v>1208</v>
      </c>
      <c r="J25" s="7"/>
      <c r="K25" s="8"/>
      <c r="L25" s="7"/>
      <c r="M25" s="8"/>
      <c r="N25" s="7"/>
      <c r="O25" s="8"/>
      <c r="P25" s="7"/>
      <c r="Q25" s="7"/>
      <c r="R25" s="8"/>
      <c r="S25" s="7"/>
      <c r="T25" s="9"/>
      <c r="U25" s="7"/>
      <c r="V25" s="8"/>
      <c r="W25" s="7"/>
      <c r="X25" s="7"/>
      <c r="Y25" s="8"/>
      <c r="Z25" s="7"/>
      <c r="AA25" s="57"/>
      <c r="AB25" s="62" t="s">
        <v>38</v>
      </c>
      <c r="AC25" s="62" t="s">
        <v>1197</v>
      </c>
    </row>
    <row r="26" spans="2:29" ht="13.5" thickBot="1">
      <c r="B26" s="10" t="s">
        <v>297</v>
      </c>
      <c r="D26" s="52" t="s">
        <v>403</v>
      </c>
      <c r="E26" s="52" t="s">
        <v>608</v>
      </c>
      <c r="F26" s="7"/>
      <c r="G26" s="8"/>
      <c r="H26" s="7"/>
      <c r="I26" s="30" t="s">
        <v>465</v>
      </c>
      <c r="J26" s="7"/>
      <c r="K26" s="8"/>
      <c r="L26" s="7"/>
      <c r="M26" s="8"/>
      <c r="N26" s="7"/>
      <c r="O26" s="8"/>
      <c r="P26" s="7"/>
      <c r="Q26" s="7"/>
      <c r="R26" s="8"/>
      <c r="S26" s="7"/>
      <c r="T26" s="9"/>
      <c r="U26" s="7"/>
      <c r="V26" s="8"/>
      <c r="W26" s="7"/>
      <c r="X26" s="7"/>
      <c r="Y26" s="8"/>
      <c r="Z26" s="7"/>
      <c r="AA26" s="57"/>
      <c r="AB26" s="62" t="s">
        <v>38</v>
      </c>
      <c r="AC26" s="62" t="s">
        <v>167</v>
      </c>
    </row>
    <row r="27" spans="2:29" ht="13.5" thickBot="1">
      <c r="B27" s="10" t="s">
        <v>312</v>
      </c>
      <c r="D27" s="52" t="s">
        <v>153</v>
      </c>
      <c r="E27" s="52" t="s">
        <v>536</v>
      </c>
      <c r="F27" s="7"/>
      <c r="G27" s="8"/>
      <c r="H27" s="7"/>
      <c r="I27" s="30" t="s">
        <v>343</v>
      </c>
      <c r="J27" s="7"/>
      <c r="K27" s="8"/>
      <c r="L27" s="7"/>
      <c r="M27" s="8"/>
      <c r="N27" s="7"/>
      <c r="O27" s="8"/>
      <c r="P27" s="7"/>
      <c r="Q27" s="7"/>
      <c r="R27" s="8"/>
      <c r="S27" s="7"/>
      <c r="T27" s="9"/>
      <c r="U27" s="7"/>
      <c r="V27" s="8"/>
      <c r="W27" s="7"/>
      <c r="X27" s="7"/>
      <c r="Y27" s="8"/>
      <c r="Z27" s="7"/>
      <c r="AA27" s="57"/>
      <c r="AB27" s="62" t="s">
        <v>38</v>
      </c>
      <c r="AC27" s="62" t="s">
        <v>208</v>
      </c>
    </row>
    <row r="28" spans="2:29" ht="13.5" thickBot="1">
      <c r="B28" s="10" t="s">
        <v>1209</v>
      </c>
      <c r="D28" s="52" t="s">
        <v>703</v>
      </c>
      <c r="E28" s="52" t="s">
        <v>584</v>
      </c>
      <c r="F28" s="7"/>
      <c r="G28" s="8"/>
      <c r="H28" s="7"/>
      <c r="I28" s="30" t="s">
        <v>300</v>
      </c>
      <c r="J28" s="7"/>
      <c r="K28" s="8"/>
      <c r="L28" s="7"/>
      <c r="M28" s="8"/>
      <c r="N28" s="7"/>
      <c r="O28" s="8"/>
      <c r="P28" s="7"/>
      <c r="Q28" s="7"/>
      <c r="R28" s="8"/>
      <c r="S28" s="7"/>
      <c r="T28" s="9"/>
      <c r="U28" s="7"/>
      <c r="V28" s="8"/>
      <c r="W28" s="7"/>
      <c r="X28" s="7"/>
      <c r="Y28" s="8"/>
      <c r="Z28" s="7"/>
      <c r="AA28" s="57"/>
      <c r="AB28" s="62" t="s">
        <v>38</v>
      </c>
      <c r="AC28" s="62" t="s">
        <v>178</v>
      </c>
    </row>
    <row r="29" spans="2:29" ht="13.5" thickBot="1">
      <c r="B29" s="10" t="s">
        <v>1210</v>
      </c>
      <c r="C29" s="65"/>
      <c r="D29" s="52" t="s">
        <v>723</v>
      </c>
      <c r="E29" s="52" t="s">
        <v>591</v>
      </c>
      <c r="F29" s="7"/>
      <c r="G29" s="8"/>
      <c r="H29" s="7"/>
      <c r="I29" s="30" t="s">
        <v>293</v>
      </c>
      <c r="J29" s="7"/>
      <c r="K29" s="8"/>
      <c r="L29" s="7"/>
      <c r="M29" s="8"/>
      <c r="N29" s="7"/>
      <c r="O29" s="8"/>
      <c r="P29" s="7"/>
      <c r="Q29" s="7"/>
      <c r="R29" s="8"/>
      <c r="S29" s="7"/>
      <c r="T29" s="9"/>
      <c r="U29" s="7"/>
      <c r="V29" s="8"/>
      <c r="W29" s="7"/>
      <c r="X29" s="7"/>
      <c r="Y29" s="8"/>
      <c r="Z29" s="7"/>
      <c r="AA29" s="57"/>
      <c r="AB29" s="62" t="s">
        <v>38</v>
      </c>
      <c r="AC29" s="62" t="s">
        <v>1139</v>
      </c>
    </row>
    <row r="30" spans="2:29" ht="13.5" thickBot="1">
      <c r="B30" s="10" t="s">
        <v>186</v>
      </c>
      <c r="D30" s="52" t="s">
        <v>1127</v>
      </c>
      <c r="E30" s="52" t="s">
        <v>653</v>
      </c>
      <c r="F30" s="7"/>
      <c r="G30" s="8"/>
      <c r="H30" s="7"/>
      <c r="I30" s="40" t="s">
        <v>1212</v>
      </c>
      <c r="J30" s="7"/>
      <c r="K30" s="8"/>
      <c r="L30" s="7"/>
      <c r="M30" s="8"/>
      <c r="N30" s="7"/>
      <c r="O30" s="8"/>
      <c r="P30" s="7"/>
      <c r="Q30" s="7"/>
      <c r="R30" s="8"/>
      <c r="S30" s="7"/>
      <c r="T30" s="9"/>
      <c r="U30" s="7"/>
      <c r="V30" s="8"/>
      <c r="W30" s="7"/>
      <c r="X30" s="7"/>
      <c r="Y30" s="8"/>
      <c r="Z30" s="7"/>
      <c r="AA30" s="57"/>
      <c r="AB30" s="62" t="s">
        <v>38</v>
      </c>
      <c r="AC30" s="62" t="s">
        <v>1200</v>
      </c>
    </row>
    <row r="31" spans="2:29" ht="13.5" thickBot="1">
      <c r="B31" s="10" t="s">
        <v>1211</v>
      </c>
      <c r="D31" s="52" t="s">
        <v>406</v>
      </c>
      <c r="E31" s="52" t="s">
        <v>654</v>
      </c>
      <c r="F31" s="7"/>
      <c r="G31" s="8"/>
      <c r="H31" s="7"/>
      <c r="I31" s="30" t="s">
        <v>238</v>
      </c>
      <c r="J31" s="7"/>
      <c r="K31" s="8"/>
      <c r="L31" s="7"/>
      <c r="M31" s="8"/>
      <c r="N31" s="7"/>
      <c r="O31" s="8"/>
      <c r="P31" s="7"/>
      <c r="Q31" s="7"/>
      <c r="R31" s="8"/>
      <c r="S31" s="7"/>
      <c r="T31" s="9"/>
      <c r="U31" s="7"/>
      <c r="V31" s="8"/>
      <c r="W31" s="7"/>
      <c r="X31" s="7"/>
      <c r="Y31" s="8"/>
      <c r="Z31" s="7"/>
      <c r="AA31" s="57"/>
      <c r="AB31" s="62" t="s">
        <v>38</v>
      </c>
      <c r="AC31" s="62" t="s">
        <v>136</v>
      </c>
    </row>
    <row r="32" spans="2:29" ht="13.5" thickBot="1">
      <c r="B32" s="10" t="s">
        <v>1214</v>
      </c>
      <c r="D32" s="52" t="s">
        <v>456</v>
      </c>
      <c r="E32" s="52" t="s">
        <v>946</v>
      </c>
      <c r="F32" s="7"/>
      <c r="G32" s="8"/>
      <c r="H32" s="7"/>
      <c r="I32" s="30" t="s">
        <v>726</v>
      </c>
      <c r="J32" s="7"/>
      <c r="K32" s="8"/>
      <c r="L32" s="7"/>
      <c r="M32" s="8"/>
      <c r="N32" s="7"/>
      <c r="O32" s="8"/>
      <c r="P32" s="7"/>
      <c r="Q32" s="7"/>
      <c r="R32" s="8"/>
      <c r="S32" s="7"/>
      <c r="T32" s="9"/>
      <c r="U32" s="7"/>
      <c r="V32" s="8"/>
      <c r="W32" s="7"/>
      <c r="X32" s="7"/>
      <c r="Y32" s="8"/>
      <c r="Z32" s="7"/>
      <c r="AA32" s="57"/>
      <c r="AB32" s="62" t="s">
        <v>2705</v>
      </c>
      <c r="AC32" s="62" t="s">
        <v>323</v>
      </c>
    </row>
    <row r="33" spans="2:29" ht="13.5" thickBot="1">
      <c r="B33" s="10" t="s">
        <v>1215</v>
      </c>
      <c r="D33" s="52" t="s">
        <v>167</v>
      </c>
      <c r="E33" s="52" t="s">
        <v>535</v>
      </c>
      <c r="F33" s="7"/>
      <c r="G33" s="8"/>
      <c r="H33" s="7"/>
      <c r="I33" s="18" t="s">
        <v>291</v>
      </c>
      <c r="J33" s="7"/>
      <c r="K33" s="8"/>
      <c r="L33" s="7"/>
      <c r="M33" s="8"/>
      <c r="N33" s="7"/>
      <c r="O33" s="8"/>
      <c r="P33" s="7"/>
      <c r="Q33" s="7"/>
      <c r="R33" s="8"/>
      <c r="S33" s="7"/>
      <c r="T33" s="9"/>
      <c r="U33" s="7"/>
      <c r="V33" s="8"/>
      <c r="W33" s="7"/>
      <c r="X33" s="7"/>
      <c r="Y33" s="8"/>
      <c r="Z33" s="7"/>
      <c r="AA33" s="57"/>
      <c r="AB33" s="62" t="s">
        <v>2705</v>
      </c>
      <c r="AC33" s="62" t="s">
        <v>309</v>
      </c>
    </row>
    <row r="34" spans="2:29" ht="13.5" thickBot="1">
      <c r="B34" s="10" t="s">
        <v>1915</v>
      </c>
      <c r="D34" s="52" t="s">
        <v>358</v>
      </c>
      <c r="E34" s="52" t="s">
        <v>664</v>
      </c>
      <c r="F34" s="7"/>
      <c r="G34" s="8"/>
      <c r="H34" s="7"/>
      <c r="I34" s="18" t="s">
        <v>1648</v>
      </c>
      <c r="J34" s="7"/>
      <c r="K34" s="8"/>
      <c r="L34" s="7"/>
      <c r="M34" s="8"/>
      <c r="N34" s="7"/>
      <c r="O34" s="8"/>
      <c r="P34" s="7"/>
      <c r="Q34" s="7"/>
      <c r="R34" s="8"/>
      <c r="S34" s="7"/>
      <c r="T34" s="9"/>
      <c r="U34" s="7"/>
      <c r="V34" s="8"/>
      <c r="W34" s="7"/>
      <c r="X34" s="7"/>
      <c r="Y34" s="8"/>
      <c r="Z34" s="7"/>
      <c r="AA34" s="57"/>
      <c r="AB34" s="62" t="s">
        <v>2705</v>
      </c>
      <c r="AC34" s="62" t="s">
        <v>341</v>
      </c>
    </row>
    <row r="35" spans="2:29" ht="13.5" thickBot="1">
      <c r="B35" s="10" t="s">
        <v>1216</v>
      </c>
      <c r="D35" s="52" t="s">
        <v>341</v>
      </c>
      <c r="E35" s="52" t="s">
        <v>622</v>
      </c>
      <c r="F35" s="7"/>
      <c r="G35" s="8"/>
      <c r="H35" s="7"/>
      <c r="I35" s="30" t="s">
        <v>1883</v>
      </c>
      <c r="J35" s="7"/>
      <c r="K35" s="8"/>
      <c r="L35" s="7"/>
      <c r="M35" s="8"/>
      <c r="N35" s="7"/>
      <c r="O35" s="8"/>
      <c r="P35" s="7"/>
      <c r="Q35" s="7"/>
      <c r="R35" s="8"/>
      <c r="S35" s="7"/>
      <c r="T35" s="9"/>
      <c r="U35" s="7"/>
      <c r="V35" s="8"/>
      <c r="W35" s="7"/>
      <c r="X35" s="7"/>
      <c r="Y35" s="8"/>
      <c r="Z35" s="7"/>
      <c r="AA35" s="57"/>
      <c r="AB35" s="62" t="s">
        <v>298</v>
      </c>
      <c r="AC35" s="62" t="s">
        <v>329</v>
      </c>
    </row>
    <row r="36" spans="2:29" ht="13.5" thickBot="1">
      <c r="B36" s="10" t="s">
        <v>373</v>
      </c>
      <c r="D36" s="52" t="s">
        <v>208</v>
      </c>
      <c r="E36" s="52" t="s">
        <v>656</v>
      </c>
      <c r="F36" s="7"/>
      <c r="G36" s="8"/>
      <c r="H36" s="7"/>
      <c r="I36" s="30" t="s">
        <v>138</v>
      </c>
      <c r="J36" s="7"/>
      <c r="K36" s="8"/>
      <c r="L36" s="7"/>
      <c r="M36" s="8"/>
      <c r="N36" s="7"/>
      <c r="O36" s="8"/>
      <c r="P36" s="7"/>
      <c r="Q36" s="7"/>
      <c r="R36" s="8"/>
      <c r="S36" s="7"/>
      <c r="T36" s="9"/>
      <c r="U36" s="7"/>
      <c r="V36" s="8"/>
      <c r="W36" s="7"/>
      <c r="X36" s="7"/>
      <c r="Y36" s="8"/>
      <c r="Z36" s="7"/>
      <c r="AA36" s="57"/>
      <c r="AB36" s="62" t="s">
        <v>298</v>
      </c>
      <c r="AC36" s="62" t="s">
        <v>1207</v>
      </c>
    </row>
    <row r="37" spans="2:29" ht="13.5" thickBot="1">
      <c r="B37" s="10" t="s">
        <v>1217</v>
      </c>
      <c r="D37" s="52" t="s">
        <v>299</v>
      </c>
      <c r="E37" s="52" t="s">
        <v>572</v>
      </c>
      <c r="F37" s="7"/>
      <c r="G37" s="8"/>
      <c r="H37" s="7"/>
      <c r="I37" s="30" t="s">
        <v>1883</v>
      </c>
      <c r="J37" s="7"/>
      <c r="K37" s="8"/>
      <c r="L37" s="7"/>
      <c r="M37" s="8"/>
      <c r="N37" s="7"/>
      <c r="O37" s="8"/>
      <c r="P37" s="7"/>
      <c r="Q37" s="7"/>
      <c r="R37" s="8"/>
      <c r="S37" s="7"/>
      <c r="T37" s="9"/>
      <c r="U37" s="7"/>
      <c r="V37" s="8"/>
      <c r="W37" s="7"/>
      <c r="X37" s="7"/>
      <c r="Y37" s="8"/>
      <c r="Z37" s="7"/>
      <c r="AA37" s="57"/>
      <c r="AB37" s="62" t="s">
        <v>298</v>
      </c>
      <c r="AC37" s="62" t="s">
        <v>1213</v>
      </c>
    </row>
    <row r="38" spans="2:29" ht="13.5" thickBot="1">
      <c r="B38" s="10" t="s">
        <v>303</v>
      </c>
      <c r="D38" s="52" t="s">
        <v>178</v>
      </c>
      <c r="E38" s="52" t="s">
        <v>606</v>
      </c>
      <c r="F38" s="7"/>
      <c r="G38" s="8"/>
      <c r="H38" s="7"/>
      <c r="I38" s="40" t="s">
        <v>793</v>
      </c>
      <c r="J38" s="7"/>
      <c r="K38" s="8"/>
      <c r="L38" s="7"/>
      <c r="M38" s="8"/>
      <c r="N38" s="7"/>
      <c r="O38" s="8"/>
      <c r="P38" s="7"/>
      <c r="Q38" s="7"/>
      <c r="R38" s="8"/>
      <c r="S38" s="7"/>
      <c r="T38" s="9"/>
      <c r="U38" s="7"/>
      <c r="V38" s="8"/>
      <c r="W38" s="7"/>
      <c r="X38" s="7"/>
      <c r="Y38" s="8"/>
      <c r="Z38" s="7"/>
      <c r="AA38" s="57"/>
      <c r="AB38" s="62" t="s">
        <v>298</v>
      </c>
      <c r="AC38" s="62" t="s">
        <v>1218</v>
      </c>
    </row>
    <row r="39" spans="2:29" ht="13.5" thickBot="1">
      <c r="B39" s="10" t="s">
        <v>1219</v>
      </c>
      <c r="D39" s="52" t="s">
        <v>136</v>
      </c>
      <c r="E39" s="52" t="s">
        <v>1221</v>
      </c>
      <c r="F39" s="7"/>
      <c r="G39" s="8"/>
      <c r="H39" s="7"/>
      <c r="I39" s="30" t="s">
        <v>235</v>
      </c>
      <c r="J39" s="7"/>
      <c r="K39" s="8"/>
      <c r="L39" s="7"/>
      <c r="M39" s="8"/>
      <c r="N39" s="7"/>
      <c r="O39" s="8"/>
      <c r="P39" s="7"/>
      <c r="Q39" s="7"/>
      <c r="R39" s="8"/>
      <c r="S39" s="7"/>
      <c r="T39" s="9"/>
      <c r="U39" s="7"/>
      <c r="V39" s="8"/>
      <c r="W39" s="7"/>
      <c r="X39" s="7"/>
      <c r="Y39" s="8"/>
      <c r="Z39" s="7"/>
      <c r="AA39" s="57"/>
      <c r="AB39" s="62" t="s">
        <v>298</v>
      </c>
      <c r="AC39" s="62" t="s">
        <v>1220</v>
      </c>
    </row>
    <row r="40" spans="2:29" ht="13.5" thickBot="1">
      <c r="B40" s="10" t="s">
        <v>370</v>
      </c>
      <c r="D40" s="52"/>
      <c r="E40" s="52" t="s">
        <v>635</v>
      </c>
      <c r="F40" s="7"/>
      <c r="G40" s="8"/>
      <c r="H40" s="7"/>
      <c r="I40" s="30" t="s">
        <v>240</v>
      </c>
      <c r="J40" s="7"/>
      <c r="K40" s="8"/>
      <c r="L40" s="7"/>
      <c r="M40" s="8"/>
      <c r="N40" s="7"/>
      <c r="O40" s="8"/>
      <c r="P40" s="7"/>
      <c r="Q40" s="7"/>
      <c r="R40" s="8"/>
      <c r="S40" s="7"/>
      <c r="T40" s="9"/>
      <c r="U40" s="7"/>
      <c r="V40" s="8"/>
      <c r="W40" s="7"/>
      <c r="X40" s="7"/>
      <c r="Y40" s="8"/>
      <c r="Z40" s="7"/>
      <c r="AA40" s="57"/>
      <c r="AB40" s="62" t="s">
        <v>702</v>
      </c>
      <c r="AC40" s="62" t="s">
        <v>1222</v>
      </c>
    </row>
    <row r="41" spans="2:29" ht="13.5" thickBot="1">
      <c r="B41" s="10" t="s">
        <v>1223</v>
      </c>
      <c r="D41" s="52"/>
      <c r="E41" s="52" t="s">
        <v>650</v>
      </c>
      <c r="F41" s="7"/>
      <c r="G41" s="8"/>
      <c r="H41" s="7"/>
      <c r="I41" s="30" t="s">
        <v>188</v>
      </c>
      <c r="J41" s="7"/>
      <c r="K41" s="8"/>
      <c r="L41" s="7"/>
      <c r="M41" s="8"/>
      <c r="N41" s="7"/>
      <c r="O41" s="8"/>
      <c r="P41" s="7"/>
      <c r="Q41" s="7"/>
      <c r="R41" s="8"/>
      <c r="S41" s="7"/>
      <c r="T41" s="9"/>
      <c r="U41" s="7"/>
      <c r="V41" s="8"/>
      <c r="W41" s="7"/>
      <c r="X41" s="7"/>
      <c r="Y41" s="8"/>
      <c r="Z41" s="7"/>
      <c r="AA41" s="57"/>
      <c r="AB41" s="62" t="s">
        <v>702</v>
      </c>
      <c r="AC41" s="62" t="s">
        <v>1224</v>
      </c>
    </row>
    <row r="42" spans="2:29" ht="13.5" thickBot="1">
      <c r="B42" s="10" t="s">
        <v>1225</v>
      </c>
      <c r="D42" s="52"/>
      <c r="E42" s="52" t="s">
        <v>586</v>
      </c>
      <c r="F42" s="7"/>
      <c r="G42" s="8"/>
      <c r="H42" s="7"/>
      <c r="I42" s="30" t="s">
        <v>193</v>
      </c>
      <c r="J42" s="7"/>
      <c r="K42" s="8"/>
      <c r="L42" s="7"/>
      <c r="M42" s="8"/>
      <c r="N42" s="7"/>
      <c r="O42" s="8"/>
      <c r="P42" s="7"/>
      <c r="Q42" s="7"/>
      <c r="R42" s="8"/>
      <c r="S42" s="7"/>
      <c r="T42" s="9"/>
      <c r="U42" s="7"/>
      <c r="V42" s="8"/>
      <c r="W42" s="7"/>
      <c r="X42" s="7"/>
      <c r="Y42" s="8"/>
      <c r="Z42" s="7"/>
      <c r="AA42" s="57"/>
      <c r="AB42" s="62" t="s">
        <v>702</v>
      </c>
      <c r="AC42" s="62" t="s">
        <v>1226</v>
      </c>
    </row>
    <row r="43" spans="2:29" ht="13.5" thickBot="1">
      <c r="B43" s="415" t="s">
        <v>2308</v>
      </c>
      <c r="D43" s="52"/>
      <c r="E43" s="52" t="s">
        <v>548</v>
      </c>
      <c r="F43" s="7"/>
      <c r="G43" s="8"/>
      <c r="H43" s="7"/>
      <c r="I43" s="30" t="s">
        <v>202</v>
      </c>
      <c r="J43" s="7"/>
      <c r="K43" s="8"/>
      <c r="L43" s="7"/>
      <c r="M43" s="8"/>
      <c r="N43" s="7"/>
      <c r="O43" s="8"/>
      <c r="P43" s="7"/>
      <c r="Q43" s="7"/>
      <c r="R43" s="8"/>
      <c r="S43" s="7"/>
      <c r="T43" s="9"/>
      <c r="U43" s="7"/>
      <c r="V43" s="8"/>
      <c r="W43" s="7"/>
      <c r="X43" s="7"/>
      <c r="Y43" s="8"/>
      <c r="Z43" s="7"/>
      <c r="AA43" s="57"/>
      <c r="AB43" s="62" t="s">
        <v>702</v>
      </c>
      <c r="AC43" s="62" t="s">
        <v>1228</v>
      </c>
    </row>
    <row r="44" spans="2:29" ht="13.5" thickBot="1">
      <c r="B44" s="415" t="s">
        <v>2702</v>
      </c>
      <c r="D44" s="52"/>
      <c r="E44" s="52" t="s">
        <v>655</v>
      </c>
      <c r="F44" s="7"/>
      <c r="G44" s="8"/>
      <c r="H44" s="7"/>
      <c r="I44" s="30" t="s">
        <v>716</v>
      </c>
      <c r="J44" s="7"/>
      <c r="K44" s="8"/>
      <c r="L44" s="7"/>
      <c r="M44" s="8"/>
      <c r="N44" s="7"/>
      <c r="O44" s="8"/>
      <c r="P44" s="7"/>
      <c r="Q44" s="7"/>
      <c r="R44" s="8"/>
      <c r="S44" s="7"/>
      <c r="T44" s="9"/>
      <c r="U44" s="7"/>
      <c r="V44" s="8"/>
      <c r="W44" s="7"/>
      <c r="X44" s="7"/>
      <c r="Y44" s="8"/>
      <c r="Z44" s="7"/>
      <c r="AA44" s="57"/>
      <c r="AB44" s="62" t="s">
        <v>702</v>
      </c>
      <c r="AC44" s="62" t="s">
        <v>1229</v>
      </c>
    </row>
    <row r="45" spans="2:29" ht="13.5" thickBot="1">
      <c r="B45" s="415" t="s">
        <v>2554</v>
      </c>
      <c r="D45" s="52"/>
      <c r="E45" s="52" t="s">
        <v>549</v>
      </c>
      <c r="F45" s="7"/>
      <c r="G45" s="8"/>
      <c r="H45" s="7"/>
      <c r="I45" s="30" t="s">
        <v>191</v>
      </c>
      <c r="J45" s="7"/>
      <c r="K45" s="8"/>
      <c r="L45" s="7"/>
      <c r="M45" s="8"/>
      <c r="N45" s="7"/>
      <c r="O45" s="8"/>
      <c r="P45" s="7"/>
      <c r="Q45" s="7"/>
      <c r="R45" s="8"/>
      <c r="S45" s="7"/>
      <c r="T45" s="9"/>
      <c r="U45" s="7"/>
      <c r="V45" s="8"/>
      <c r="W45" s="7"/>
      <c r="X45" s="7"/>
      <c r="Y45" s="8"/>
      <c r="Z45" s="7"/>
      <c r="AA45" s="57"/>
      <c r="AB45" s="62" t="s">
        <v>702</v>
      </c>
      <c r="AC45" s="62" t="s">
        <v>721</v>
      </c>
    </row>
    <row r="46" spans="2:29" ht="13.5" thickBot="1">
      <c r="B46" s="10" t="s">
        <v>1227</v>
      </c>
      <c r="D46" s="52"/>
      <c r="E46" s="52" t="s">
        <v>945</v>
      </c>
      <c r="F46" s="7"/>
      <c r="G46" s="8"/>
      <c r="H46" s="7"/>
      <c r="I46" s="30" t="s">
        <v>206</v>
      </c>
      <c r="J46" s="7"/>
      <c r="K46" s="8"/>
      <c r="L46" s="7"/>
      <c r="M46" s="8"/>
      <c r="N46" s="7"/>
      <c r="O46" s="8"/>
      <c r="P46" s="7"/>
      <c r="Q46" s="7"/>
      <c r="R46" s="8"/>
      <c r="S46" s="7"/>
      <c r="T46" s="9"/>
      <c r="U46" s="7"/>
      <c r="V46" s="8"/>
      <c r="W46" s="7"/>
      <c r="X46" s="7"/>
      <c r="Y46" s="8"/>
      <c r="Z46" s="7"/>
      <c r="AA46" s="57"/>
      <c r="AB46" s="62" t="s">
        <v>702</v>
      </c>
      <c r="AC46" s="62" t="s">
        <v>743</v>
      </c>
    </row>
    <row r="47" spans="2:29" ht="13.5" thickBot="1">
      <c r="B47" s="10" t="s">
        <v>402</v>
      </c>
      <c r="D47" s="52"/>
      <c r="E47" s="52" t="s">
        <v>648</v>
      </c>
      <c r="F47" s="7"/>
      <c r="G47" s="8"/>
      <c r="H47" s="7"/>
      <c r="I47" s="30" t="s">
        <v>196</v>
      </c>
      <c r="J47" s="7"/>
      <c r="K47" s="8"/>
      <c r="L47" s="7"/>
      <c r="M47" s="8"/>
      <c r="N47" s="7"/>
      <c r="O47" s="8"/>
      <c r="P47" s="7"/>
      <c r="Q47" s="7"/>
      <c r="R47" s="8"/>
      <c r="S47" s="7"/>
      <c r="T47" s="9"/>
      <c r="U47" s="7"/>
      <c r="V47" s="8"/>
      <c r="W47" s="7"/>
      <c r="X47" s="7"/>
      <c r="Y47" s="8"/>
      <c r="Z47" s="7"/>
      <c r="AA47" s="57"/>
      <c r="AB47" s="62" t="s">
        <v>702</v>
      </c>
      <c r="AC47" s="62" t="s">
        <v>1232</v>
      </c>
    </row>
    <row r="48" spans="2:29" ht="13.5" thickBot="1">
      <c r="B48" s="10" t="s">
        <v>291</v>
      </c>
      <c r="D48" s="52"/>
      <c r="E48" s="52" t="s">
        <v>922</v>
      </c>
      <c r="F48" s="7"/>
      <c r="G48" s="8"/>
      <c r="H48" s="7"/>
      <c r="I48" s="30" t="s">
        <v>720</v>
      </c>
      <c r="J48" s="7"/>
      <c r="K48" s="8"/>
      <c r="L48" s="7"/>
      <c r="M48" s="8"/>
      <c r="N48" s="7"/>
      <c r="O48" s="8"/>
      <c r="P48" s="7"/>
      <c r="Q48" s="7"/>
      <c r="R48" s="8"/>
      <c r="S48" s="7"/>
      <c r="T48" s="9"/>
      <c r="U48" s="7"/>
      <c r="V48" s="8"/>
      <c r="W48" s="7"/>
      <c r="X48" s="7"/>
      <c r="Y48" s="8"/>
      <c r="Z48" s="7"/>
      <c r="AA48" s="57"/>
      <c r="AB48" s="62" t="s">
        <v>702</v>
      </c>
      <c r="AC48" s="62" t="s">
        <v>1234</v>
      </c>
    </row>
    <row r="49" spans="2:29" ht="13.5" thickBot="1">
      <c r="B49" s="10" t="s">
        <v>1230</v>
      </c>
      <c r="D49" s="52"/>
      <c r="E49" s="52" t="s">
        <v>588</v>
      </c>
      <c r="F49" s="7"/>
      <c r="G49" s="8"/>
      <c r="H49" s="7"/>
      <c r="I49" s="30" t="s">
        <v>739</v>
      </c>
      <c r="J49" s="7"/>
      <c r="K49" s="8"/>
      <c r="L49" s="7"/>
      <c r="M49" s="8"/>
      <c r="N49" s="7"/>
      <c r="O49" s="8"/>
      <c r="P49" s="7"/>
      <c r="Q49" s="7"/>
      <c r="R49" s="8"/>
      <c r="S49" s="7"/>
      <c r="T49" s="9"/>
      <c r="U49" s="7"/>
      <c r="V49" s="8"/>
      <c r="W49" s="7"/>
      <c r="X49" s="7"/>
      <c r="Y49" s="8"/>
      <c r="Z49" s="7"/>
      <c r="AA49" s="57"/>
      <c r="AB49" s="62" t="s">
        <v>702</v>
      </c>
      <c r="AC49" s="62" t="s">
        <v>1235</v>
      </c>
    </row>
    <row r="50" spans="2:29" ht="13.5" thickBot="1">
      <c r="B50" s="10" t="s">
        <v>1231</v>
      </c>
      <c r="D50" s="52"/>
      <c r="E50" s="52" t="s">
        <v>576</v>
      </c>
      <c r="F50" s="7"/>
      <c r="G50" s="8"/>
      <c r="H50" s="7"/>
      <c r="I50" s="30" t="s">
        <v>719</v>
      </c>
      <c r="J50" s="7"/>
      <c r="K50" s="8"/>
      <c r="L50" s="7"/>
      <c r="M50" s="8"/>
      <c r="N50" s="7"/>
      <c r="O50" s="8"/>
      <c r="P50" s="7"/>
      <c r="Q50" s="7"/>
      <c r="R50" s="8"/>
      <c r="S50" s="7"/>
      <c r="T50" s="9"/>
      <c r="U50" s="7"/>
      <c r="V50" s="8"/>
      <c r="W50" s="7"/>
      <c r="X50" s="7"/>
      <c r="Y50" s="8"/>
      <c r="Z50" s="7"/>
      <c r="AA50" s="57"/>
      <c r="AB50" s="62" t="s">
        <v>702</v>
      </c>
      <c r="AC50" s="62" t="s">
        <v>1236</v>
      </c>
    </row>
    <row r="51" spans="2:29" ht="13.5" thickBot="1">
      <c r="B51" s="10" t="s">
        <v>1233</v>
      </c>
      <c r="D51" s="52"/>
      <c r="E51" s="52" t="s">
        <v>537</v>
      </c>
      <c r="F51" s="7"/>
      <c r="G51" s="8"/>
      <c r="H51" s="7"/>
      <c r="I51" s="30" t="s">
        <v>212</v>
      </c>
      <c r="J51" s="7"/>
      <c r="K51" s="8"/>
      <c r="L51" s="7"/>
      <c r="M51" s="8"/>
      <c r="N51" s="7"/>
      <c r="O51" s="8"/>
      <c r="P51" s="7"/>
      <c r="Q51" s="7"/>
      <c r="R51" s="8"/>
      <c r="S51" s="7"/>
      <c r="T51" s="9"/>
      <c r="U51" s="7"/>
      <c r="V51" s="8"/>
      <c r="W51" s="7"/>
      <c r="X51" s="7"/>
      <c r="Y51" s="8"/>
      <c r="Z51" s="7"/>
      <c r="AA51" s="57"/>
      <c r="AB51" s="62" t="s">
        <v>702</v>
      </c>
      <c r="AC51" s="62" t="s">
        <v>1238</v>
      </c>
    </row>
    <row r="52" spans="2:29" ht="13.5" thickBot="1">
      <c r="B52" s="10" t="s">
        <v>236</v>
      </c>
      <c r="C52" s="65"/>
      <c r="D52" s="52"/>
      <c r="E52" s="52" t="s">
        <v>590</v>
      </c>
      <c r="F52" s="7"/>
      <c r="G52" s="8"/>
      <c r="H52" s="7"/>
      <c r="I52" s="30" t="s">
        <v>325</v>
      </c>
      <c r="J52" s="7"/>
      <c r="K52" s="8"/>
      <c r="L52" s="7"/>
      <c r="M52" s="8"/>
      <c r="N52" s="7"/>
      <c r="O52" s="8"/>
      <c r="P52" s="7"/>
      <c r="Q52" s="7"/>
      <c r="R52" s="8"/>
      <c r="S52" s="7"/>
      <c r="T52" s="9"/>
      <c r="U52" s="7"/>
      <c r="V52" s="8"/>
      <c r="W52" s="7"/>
      <c r="X52" s="7"/>
      <c r="Y52" s="8"/>
      <c r="Z52" s="7"/>
      <c r="AA52" s="57"/>
      <c r="AB52" s="62" t="s">
        <v>702</v>
      </c>
      <c r="AC52" s="62" t="s">
        <v>706</v>
      </c>
    </row>
    <row r="53" spans="2:29" ht="14.25" thickTop="1" thickBot="1">
      <c r="B53" s="10" t="s">
        <v>270</v>
      </c>
      <c r="D53" s="52"/>
      <c r="E53" s="52" t="s">
        <v>659</v>
      </c>
      <c r="F53" s="7"/>
      <c r="G53" s="8"/>
      <c r="H53" s="7"/>
      <c r="I53" s="6"/>
      <c r="J53" s="7"/>
      <c r="K53" s="8"/>
      <c r="L53" s="7"/>
      <c r="M53" s="8"/>
      <c r="N53" s="7"/>
      <c r="O53" s="8"/>
      <c r="P53" s="7"/>
      <c r="Q53" s="7"/>
      <c r="R53" s="8"/>
      <c r="S53" s="7"/>
      <c r="T53" s="9"/>
      <c r="U53" s="7"/>
      <c r="V53" s="8"/>
      <c r="W53" s="7"/>
      <c r="X53" s="7"/>
      <c r="Y53" s="8"/>
      <c r="Z53" s="7"/>
      <c r="AA53" s="57"/>
      <c r="AB53" s="62" t="s">
        <v>702</v>
      </c>
      <c r="AC53" s="62" t="s">
        <v>1241</v>
      </c>
    </row>
    <row r="54" spans="2:29" ht="14.25" thickTop="1" thickBot="1">
      <c r="B54" s="10" t="s">
        <v>1237</v>
      </c>
      <c r="D54" s="52"/>
      <c r="E54" s="52" t="s">
        <v>526</v>
      </c>
      <c r="F54" s="7"/>
      <c r="G54" s="8"/>
      <c r="H54" s="7"/>
      <c r="I54" s="6"/>
      <c r="J54" s="7"/>
      <c r="K54" s="8"/>
      <c r="L54" s="7"/>
      <c r="M54" s="8"/>
      <c r="N54" s="7"/>
      <c r="O54" s="8"/>
      <c r="P54" s="7"/>
      <c r="Q54" s="7"/>
      <c r="R54" s="8"/>
      <c r="S54" s="7"/>
      <c r="T54" s="9"/>
      <c r="U54" s="7"/>
      <c r="V54" s="8"/>
      <c r="W54" s="7"/>
      <c r="X54" s="7"/>
      <c r="Y54" s="8"/>
      <c r="Z54" s="7"/>
      <c r="AA54" s="57"/>
      <c r="AB54" s="62" t="s">
        <v>702</v>
      </c>
      <c r="AC54" s="62" t="s">
        <v>1242</v>
      </c>
    </row>
    <row r="55" spans="2:29" ht="14.25" thickTop="1" thickBot="1">
      <c r="B55" s="10" t="s">
        <v>1239</v>
      </c>
      <c r="D55" s="52"/>
      <c r="E55" s="52" t="s">
        <v>528</v>
      </c>
      <c r="F55" s="7"/>
      <c r="G55" s="8"/>
      <c r="H55" s="7"/>
      <c r="I55" s="6"/>
      <c r="J55" s="7"/>
      <c r="K55" s="8"/>
      <c r="L55" s="7"/>
      <c r="M55" s="8"/>
      <c r="N55" s="7"/>
      <c r="O55" s="8"/>
      <c r="P55" s="7"/>
      <c r="Q55" s="7"/>
      <c r="R55" s="8"/>
      <c r="S55" s="7"/>
      <c r="T55" s="9"/>
      <c r="U55" s="7"/>
      <c r="V55" s="8"/>
      <c r="W55" s="7"/>
      <c r="X55" s="7"/>
      <c r="Y55" s="8"/>
      <c r="Z55" s="7"/>
      <c r="AA55" s="57"/>
      <c r="AB55" s="62" t="s">
        <v>702</v>
      </c>
      <c r="AC55" s="62" t="s">
        <v>1243</v>
      </c>
    </row>
    <row r="56" spans="2:29" ht="14.25" thickTop="1" thickBot="1">
      <c r="B56" s="10" t="s">
        <v>235</v>
      </c>
      <c r="D56" s="52"/>
      <c r="E56" s="52" t="s">
        <v>602</v>
      </c>
      <c r="F56" s="7"/>
      <c r="G56" s="8"/>
      <c r="H56" s="7"/>
      <c r="I56" s="6"/>
      <c r="J56" s="7"/>
      <c r="K56" s="8"/>
      <c r="L56" s="7"/>
      <c r="M56" s="8"/>
      <c r="N56" s="7"/>
      <c r="O56" s="8"/>
      <c r="P56" s="7"/>
      <c r="Q56" s="7"/>
      <c r="R56" s="8"/>
      <c r="S56" s="7"/>
      <c r="T56" s="9"/>
      <c r="U56" s="7"/>
      <c r="V56" s="8"/>
      <c r="W56" s="7"/>
      <c r="X56" s="7"/>
      <c r="Y56" s="8"/>
      <c r="Z56" s="7"/>
      <c r="AA56" s="57"/>
      <c r="AB56" s="62" t="s">
        <v>702</v>
      </c>
      <c r="AC56" s="62" t="s">
        <v>1244</v>
      </c>
    </row>
    <row r="57" spans="2:29" ht="14.25" thickTop="1" thickBot="1">
      <c r="B57" s="531" t="s">
        <v>2888</v>
      </c>
      <c r="D57" s="52"/>
      <c r="E57" s="52" t="s">
        <v>604</v>
      </c>
      <c r="F57" s="7"/>
      <c r="G57" s="8"/>
      <c r="H57" s="7"/>
      <c r="I57" s="6"/>
      <c r="J57" s="7"/>
      <c r="K57" s="8"/>
      <c r="L57" s="7"/>
      <c r="M57" s="8"/>
      <c r="N57" s="7"/>
      <c r="O57" s="8"/>
      <c r="P57" s="7"/>
      <c r="Q57" s="7"/>
      <c r="R57" s="8"/>
      <c r="S57" s="7"/>
      <c r="T57" s="9"/>
      <c r="U57" s="7"/>
      <c r="V57" s="8"/>
      <c r="W57" s="7"/>
      <c r="X57" s="7"/>
      <c r="Y57" s="8"/>
      <c r="Z57" s="7"/>
      <c r="AA57" s="57"/>
      <c r="AB57" s="62" t="s">
        <v>702</v>
      </c>
      <c r="AC57" s="62" t="s">
        <v>1245</v>
      </c>
    </row>
    <row r="58" spans="2:29" ht="14.25" thickTop="1" thickBot="1">
      <c r="B58" s="10" t="s">
        <v>285</v>
      </c>
      <c r="D58" s="52"/>
      <c r="E58" s="52" t="s">
        <v>557</v>
      </c>
      <c r="F58" s="7"/>
      <c r="G58" s="8"/>
      <c r="H58" s="7"/>
      <c r="I58" s="6"/>
      <c r="J58" s="7"/>
      <c r="K58" s="8"/>
      <c r="L58" s="7"/>
      <c r="M58" s="8"/>
      <c r="N58" s="7"/>
      <c r="O58" s="8"/>
      <c r="P58" s="7"/>
      <c r="Q58" s="7"/>
      <c r="R58" s="8"/>
      <c r="S58" s="7"/>
      <c r="T58" s="9"/>
      <c r="U58" s="7"/>
      <c r="V58" s="8"/>
      <c r="W58" s="7"/>
      <c r="X58" s="7"/>
      <c r="Y58" s="8"/>
      <c r="Z58" s="7"/>
      <c r="AA58" s="57"/>
      <c r="AB58" s="62" t="s">
        <v>702</v>
      </c>
      <c r="AC58" s="62" t="s">
        <v>1246</v>
      </c>
    </row>
    <row r="59" spans="2:29" ht="14.25" thickTop="1" thickBot="1">
      <c r="B59" s="485" t="s">
        <v>2749</v>
      </c>
      <c r="D59" s="52"/>
      <c r="E59" s="52" t="s">
        <v>587</v>
      </c>
      <c r="F59" s="7"/>
      <c r="G59" s="8"/>
      <c r="H59" s="7"/>
      <c r="I59" s="6"/>
      <c r="J59" s="7"/>
      <c r="K59" s="8"/>
      <c r="L59" s="7"/>
      <c r="M59" s="8"/>
      <c r="N59" s="7"/>
      <c r="O59" s="8"/>
      <c r="P59" s="7"/>
      <c r="Q59" s="7"/>
      <c r="R59" s="8"/>
      <c r="S59" s="7"/>
      <c r="T59" s="9"/>
      <c r="U59" s="7"/>
      <c r="V59" s="8"/>
      <c r="W59" s="7"/>
      <c r="X59" s="7"/>
      <c r="Y59" s="8"/>
      <c r="Z59" s="7"/>
      <c r="AA59" s="57"/>
      <c r="AB59" s="62" t="s">
        <v>702</v>
      </c>
      <c r="AC59" s="62" t="s">
        <v>1247</v>
      </c>
    </row>
    <row r="60" spans="2:29" ht="14.25" thickTop="1" thickBot="1">
      <c r="B60" s="18" t="s">
        <v>1894</v>
      </c>
      <c r="D60" s="52"/>
      <c r="E60" s="52" t="s">
        <v>546</v>
      </c>
      <c r="F60" s="7"/>
      <c r="G60" s="8"/>
      <c r="H60" s="7"/>
      <c r="I60" s="6"/>
      <c r="J60" s="7"/>
      <c r="K60" s="8"/>
      <c r="L60" s="7"/>
      <c r="M60" s="8"/>
      <c r="N60" s="7"/>
      <c r="O60" s="8"/>
      <c r="P60" s="7"/>
      <c r="Q60" s="7"/>
      <c r="R60" s="8"/>
      <c r="S60" s="7"/>
      <c r="T60" s="9"/>
      <c r="U60" s="7"/>
      <c r="V60" s="8"/>
      <c r="W60" s="7"/>
      <c r="X60" s="7"/>
      <c r="Y60" s="8"/>
      <c r="Z60" s="7"/>
      <c r="AA60" s="57"/>
      <c r="AB60" s="62" t="s">
        <v>702</v>
      </c>
      <c r="AC60" s="62" t="s">
        <v>1248</v>
      </c>
    </row>
    <row r="61" spans="2:29" ht="14.25" thickTop="1" thickBot="1">
      <c r="B61" s="10"/>
      <c r="D61" s="52"/>
      <c r="E61" s="52" t="s">
        <v>947</v>
      </c>
      <c r="F61" s="7"/>
      <c r="G61" s="8"/>
      <c r="H61" s="7"/>
      <c r="I61" s="6"/>
      <c r="J61" s="7"/>
      <c r="K61" s="8"/>
      <c r="L61" s="7"/>
      <c r="M61" s="8"/>
      <c r="N61" s="7"/>
      <c r="O61" s="8"/>
      <c r="P61" s="7"/>
      <c r="Q61" s="7"/>
      <c r="R61" s="8"/>
      <c r="S61" s="7"/>
      <c r="T61" s="9"/>
      <c r="U61" s="7"/>
      <c r="V61" s="8"/>
      <c r="W61" s="7"/>
      <c r="X61" s="7"/>
      <c r="Y61" s="8"/>
      <c r="Z61" s="7"/>
      <c r="AA61" s="57"/>
      <c r="AB61" s="62" t="s">
        <v>702</v>
      </c>
      <c r="AC61" s="62" t="s">
        <v>1249</v>
      </c>
    </row>
    <row r="62" spans="2:29" ht="14.25" thickTop="1" thickBot="1">
      <c r="B62" s="10"/>
      <c r="D62" s="52"/>
      <c r="E62" s="52" t="s">
        <v>581</v>
      </c>
      <c r="F62" s="7"/>
      <c r="G62" s="8"/>
      <c r="H62" s="7"/>
      <c r="I62" s="6"/>
      <c r="J62" s="7"/>
      <c r="K62" s="8"/>
      <c r="L62" s="7"/>
      <c r="M62" s="8"/>
      <c r="N62" s="7"/>
      <c r="O62" s="8"/>
      <c r="P62" s="7"/>
      <c r="Q62" s="7"/>
      <c r="R62" s="8"/>
      <c r="S62" s="7"/>
      <c r="T62" s="9"/>
      <c r="U62" s="7"/>
      <c r="V62" s="8"/>
      <c r="W62" s="7"/>
      <c r="X62" s="7"/>
      <c r="Y62" s="8"/>
      <c r="Z62" s="7"/>
      <c r="AA62" s="57"/>
      <c r="AB62" s="62" t="s">
        <v>702</v>
      </c>
      <c r="AC62" s="62" t="s">
        <v>709</v>
      </c>
    </row>
    <row r="63" spans="2:29" ht="14.25" thickTop="1" thickBot="1">
      <c r="B63" s="10"/>
      <c r="D63" s="52"/>
      <c r="E63" s="52" t="s">
        <v>580</v>
      </c>
      <c r="F63" s="7"/>
      <c r="G63" s="8"/>
      <c r="H63" s="7"/>
      <c r="I63" s="6"/>
      <c r="J63" s="7"/>
      <c r="K63" s="8"/>
      <c r="L63" s="7"/>
      <c r="M63" s="8"/>
      <c r="N63" s="7"/>
      <c r="O63" s="8"/>
      <c r="P63" s="7"/>
      <c r="Q63" s="7"/>
      <c r="R63" s="8"/>
      <c r="S63" s="7"/>
      <c r="T63" s="9"/>
      <c r="U63" s="7"/>
      <c r="V63" s="8"/>
      <c r="W63" s="7"/>
      <c r="X63" s="7"/>
      <c r="Y63" s="8"/>
      <c r="Z63" s="7"/>
      <c r="AA63" s="57"/>
      <c r="AB63" s="62" t="s">
        <v>702</v>
      </c>
      <c r="AC63" s="62" t="s">
        <v>1250</v>
      </c>
    </row>
    <row r="64" spans="2:29" ht="14.25" thickTop="1" thickBot="1">
      <c r="B64" s="10"/>
      <c r="D64" s="52"/>
      <c r="E64" s="52" t="s">
        <v>529</v>
      </c>
      <c r="F64" s="7"/>
      <c r="G64" s="8"/>
      <c r="H64" s="7"/>
      <c r="I64" s="6"/>
      <c r="J64" s="7"/>
      <c r="K64" s="8"/>
      <c r="L64" s="7"/>
      <c r="M64" s="8"/>
      <c r="N64" s="7"/>
      <c r="O64" s="8"/>
      <c r="P64" s="7"/>
      <c r="Q64" s="7"/>
      <c r="R64" s="8"/>
      <c r="S64" s="7"/>
      <c r="T64" s="9"/>
      <c r="U64" s="7"/>
      <c r="V64" s="8"/>
      <c r="W64" s="7"/>
      <c r="X64" s="7"/>
      <c r="Y64" s="8"/>
      <c r="Z64" s="7"/>
      <c r="AA64" s="57"/>
      <c r="AB64" s="62" t="s">
        <v>702</v>
      </c>
      <c r="AC64" s="62" t="s">
        <v>1251</v>
      </c>
    </row>
    <row r="65" spans="2:29" ht="14.25" thickTop="1" thickBot="1">
      <c r="B65" s="10"/>
      <c r="D65" s="52"/>
      <c r="E65" s="52" t="s">
        <v>534</v>
      </c>
      <c r="F65" s="7"/>
      <c r="G65" s="8"/>
      <c r="H65" s="7"/>
      <c r="I65" s="6"/>
      <c r="J65" s="7"/>
      <c r="K65" s="8"/>
      <c r="L65" s="7"/>
      <c r="M65" s="8"/>
      <c r="N65" s="7"/>
      <c r="O65" s="8"/>
      <c r="P65" s="7"/>
      <c r="Q65" s="7"/>
      <c r="R65" s="8"/>
      <c r="S65" s="7"/>
      <c r="T65" s="9"/>
      <c r="U65" s="7"/>
      <c r="V65" s="8"/>
      <c r="W65" s="7"/>
      <c r="X65" s="7"/>
      <c r="Y65" s="8"/>
      <c r="Z65" s="7"/>
      <c r="AA65" s="57"/>
      <c r="AB65" s="62" t="s">
        <v>702</v>
      </c>
      <c r="AC65" s="62" t="s">
        <v>1252</v>
      </c>
    </row>
    <row r="66" spans="2:29" ht="14.25" thickTop="1" thickBot="1">
      <c r="B66" s="10"/>
      <c r="D66" s="52"/>
      <c r="E66" s="52" t="s">
        <v>592</v>
      </c>
      <c r="F66" s="7"/>
      <c r="G66" s="8"/>
      <c r="H66" s="7"/>
      <c r="I66" s="6"/>
      <c r="J66" s="7"/>
      <c r="K66" s="8"/>
      <c r="L66" s="7"/>
      <c r="M66" s="8"/>
      <c r="N66" s="7"/>
      <c r="O66" s="8"/>
      <c r="P66" s="7"/>
      <c r="Q66" s="7"/>
      <c r="R66" s="8"/>
      <c r="S66" s="7"/>
      <c r="T66" s="9"/>
      <c r="U66" s="7"/>
      <c r="V66" s="8"/>
      <c r="W66" s="7"/>
      <c r="X66" s="7"/>
      <c r="Y66" s="8"/>
      <c r="Z66" s="7"/>
      <c r="AA66" s="57"/>
      <c r="AB66" s="62" t="s">
        <v>702</v>
      </c>
      <c r="AC66" s="62" t="s">
        <v>1253</v>
      </c>
    </row>
    <row r="67" spans="2:29" ht="14.25" thickTop="1" thickBot="1">
      <c r="B67" s="10"/>
      <c r="D67" s="52"/>
      <c r="E67" s="52" t="s">
        <v>354</v>
      </c>
      <c r="F67" s="7"/>
      <c r="G67" s="8"/>
      <c r="H67" s="7"/>
      <c r="I67" s="6"/>
      <c r="J67" s="7"/>
      <c r="K67" s="8"/>
      <c r="L67" s="7"/>
      <c r="M67" s="8"/>
      <c r="N67" s="7"/>
      <c r="O67" s="8"/>
      <c r="P67" s="7"/>
      <c r="Q67" s="7"/>
      <c r="R67" s="8"/>
      <c r="S67" s="7"/>
      <c r="T67" s="9"/>
      <c r="U67" s="7"/>
      <c r="V67" s="8"/>
      <c r="W67" s="7"/>
      <c r="X67" s="7"/>
      <c r="Y67" s="8"/>
      <c r="Z67" s="7"/>
      <c r="AA67" s="57"/>
      <c r="AB67" s="62" t="s">
        <v>702</v>
      </c>
      <c r="AC67" s="62" t="s">
        <v>712</v>
      </c>
    </row>
    <row r="68" spans="2:29" ht="14.25" thickTop="1" thickBot="1">
      <c r="B68" s="10"/>
      <c r="D68" s="52"/>
      <c r="E68" s="52" t="s">
        <v>574</v>
      </c>
      <c r="F68" s="7"/>
      <c r="G68" s="8"/>
      <c r="H68" s="7"/>
      <c r="I68" s="6"/>
      <c r="J68" s="7"/>
      <c r="K68" s="8"/>
      <c r="L68" s="7"/>
      <c r="M68" s="8"/>
      <c r="N68" s="7"/>
      <c r="O68" s="8"/>
      <c r="P68" s="7"/>
      <c r="Q68" s="7"/>
      <c r="R68" s="8"/>
      <c r="S68" s="7"/>
      <c r="T68" s="9"/>
      <c r="U68" s="7"/>
      <c r="V68" s="8"/>
      <c r="W68" s="7"/>
      <c r="X68" s="7"/>
      <c r="Y68" s="8"/>
      <c r="Z68" s="7"/>
      <c r="AA68" s="57"/>
      <c r="AB68" s="62" t="s">
        <v>702</v>
      </c>
      <c r="AC68" s="62" t="s">
        <v>1254</v>
      </c>
    </row>
    <row r="69" spans="2:29" ht="14.25" thickTop="1" thickBot="1">
      <c r="B69" s="10"/>
      <c r="D69" s="66"/>
      <c r="E69" s="52" t="s">
        <v>643</v>
      </c>
      <c r="F69" s="7"/>
      <c r="G69" s="8"/>
      <c r="H69" s="7"/>
      <c r="I69" s="6"/>
      <c r="J69" s="7"/>
      <c r="K69" s="8"/>
      <c r="L69" s="7"/>
      <c r="M69" s="8"/>
      <c r="N69" s="7"/>
      <c r="O69" s="8"/>
      <c r="P69" s="7"/>
      <c r="Q69" s="7"/>
      <c r="R69" s="8"/>
      <c r="S69" s="7"/>
      <c r="T69" s="9"/>
      <c r="U69" s="7"/>
      <c r="V69" s="8"/>
      <c r="W69" s="7"/>
      <c r="X69" s="7"/>
      <c r="Y69" s="8"/>
      <c r="Z69" s="7"/>
      <c r="AA69" s="57"/>
      <c r="AB69" s="62" t="s">
        <v>702</v>
      </c>
      <c r="AC69" s="62" t="s">
        <v>703</v>
      </c>
    </row>
    <row r="70" spans="2:29" ht="14.25" thickTop="1" thickBot="1">
      <c r="B70" s="10"/>
      <c r="D70" s="66"/>
      <c r="E70" s="52" t="s">
        <v>921</v>
      </c>
      <c r="F70" s="7"/>
      <c r="G70" s="8"/>
      <c r="H70" s="7"/>
      <c r="I70" s="6"/>
      <c r="J70" s="7"/>
      <c r="K70" s="8"/>
      <c r="L70" s="7"/>
      <c r="M70" s="8"/>
      <c r="N70" s="7"/>
      <c r="O70" s="8"/>
      <c r="P70" s="7"/>
      <c r="Q70" s="7"/>
      <c r="R70" s="8"/>
      <c r="S70" s="7"/>
      <c r="T70" s="9"/>
      <c r="U70" s="7"/>
      <c r="V70" s="8"/>
      <c r="W70" s="7"/>
      <c r="X70" s="7"/>
      <c r="Y70" s="8"/>
      <c r="Z70" s="7"/>
      <c r="AA70" s="57"/>
      <c r="AB70" s="62" t="s">
        <v>702</v>
      </c>
      <c r="AC70" s="62" t="s">
        <v>1255</v>
      </c>
    </row>
    <row r="71" spans="2:29" ht="14.25" thickTop="1" thickBot="1">
      <c r="B71" s="10"/>
      <c r="D71" s="66"/>
      <c r="E71" s="52" t="s">
        <v>671</v>
      </c>
      <c r="F71" s="7"/>
      <c r="G71" s="8"/>
      <c r="H71" s="7"/>
      <c r="I71" s="6"/>
      <c r="J71" s="7"/>
      <c r="K71" s="8"/>
      <c r="L71" s="7"/>
      <c r="M71" s="8"/>
      <c r="N71" s="7"/>
      <c r="O71" s="8"/>
      <c r="P71" s="7"/>
      <c r="Q71" s="7"/>
      <c r="R71" s="8"/>
      <c r="S71" s="7"/>
      <c r="T71" s="9"/>
      <c r="U71" s="7"/>
      <c r="V71" s="8"/>
      <c r="W71" s="7"/>
      <c r="X71" s="7"/>
      <c r="Y71" s="8"/>
      <c r="Z71" s="7"/>
      <c r="AA71" s="57"/>
      <c r="AB71" s="62" t="s">
        <v>702</v>
      </c>
      <c r="AC71" s="62" t="s">
        <v>723</v>
      </c>
    </row>
    <row r="72" spans="2:29" ht="14.25" thickTop="1" thickBot="1">
      <c r="B72" s="10"/>
      <c r="D72" s="66"/>
      <c r="E72" s="52" t="s">
        <v>579</v>
      </c>
      <c r="F72" s="7"/>
      <c r="G72" s="8"/>
      <c r="H72" s="7"/>
      <c r="I72" s="6"/>
      <c r="J72" s="7"/>
      <c r="K72" s="8"/>
      <c r="L72" s="7"/>
      <c r="M72" s="8"/>
      <c r="N72" s="7"/>
      <c r="O72" s="8"/>
      <c r="P72" s="7"/>
      <c r="Q72" s="7"/>
      <c r="R72" s="8"/>
      <c r="S72" s="7"/>
      <c r="T72" s="9"/>
      <c r="U72" s="7"/>
      <c r="V72" s="8"/>
      <c r="W72" s="7"/>
      <c r="X72" s="7"/>
      <c r="Y72" s="8"/>
      <c r="Z72" s="7"/>
      <c r="AA72" s="57"/>
      <c r="AB72" s="62" t="s">
        <v>702</v>
      </c>
      <c r="AC72" s="62" t="s">
        <v>1256</v>
      </c>
    </row>
    <row r="73" spans="2:29" ht="14.25" thickTop="1" thickBot="1">
      <c r="B73" s="10"/>
      <c r="D73" s="66"/>
      <c r="E73" s="52" t="s">
        <v>364</v>
      </c>
      <c r="F73" s="7"/>
      <c r="G73" s="8"/>
      <c r="H73" s="7"/>
      <c r="I73" s="6"/>
      <c r="J73" s="7"/>
      <c r="K73" s="8"/>
      <c r="L73" s="7"/>
      <c r="M73" s="8"/>
      <c r="N73" s="7"/>
      <c r="O73" s="8"/>
      <c r="P73" s="7"/>
      <c r="Q73" s="7"/>
      <c r="R73" s="8"/>
      <c r="S73" s="7"/>
      <c r="T73" s="9"/>
      <c r="U73" s="7"/>
      <c r="V73" s="8"/>
      <c r="W73" s="7"/>
      <c r="X73" s="7"/>
      <c r="Y73" s="8"/>
      <c r="Z73" s="7"/>
      <c r="AA73" s="57"/>
      <c r="AB73" s="62" t="s">
        <v>702</v>
      </c>
      <c r="AC73" s="62" t="s">
        <v>1257</v>
      </c>
    </row>
    <row r="74" spans="2:29" ht="14.25" thickTop="1" thickBot="1">
      <c r="B74" s="10"/>
      <c r="D74" s="66"/>
      <c r="E74" s="52" t="s">
        <v>366</v>
      </c>
      <c r="F74" s="7"/>
      <c r="G74" s="8"/>
      <c r="H74" s="7"/>
      <c r="I74" s="6"/>
      <c r="J74" s="7"/>
      <c r="K74" s="8"/>
      <c r="L74" s="7"/>
      <c r="M74" s="8"/>
      <c r="N74" s="7"/>
      <c r="O74" s="8"/>
      <c r="P74" s="7"/>
      <c r="Q74" s="7"/>
      <c r="R74" s="8"/>
      <c r="S74" s="7"/>
      <c r="T74" s="9"/>
      <c r="U74" s="7"/>
      <c r="V74" s="8"/>
      <c r="W74" s="7"/>
      <c r="X74" s="7"/>
      <c r="Y74" s="8"/>
      <c r="Z74" s="7"/>
      <c r="AA74" s="57"/>
      <c r="AB74" s="62" t="s">
        <v>702</v>
      </c>
      <c r="AC74" s="62" t="s">
        <v>1258</v>
      </c>
    </row>
    <row r="75" spans="2:29" ht="14.25" thickTop="1" thickBot="1">
      <c r="B75" s="10"/>
      <c r="D75" s="66"/>
      <c r="E75" s="52" t="s">
        <v>371</v>
      </c>
      <c r="F75" s="7"/>
      <c r="G75" s="8"/>
      <c r="H75" s="7"/>
      <c r="I75" s="6"/>
      <c r="J75" s="7"/>
      <c r="K75" s="8"/>
      <c r="L75" s="7"/>
      <c r="M75" s="8"/>
      <c r="N75" s="7"/>
      <c r="O75" s="8"/>
      <c r="P75" s="7"/>
      <c r="Q75" s="7"/>
      <c r="R75" s="8"/>
      <c r="S75" s="7"/>
      <c r="T75" s="9"/>
      <c r="U75" s="7"/>
      <c r="V75" s="8"/>
      <c r="W75" s="7"/>
      <c r="X75" s="7"/>
      <c r="Y75" s="8"/>
      <c r="Z75" s="7"/>
      <c r="AA75" s="57"/>
      <c r="AB75" s="62" t="s">
        <v>702</v>
      </c>
      <c r="AC75" s="62" t="s">
        <v>1259</v>
      </c>
    </row>
    <row r="76" spans="2:29" ht="14.25" thickTop="1" thickBot="1">
      <c r="B76" s="10"/>
      <c r="D76" s="66"/>
      <c r="E76" s="52" t="s">
        <v>363</v>
      </c>
      <c r="F76" s="7"/>
      <c r="G76" s="8"/>
      <c r="H76" s="7"/>
      <c r="I76" s="6"/>
      <c r="J76" s="7"/>
      <c r="K76" s="8"/>
      <c r="L76" s="7"/>
      <c r="M76" s="8"/>
      <c r="N76" s="7"/>
      <c r="O76" s="8"/>
      <c r="P76" s="7"/>
      <c r="Q76" s="7"/>
      <c r="R76" s="8"/>
      <c r="S76" s="7"/>
      <c r="T76" s="9"/>
      <c r="U76" s="7"/>
      <c r="V76" s="8"/>
      <c r="W76" s="7"/>
      <c r="X76" s="7"/>
      <c r="Y76" s="8"/>
      <c r="Z76" s="7"/>
      <c r="AA76" s="57"/>
      <c r="AB76" s="62" t="s">
        <v>702</v>
      </c>
      <c r="AC76" s="62" t="s">
        <v>1260</v>
      </c>
    </row>
    <row r="77" spans="2:29" ht="14.25" thickTop="1" thickBot="1">
      <c r="B77" s="10"/>
      <c r="D77" s="66"/>
      <c r="E77" s="52" t="s">
        <v>801</v>
      </c>
      <c r="F77" s="7"/>
      <c r="G77" s="8"/>
      <c r="H77" s="7"/>
      <c r="I77" s="6"/>
      <c r="J77" s="7"/>
      <c r="K77" s="8"/>
      <c r="L77" s="7"/>
      <c r="M77" s="8"/>
      <c r="N77" s="7"/>
      <c r="O77" s="8"/>
      <c r="P77" s="7"/>
      <c r="Q77" s="7"/>
      <c r="R77" s="8"/>
      <c r="S77" s="7"/>
      <c r="T77" s="9"/>
      <c r="U77" s="7"/>
      <c r="V77" s="8"/>
      <c r="W77" s="7"/>
      <c r="X77" s="7"/>
      <c r="Y77" s="8"/>
      <c r="Z77" s="7"/>
      <c r="AA77" s="57"/>
      <c r="AB77" s="62" t="s">
        <v>702</v>
      </c>
      <c r="AC77" s="62" t="s">
        <v>1261</v>
      </c>
    </row>
    <row r="78" spans="2:29" ht="14.25" thickTop="1" thickBot="1">
      <c r="B78" s="10"/>
      <c r="D78" s="66"/>
      <c r="E78" s="52" t="s">
        <v>800</v>
      </c>
      <c r="F78" s="7"/>
      <c r="G78" s="8"/>
      <c r="H78" s="7"/>
      <c r="I78" s="6"/>
      <c r="J78" s="7"/>
      <c r="K78" s="8"/>
      <c r="L78" s="7"/>
      <c r="M78" s="8"/>
      <c r="N78" s="7"/>
      <c r="O78" s="8"/>
      <c r="P78" s="7"/>
      <c r="Q78" s="7"/>
      <c r="R78" s="8"/>
      <c r="S78" s="7"/>
      <c r="T78" s="9"/>
      <c r="U78" s="7"/>
      <c r="V78" s="8"/>
      <c r="W78" s="7"/>
      <c r="X78" s="7"/>
      <c r="Y78" s="8"/>
      <c r="Z78" s="7"/>
      <c r="AA78" s="57"/>
      <c r="AB78" s="62" t="s">
        <v>702</v>
      </c>
      <c r="AC78" s="62" t="s">
        <v>1262</v>
      </c>
    </row>
    <row r="79" spans="2:29" ht="14.25" thickTop="1" thickBot="1">
      <c r="B79" s="10"/>
      <c r="D79" s="66"/>
      <c r="E79" s="52" t="s">
        <v>368</v>
      </c>
      <c r="F79" s="7"/>
      <c r="G79" s="8"/>
      <c r="H79" s="7"/>
      <c r="I79" s="6"/>
      <c r="J79" s="7"/>
      <c r="K79" s="8"/>
      <c r="L79" s="7"/>
      <c r="M79" s="8"/>
      <c r="N79" s="7"/>
      <c r="O79" s="8"/>
      <c r="P79" s="7"/>
      <c r="Q79" s="7"/>
      <c r="R79" s="8"/>
      <c r="S79" s="7"/>
      <c r="T79" s="9"/>
      <c r="U79" s="7"/>
      <c r="V79" s="8"/>
      <c r="W79" s="7"/>
      <c r="X79" s="7"/>
      <c r="Y79" s="8"/>
      <c r="Z79" s="7"/>
      <c r="AA79" s="57"/>
      <c r="AB79" s="62" t="s">
        <v>702</v>
      </c>
      <c r="AC79" s="62" t="s">
        <v>1263</v>
      </c>
    </row>
    <row r="80" spans="2:29" ht="14.25" thickTop="1" thickBot="1">
      <c r="B80" s="10"/>
      <c r="D80" s="66"/>
      <c r="E80" s="52" t="s">
        <v>365</v>
      </c>
      <c r="F80" s="7"/>
      <c r="G80" s="8"/>
      <c r="H80" s="7"/>
      <c r="I80" s="6"/>
      <c r="J80" s="7"/>
      <c r="K80" s="8"/>
      <c r="L80" s="7"/>
      <c r="M80" s="8"/>
      <c r="N80" s="7"/>
      <c r="O80" s="8"/>
      <c r="P80" s="7"/>
      <c r="Q80" s="7"/>
      <c r="R80" s="8"/>
      <c r="S80" s="7"/>
      <c r="T80" s="9"/>
      <c r="U80" s="7"/>
      <c r="V80" s="8"/>
      <c r="W80" s="7"/>
      <c r="X80" s="7"/>
      <c r="Y80" s="8"/>
      <c r="Z80" s="7"/>
      <c r="AA80" s="57"/>
      <c r="AB80" s="62" t="s">
        <v>702</v>
      </c>
      <c r="AC80" s="62" t="s">
        <v>1264</v>
      </c>
    </row>
    <row r="81" spans="2:29" ht="14.25" thickTop="1" thickBot="1">
      <c r="B81" s="10"/>
      <c r="D81" s="66"/>
      <c r="E81" s="52" t="s">
        <v>367</v>
      </c>
      <c r="F81" s="7"/>
      <c r="G81" s="8"/>
      <c r="H81" s="7"/>
      <c r="I81" s="6"/>
      <c r="J81" s="7"/>
      <c r="K81" s="8"/>
      <c r="L81" s="7"/>
      <c r="M81" s="8"/>
      <c r="N81" s="7"/>
      <c r="O81" s="8"/>
      <c r="P81" s="7"/>
      <c r="Q81" s="7"/>
      <c r="R81" s="8"/>
      <c r="S81" s="7"/>
      <c r="T81" s="9"/>
      <c r="U81" s="7"/>
      <c r="V81" s="8"/>
      <c r="W81" s="7"/>
      <c r="X81" s="7"/>
      <c r="Y81" s="8"/>
      <c r="Z81" s="7"/>
      <c r="AA81" s="57"/>
      <c r="AB81" s="62" t="s">
        <v>702</v>
      </c>
      <c r="AC81" s="62" t="s">
        <v>1265</v>
      </c>
    </row>
    <row r="82" spans="2:29" ht="14.25" thickTop="1" thickBot="1">
      <c r="B82" s="10"/>
      <c r="D82" s="66"/>
      <c r="E82" s="52" t="s">
        <v>369</v>
      </c>
      <c r="F82" s="7"/>
      <c r="G82" s="8"/>
      <c r="H82" s="7"/>
      <c r="I82" s="6"/>
      <c r="J82" s="7"/>
      <c r="K82" s="8"/>
      <c r="L82" s="7"/>
      <c r="M82" s="8"/>
      <c r="N82" s="7"/>
      <c r="O82" s="8"/>
      <c r="P82" s="7"/>
      <c r="Q82" s="7"/>
      <c r="R82" s="8"/>
      <c r="S82" s="7"/>
      <c r="T82" s="9"/>
      <c r="U82" s="7"/>
      <c r="V82" s="8"/>
      <c r="W82" s="7"/>
      <c r="X82" s="7"/>
      <c r="Y82" s="8"/>
      <c r="Z82" s="7"/>
      <c r="AA82" s="57"/>
      <c r="AB82" s="62" t="s">
        <v>702</v>
      </c>
      <c r="AC82" s="62" t="s">
        <v>1266</v>
      </c>
    </row>
    <row r="83" spans="2:29" ht="14.25" thickTop="1" thickBot="1">
      <c r="B83" s="10"/>
      <c r="D83" s="66"/>
      <c r="E83" s="52" t="s">
        <v>362</v>
      </c>
      <c r="F83" s="7"/>
      <c r="G83" s="8"/>
      <c r="H83" s="7"/>
      <c r="I83" s="6"/>
      <c r="J83" s="7"/>
      <c r="K83" s="8"/>
      <c r="L83" s="7"/>
      <c r="M83" s="8"/>
      <c r="N83" s="7"/>
      <c r="O83" s="8"/>
      <c r="P83" s="7"/>
      <c r="Q83" s="7"/>
      <c r="R83" s="8"/>
      <c r="S83" s="7"/>
      <c r="T83" s="9"/>
      <c r="U83" s="7"/>
      <c r="V83" s="8"/>
      <c r="W83" s="7"/>
      <c r="X83" s="7"/>
      <c r="Y83" s="8"/>
      <c r="Z83" s="7"/>
      <c r="AA83" s="57"/>
      <c r="AB83" s="64" t="s">
        <v>702</v>
      </c>
      <c r="AC83" s="64" t="s">
        <v>1267</v>
      </c>
    </row>
    <row r="84" spans="2:29" ht="14.25" thickTop="1" thickBot="1">
      <c r="B84" s="10"/>
      <c r="D84" s="66"/>
      <c r="E84" s="52" t="s">
        <v>949</v>
      </c>
      <c r="F84" s="7"/>
      <c r="G84" s="8"/>
      <c r="H84" s="7"/>
      <c r="I84" s="6"/>
      <c r="J84" s="7"/>
      <c r="K84" s="8"/>
      <c r="L84" s="7"/>
      <c r="M84" s="8"/>
      <c r="N84" s="7"/>
      <c r="O84" s="8"/>
      <c r="P84" s="7"/>
      <c r="Q84" s="7"/>
      <c r="R84" s="8"/>
      <c r="S84" s="7"/>
      <c r="T84" s="9"/>
      <c r="U84" s="7"/>
      <c r="V84" s="8"/>
      <c r="W84" s="7"/>
      <c r="X84" s="7"/>
      <c r="Y84" s="8"/>
      <c r="Z84" s="7"/>
      <c r="AA84" s="8"/>
    </row>
    <row r="85" spans="2:29" ht="14.25" thickTop="1" thickBot="1">
      <c r="B85" s="10"/>
      <c r="D85" s="66"/>
      <c r="E85" s="52" t="s">
        <v>948</v>
      </c>
      <c r="F85" s="7"/>
      <c r="G85" s="8"/>
      <c r="H85" s="7"/>
      <c r="I85" s="6"/>
      <c r="J85" s="7"/>
      <c r="K85" s="8"/>
      <c r="L85" s="7"/>
      <c r="M85" s="8"/>
      <c r="N85" s="7"/>
      <c r="O85" s="8"/>
      <c r="P85" s="7"/>
      <c r="Q85" s="7"/>
      <c r="R85" s="8"/>
      <c r="S85" s="7"/>
      <c r="T85" s="9"/>
      <c r="U85" s="7"/>
      <c r="V85" s="8"/>
      <c r="W85" s="7"/>
      <c r="X85" s="7"/>
      <c r="Y85" s="8"/>
      <c r="Z85" s="7"/>
      <c r="AA85" s="8"/>
    </row>
    <row r="86" spans="2:29" ht="14.25" thickTop="1" thickBot="1">
      <c r="B86" s="10"/>
      <c r="D86" s="66"/>
      <c r="E86" s="52" t="s">
        <v>570</v>
      </c>
      <c r="F86" s="7"/>
      <c r="G86" s="8"/>
      <c r="H86" s="7"/>
      <c r="I86" s="6"/>
      <c r="J86" s="7"/>
      <c r="K86" s="8"/>
      <c r="L86" s="7"/>
      <c r="M86" s="8"/>
      <c r="N86" s="7"/>
      <c r="O86" s="8"/>
      <c r="P86" s="7"/>
      <c r="Q86" s="7"/>
      <c r="R86" s="8"/>
      <c r="S86" s="7"/>
      <c r="T86" s="9"/>
      <c r="U86" s="7"/>
      <c r="V86" s="8"/>
      <c r="W86" s="7"/>
      <c r="X86" s="7"/>
      <c r="Y86" s="8"/>
      <c r="Z86" s="7"/>
      <c r="AA86" s="8"/>
    </row>
    <row r="87" spans="2:29" ht="14.25" thickTop="1" thickBot="1">
      <c r="B87" s="10"/>
      <c r="D87" s="66"/>
      <c r="E87" s="52" t="s">
        <v>556</v>
      </c>
      <c r="F87" s="7"/>
      <c r="G87" s="8"/>
      <c r="H87" s="7"/>
      <c r="I87" s="6"/>
      <c r="J87" s="7"/>
      <c r="K87" s="8"/>
      <c r="L87" s="7"/>
      <c r="M87" s="8"/>
      <c r="N87" s="7"/>
      <c r="O87" s="8"/>
      <c r="P87" s="7"/>
      <c r="Q87" s="7"/>
      <c r="R87" s="8"/>
      <c r="S87" s="7"/>
      <c r="T87" s="9"/>
      <c r="U87" s="7"/>
      <c r="V87" s="8"/>
      <c r="W87" s="7"/>
      <c r="X87" s="7"/>
      <c r="Y87" s="8"/>
      <c r="Z87" s="7"/>
      <c r="AA87" s="8"/>
    </row>
    <row r="88" spans="2:29" ht="14.25" thickTop="1" thickBot="1">
      <c r="B88" s="10"/>
      <c r="D88" s="66"/>
      <c r="E88" s="52" t="s">
        <v>560</v>
      </c>
      <c r="F88" s="7"/>
      <c r="G88" s="8"/>
      <c r="H88" s="7"/>
      <c r="I88" s="6"/>
      <c r="J88" s="7"/>
      <c r="K88" s="8"/>
      <c r="L88" s="7"/>
      <c r="M88" s="8"/>
      <c r="N88" s="7"/>
      <c r="O88" s="8"/>
      <c r="P88" s="7"/>
      <c r="Q88" s="7"/>
      <c r="R88" s="8"/>
      <c r="S88" s="7"/>
      <c r="T88" s="9"/>
      <c r="U88" s="7"/>
      <c r="V88" s="8"/>
      <c r="W88" s="7"/>
      <c r="X88" s="7"/>
      <c r="Y88" s="8"/>
      <c r="Z88" s="7"/>
      <c r="AA88" s="8"/>
    </row>
    <row r="89" spans="2:29" ht="14.25" thickTop="1" thickBot="1">
      <c r="B89" s="10"/>
      <c r="D89" s="66"/>
      <c r="E89" s="52" t="s">
        <v>611</v>
      </c>
      <c r="F89" s="7"/>
      <c r="G89" s="8"/>
      <c r="H89" s="7"/>
      <c r="I89" s="6"/>
      <c r="J89" s="7"/>
      <c r="K89" s="8"/>
      <c r="L89" s="7"/>
      <c r="M89" s="8"/>
      <c r="N89" s="7"/>
      <c r="O89" s="8"/>
      <c r="P89" s="7"/>
      <c r="Q89" s="7"/>
      <c r="R89" s="8"/>
      <c r="S89" s="7"/>
      <c r="T89" s="9"/>
      <c r="U89" s="7"/>
      <c r="V89" s="8"/>
      <c r="W89" s="7"/>
      <c r="X89" s="7"/>
      <c r="Y89" s="8"/>
      <c r="Z89" s="7"/>
      <c r="AA89" s="8"/>
    </row>
    <row r="90" spans="2:29" ht="14.25" thickTop="1" thickBot="1">
      <c r="B90" s="10"/>
      <c r="D90" s="66"/>
      <c r="E90" s="52" t="s">
        <v>928</v>
      </c>
      <c r="F90" s="7"/>
      <c r="G90" s="8"/>
      <c r="H90" s="7"/>
      <c r="I90" s="6"/>
      <c r="J90" s="7"/>
      <c r="K90" s="8"/>
      <c r="L90" s="7"/>
      <c r="M90" s="8"/>
      <c r="N90" s="7"/>
      <c r="O90" s="8"/>
      <c r="P90" s="7"/>
      <c r="Q90" s="7"/>
      <c r="R90" s="8"/>
      <c r="S90" s="7"/>
      <c r="T90" s="9"/>
      <c r="U90" s="7"/>
      <c r="V90" s="8"/>
      <c r="W90" s="7"/>
      <c r="X90" s="7"/>
      <c r="Y90" s="8"/>
      <c r="Z90" s="7"/>
      <c r="AA90" s="8"/>
    </row>
    <row r="91" spans="2:29" ht="14.25" thickTop="1" thickBot="1">
      <c r="B91" s="10"/>
      <c r="D91" s="66"/>
      <c r="E91" s="52" t="s">
        <v>649</v>
      </c>
      <c r="F91" s="7"/>
      <c r="G91" s="8"/>
      <c r="H91" s="7"/>
      <c r="I91" s="6"/>
      <c r="J91" s="7"/>
      <c r="K91" s="8"/>
      <c r="L91" s="7"/>
      <c r="M91" s="8"/>
      <c r="N91" s="7"/>
      <c r="O91" s="8"/>
      <c r="P91" s="7"/>
      <c r="Q91" s="7"/>
      <c r="R91" s="8"/>
      <c r="S91" s="7"/>
      <c r="T91" s="9"/>
      <c r="U91" s="7"/>
      <c r="V91" s="8"/>
      <c r="W91" s="7"/>
      <c r="X91" s="7"/>
      <c r="Y91" s="8"/>
      <c r="Z91" s="7"/>
      <c r="AA91" s="8"/>
    </row>
    <row r="92" spans="2:29" ht="14.25" thickTop="1" thickBot="1">
      <c r="B92" s="10"/>
      <c r="D92" s="66"/>
      <c r="E92" s="52" t="s">
        <v>920</v>
      </c>
      <c r="F92" s="7"/>
      <c r="G92" s="8"/>
      <c r="H92" s="7"/>
      <c r="I92" s="6"/>
      <c r="J92" s="7"/>
      <c r="K92" s="8"/>
      <c r="L92" s="7"/>
      <c r="M92" s="8"/>
      <c r="N92" s="7"/>
      <c r="O92" s="8"/>
      <c r="P92" s="7"/>
      <c r="Q92" s="7"/>
      <c r="R92" s="8"/>
      <c r="S92" s="7"/>
      <c r="T92" s="9"/>
      <c r="U92" s="7"/>
      <c r="V92" s="8"/>
      <c r="W92" s="7"/>
      <c r="X92" s="7"/>
      <c r="Y92" s="8"/>
      <c r="Z92" s="7"/>
      <c r="AA92" s="8"/>
    </row>
    <row r="93" spans="2:29" ht="14.25" thickTop="1" thickBot="1">
      <c r="B93" s="10"/>
      <c r="D93" s="66"/>
      <c r="E93" s="52" t="s">
        <v>614</v>
      </c>
      <c r="F93" s="7"/>
      <c r="G93" s="8"/>
      <c r="H93" s="7"/>
      <c r="I93" s="6"/>
      <c r="J93" s="7"/>
      <c r="K93" s="8"/>
      <c r="L93" s="7"/>
      <c r="M93" s="8"/>
      <c r="N93" s="7"/>
      <c r="O93" s="8"/>
      <c r="P93" s="7"/>
      <c r="Q93" s="7"/>
      <c r="R93" s="8"/>
      <c r="S93" s="7"/>
      <c r="T93" s="9"/>
      <c r="U93" s="7"/>
      <c r="V93" s="8"/>
      <c r="W93" s="7"/>
      <c r="X93" s="7"/>
      <c r="Y93" s="8"/>
      <c r="Z93" s="7"/>
      <c r="AA93" s="8"/>
    </row>
    <row r="94" spans="2:29" ht="14.25" thickTop="1" thickBot="1">
      <c r="B94" s="10"/>
      <c r="D94" s="66"/>
      <c r="E94" s="52" t="s">
        <v>944</v>
      </c>
      <c r="F94" s="7"/>
      <c r="G94" s="8"/>
      <c r="H94" s="7"/>
      <c r="I94" s="6"/>
      <c r="J94" s="7"/>
      <c r="K94" s="8"/>
      <c r="L94" s="7"/>
      <c r="M94" s="8"/>
      <c r="N94" s="7"/>
      <c r="O94" s="8"/>
      <c r="P94" s="7"/>
      <c r="Q94" s="7"/>
      <c r="R94" s="8"/>
      <c r="S94" s="7"/>
      <c r="T94" s="9"/>
      <c r="U94" s="7"/>
      <c r="V94" s="8"/>
      <c r="W94" s="7"/>
      <c r="X94" s="7"/>
      <c r="Y94" s="8"/>
      <c r="Z94" s="7"/>
      <c r="AA94" s="8"/>
    </row>
    <row r="95" spans="2:29" ht="14.25" thickTop="1" thickBot="1">
      <c r="B95" s="10"/>
      <c r="D95" s="66"/>
      <c r="E95" s="52" t="s">
        <v>1134</v>
      </c>
      <c r="F95" s="7"/>
      <c r="G95" s="8"/>
      <c r="H95" s="7"/>
      <c r="I95" s="6"/>
      <c r="J95" s="7"/>
      <c r="K95" s="8"/>
      <c r="L95" s="7"/>
      <c r="M95" s="8"/>
      <c r="N95" s="7"/>
      <c r="O95" s="8"/>
      <c r="P95" s="7"/>
      <c r="Q95" s="7"/>
      <c r="R95" s="8"/>
      <c r="S95" s="7"/>
      <c r="T95" s="9"/>
      <c r="U95" s="7"/>
      <c r="V95" s="8"/>
      <c r="W95" s="7"/>
      <c r="X95" s="7"/>
      <c r="Y95" s="8"/>
      <c r="Z95" s="7"/>
      <c r="AA95" s="8"/>
    </row>
    <row r="96" spans="2:29" ht="14.25" thickTop="1" thickBot="1">
      <c r="B96" s="10"/>
      <c r="D96" s="66"/>
      <c r="E96" s="52" t="s">
        <v>597</v>
      </c>
      <c r="F96" s="7"/>
      <c r="G96" s="8"/>
      <c r="H96" s="7"/>
      <c r="I96" s="6"/>
      <c r="J96" s="7"/>
      <c r="K96" s="8"/>
      <c r="L96" s="7"/>
      <c r="M96" s="8"/>
      <c r="N96" s="7"/>
      <c r="O96" s="8"/>
      <c r="P96" s="7"/>
      <c r="Q96" s="7"/>
      <c r="R96" s="8"/>
      <c r="S96" s="7"/>
      <c r="T96" s="9"/>
      <c r="U96" s="7"/>
      <c r="V96" s="8"/>
      <c r="W96" s="7"/>
      <c r="X96" s="7"/>
      <c r="Y96" s="8"/>
      <c r="Z96" s="7"/>
      <c r="AA96" s="8"/>
    </row>
    <row r="97" spans="2:27" ht="14.25" thickTop="1" thickBot="1">
      <c r="B97" s="10"/>
      <c r="D97" s="66"/>
      <c r="E97" s="52" t="s">
        <v>599</v>
      </c>
      <c r="F97" s="7"/>
      <c r="G97" s="8"/>
      <c r="H97" s="7"/>
      <c r="I97" s="6"/>
      <c r="J97" s="7"/>
      <c r="K97" s="8"/>
      <c r="L97" s="7"/>
      <c r="M97" s="8"/>
      <c r="N97" s="7"/>
      <c r="O97" s="8"/>
      <c r="P97" s="7"/>
      <c r="Q97" s="7"/>
      <c r="R97" s="8"/>
      <c r="S97" s="7"/>
      <c r="T97" s="9"/>
      <c r="U97" s="7"/>
      <c r="V97" s="8"/>
      <c r="W97" s="7"/>
      <c r="X97" s="7"/>
      <c r="Y97" s="8"/>
      <c r="Z97" s="7"/>
      <c r="AA97" s="8"/>
    </row>
    <row r="98" spans="2:27" ht="14.25" thickTop="1" thickBot="1">
      <c r="B98" s="10"/>
      <c r="D98" s="66"/>
      <c r="E98" s="52" t="s">
        <v>950</v>
      </c>
      <c r="F98" s="7"/>
      <c r="G98" s="8"/>
      <c r="H98" s="7"/>
      <c r="I98" s="6"/>
      <c r="J98" s="7"/>
      <c r="K98" s="8"/>
      <c r="L98" s="7"/>
      <c r="M98" s="8"/>
      <c r="N98" s="7"/>
      <c r="O98" s="8"/>
      <c r="P98" s="7"/>
      <c r="Q98" s="7"/>
      <c r="R98" s="8"/>
      <c r="S98" s="7"/>
      <c r="T98" s="9"/>
      <c r="U98" s="7"/>
      <c r="V98" s="8"/>
      <c r="W98" s="7"/>
      <c r="X98" s="7"/>
      <c r="Y98" s="8"/>
      <c r="Z98" s="7"/>
      <c r="AA98" s="8"/>
    </row>
    <row r="99" spans="2:27" ht="14.25" thickTop="1" thickBot="1">
      <c r="B99" s="10"/>
      <c r="D99" s="66"/>
      <c r="E99" s="52" t="s">
        <v>618</v>
      </c>
      <c r="F99" s="7"/>
      <c r="G99" s="8"/>
      <c r="H99" s="7"/>
      <c r="I99" s="6"/>
      <c r="J99" s="7"/>
      <c r="K99" s="8"/>
      <c r="L99" s="7"/>
      <c r="M99" s="8"/>
      <c r="N99" s="7"/>
      <c r="O99" s="8"/>
      <c r="P99" s="7"/>
      <c r="Q99" s="7"/>
      <c r="R99" s="8"/>
      <c r="S99" s="7"/>
      <c r="T99" s="9"/>
      <c r="U99" s="7"/>
      <c r="V99" s="8"/>
      <c r="W99" s="7"/>
      <c r="X99" s="7"/>
      <c r="Y99" s="8"/>
      <c r="Z99" s="7"/>
      <c r="AA99" s="8"/>
    </row>
    <row r="100" spans="2:27" ht="14.25" thickTop="1" thickBot="1">
      <c r="B100" s="10"/>
      <c r="D100" s="66"/>
      <c r="E100" s="52" t="s">
        <v>954</v>
      </c>
      <c r="F100" s="7"/>
      <c r="G100" s="8"/>
      <c r="H100" s="7"/>
      <c r="I100" s="6"/>
      <c r="J100" s="7"/>
      <c r="K100" s="8"/>
      <c r="L100" s="7"/>
      <c r="M100" s="8"/>
      <c r="N100" s="7"/>
      <c r="O100" s="8"/>
      <c r="P100" s="7"/>
      <c r="Q100" s="7"/>
      <c r="R100" s="8"/>
      <c r="S100" s="7"/>
      <c r="T100" s="9"/>
      <c r="U100" s="7"/>
      <c r="V100" s="8"/>
      <c r="W100" s="7"/>
      <c r="X100" s="7"/>
      <c r="Y100" s="8"/>
      <c r="Z100" s="7"/>
      <c r="AA100" s="8"/>
    </row>
    <row r="101" spans="2:27" ht="14.25" thickTop="1" thickBot="1">
      <c r="B101" s="10"/>
      <c r="D101" s="66"/>
      <c r="E101" s="52" t="s">
        <v>932</v>
      </c>
      <c r="F101" s="7"/>
      <c r="G101" s="8"/>
      <c r="H101" s="7"/>
      <c r="I101" s="6"/>
      <c r="J101" s="7"/>
      <c r="K101" s="8"/>
      <c r="L101" s="7"/>
      <c r="M101" s="8"/>
      <c r="N101" s="7"/>
      <c r="O101" s="8"/>
      <c r="P101" s="7"/>
      <c r="Q101" s="7"/>
      <c r="R101" s="8"/>
      <c r="S101" s="7"/>
      <c r="T101" s="9"/>
      <c r="U101" s="7"/>
      <c r="V101" s="8"/>
      <c r="W101" s="7"/>
      <c r="X101" s="7"/>
      <c r="Y101" s="8"/>
      <c r="Z101" s="7"/>
      <c r="AA101" s="8"/>
    </row>
    <row r="102" spans="2:27" ht="14.25" thickTop="1" thickBot="1">
      <c r="B102" s="10"/>
      <c r="D102" s="66"/>
      <c r="E102" s="52" t="s">
        <v>796</v>
      </c>
      <c r="F102" s="7"/>
      <c r="G102" s="8"/>
      <c r="H102" s="7"/>
      <c r="I102" s="6"/>
      <c r="J102" s="7"/>
      <c r="K102" s="8"/>
      <c r="L102" s="7"/>
      <c r="M102" s="8"/>
      <c r="N102" s="7"/>
      <c r="O102" s="8"/>
      <c r="P102" s="7"/>
      <c r="Q102" s="7"/>
      <c r="R102" s="8"/>
      <c r="S102" s="7"/>
      <c r="T102" s="9"/>
      <c r="U102" s="7"/>
      <c r="V102" s="8"/>
      <c r="W102" s="7"/>
      <c r="X102" s="7"/>
      <c r="Y102" s="8"/>
      <c r="Z102" s="7"/>
      <c r="AA102" s="8"/>
    </row>
    <row r="103" spans="2:27" ht="14.25" thickTop="1" thickBot="1">
      <c r="B103" s="10"/>
      <c r="D103" s="66"/>
      <c r="E103" s="52" t="s">
        <v>577</v>
      </c>
      <c r="F103" s="7"/>
      <c r="G103" s="8"/>
      <c r="H103" s="7"/>
      <c r="I103" s="6"/>
      <c r="J103" s="7"/>
      <c r="K103" s="8"/>
      <c r="L103" s="7"/>
      <c r="M103" s="8"/>
      <c r="N103" s="7"/>
      <c r="O103" s="8"/>
      <c r="P103" s="7"/>
      <c r="Q103" s="7"/>
      <c r="R103" s="8"/>
      <c r="S103" s="7"/>
      <c r="T103" s="9"/>
      <c r="U103" s="7"/>
      <c r="V103" s="8"/>
      <c r="W103" s="7"/>
      <c r="X103" s="7"/>
      <c r="Y103" s="8"/>
      <c r="Z103" s="7"/>
      <c r="AA103" s="8"/>
    </row>
    <row r="104" spans="2:27" ht="14.25" thickTop="1" thickBot="1">
      <c r="B104" s="10"/>
      <c r="D104" s="66"/>
      <c r="E104" s="52" t="s">
        <v>573</v>
      </c>
      <c r="F104" s="7"/>
      <c r="G104" s="8"/>
      <c r="H104" s="7"/>
      <c r="I104" s="6"/>
      <c r="J104" s="7"/>
      <c r="K104" s="8"/>
      <c r="L104" s="7"/>
      <c r="M104" s="8"/>
      <c r="N104" s="7"/>
      <c r="O104" s="8"/>
      <c r="P104" s="7"/>
      <c r="Q104" s="7"/>
      <c r="R104" s="8"/>
      <c r="S104" s="7"/>
      <c r="T104" s="9"/>
      <c r="U104" s="7"/>
      <c r="V104" s="8"/>
      <c r="W104" s="7"/>
      <c r="X104" s="7"/>
      <c r="Y104" s="8"/>
      <c r="Z104" s="7"/>
      <c r="AA104" s="8"/>
    </row>
    <row r="105" spans="2:27" ht="14.25" thickTop="1" thickBot="1">
      <c r="B105" s="10"/>
      <c r="D105" s="66"/>
      <c r="E105" s="52" t="s">
        <v>936</v>
      </c>
      <c r="F105" s="7"/>
      <c r="G105" s="8"/>
      <c r="H105" s="7"/>
      <c r="I105" s="6"/>
      <c r="J105" s="7"/>
      <c r="K105" s="8"/>
      <c r="L105" s="7"/>
      <c r="M105" s="8"/>
      <c r="N105" s="7"/>
      <c r="O105" s="8"/>
      <c r="P105" s="7"/>
      <c r="Q105" s="7"/>
      <c r="R105" s="8"/>
      <c r="S105" s="7"/>
      <c r="T105" s="9"/>
      <c r="U105" s="7"/>
      <c r="V105" s="8"/>
      <c r="W105" s="7"/>
      <c r="X105" s="7"/>
      <c r="Y105" s="8"/>
      <c r="Z105" s="7"/>
      <c r="AA105" s="8"/>
    </row>
    <row r="106" spans="2:27" ht="14.25" thickTop="1" thickBot="1">
      <c r="B106" s="10"/>
      <c r="D106" s="66"/>
      <c r="E106" s="52" t="s">
        <v>310</v>
      </c>
      <c r="F106" s="7"/>
      <c r="G106" s="8"/>
      <c r="H106" s="7"/>
      <c r="I106" s="6"/>
      <c r="J106" s="7"/>
      <c r="K106" s="8"/>
      <c r="L106" s="7"/>
      <c r="M106" s="8"/>
      <c r="N106" s="7"/>
      <c r="O106" s="8"/>
      <c r="P106" s="7"/>
      <c r="Q106" s="7"/>
      <c r="R106" s="8"/>
      <c r="S106" s="7"/>
      <c r="T106" s="9"/>
      <c r="U106" s="7"/>
      <c r="V106" s="8"/>
      <c r="W106" s="7"/>
      <c r="X106" s="7"/>
      <c r="Y106" s="8"/>
      <c r="Z106" s="7"/>
      <c r="AA106" s="8"/>
    </row>
    <row r="107" spans="2:27" ht="14.25" thickTop="1" thickBot="1">
      <c r="B107" s="10"/>
      <c r="D107" s="66"/>
      <c r="E107" s="52" t="s">
        <v>1268</v>
      </c>
      <c r="F107" s="7"/>
      <c r="G107" s="8"/>
      <c r="H107" s="7"/>
      <c r="I107" s="6"/>
      <c r="J107" s="7"/>
      <c r="K107" s="8"/>
      <c r="L107" s="7"/>
      <c r="M107" s="8"/>
      <c r="N107" s="7"/>
      <c r="O107" s="8"/>
      <c r="P107" s="7"/>
      <c r="Q107" s="7"/>
      <c r="R107" s="8"/>
      <c r="S107" s="7"/>
      <c r="T107" s="9"/>
      <c r="U107" s="7"/>
      <c r="V107" s="8"/>
      <c r="W107" s="7"/>
      <c r="X107" s="7"/>
      <c r="Y107" s="8"/>
      <c r="Z107" s="7"/>
      <c r="AA107" s="8"/>
    </row>
    <row r="108" spans="2:27" ht="14.25" thickTop="1" thickBot="1">
      <c r="B108" s="10"/>
      <c r="D108" s="66"/>
      <c r="E108" s="52" t="s">
        <v>935</v>
      </c>
      <c r="F108" s="7"/>
      <c r="G108" s="8"/>
      <c r="H108" s="7"/>
      <c r="I108" s="6"/>
      <c r="J108" s="7"/>
      <c r="K108" s="8"/>
      <c r="L108" s="7"/>
      <c r="M108" s="8"/>
      <c r="N108" s="7"/>
      <c r="O108" s="8"/>
      <c r="P108" s="7"/>
      <c r="Q108" s="7"/>
      <c r="R108" s="8"/>
      <c r="S108" s="7"/>
      <c r="T108" s="9"/>
      <c r="U108" s="7"/>
      <c r="V108" s="8"/>
      <c r="W108" s="7"/>
      <c r="X108" s="7"/>
      <c r="Y108" s="8"/>
      <c r="Z108" s="7"/>
      <c r="AA108" s="8"/>
    </row>
    <row r="109" spans="2:27" ht="14.25" thickTop="1" thickBot="1">
      <c r="B109" s="10"/>
      <c r="D109" s="66"/>
      <c r="E109" s="52" t="s">
        <v>313</v>
      </c>
      <c r="F109" s="7"/>
      <c r="G109" s="8"/>
      <c r="H109" s="7"/>
      <c r="I109" s="6"/>
      <c r="J109" s="7"/>
      <c r="K109" s="8"/>
      <c r="L109" s="7"/>
      <c r="M109" s="8"/>
      <c r="N109" s="7"/>
      <c r="O109" s="8"/>
      <c r="P109" s="7"/>
      <c r="Q109" s="7"/>
      <c r="R109" s="8"/>
      <c r="S109" s="7"/>
      <c r="T109" s="9"/>
      <c r="U109" s="7"/>
      <c r="V109" s="8"/>
      <c r="W109" s="7"/>
      <c r="X109" s="7"/>
      <c r="Y109" s="8"/>
      <c r="Z109" s="7"/>
      <c r="AA109" s="8"/>
    </row>
    <row r="110" spans="2:27" ht="14.25" thickTop="1" thickBot="1">
      <c r="B110" s="10"/>
      <c r="D110" s="66"/>
      <c r="E110" s="52" t="s">
        <v>1091</v>
      </c>
      <c r="F110" s="7"/>
      <c r="G110" s="8"/>
      <c r="H110" s="7"/>
      <c r="I110" s="6"/>
      <c r="J110" s="7"/>
      <c r="K110" s="8"/>
      <c r="L110" s="7"/>
      <c r="M110" s="8"/>
      <c r="N110" s="7"/>
      <c r="O110" s="8"/>
      <c r="P110" s="7"/>
      <c r="Q110" s="7"/>
      <c r="R110" s="8"/>
      <c r="S110" s="7"/>
      <c r="T110" s="9"/>
      <c r="U110" s="7"/>
      <c r="V110" s="8"/>
      <c r="W110" s="7"/>
      <c r="X110" s="7"/>
      <c r="Y110" s="8"/>
      <c r="Z110" s="7"/>
      <c r="AA110" s="8"/>
    </row>
    <row r="111" spans="2:27" ht="14.25" thickTop="1" thickBot="1">
      <c r="B111" s="10"/>
      <c r="D111" s="66"/>
      <c r="E111" s="52" t="s">
        <v>956</v>
      </c>
      <c r="F111" s="7"/>
      <c r="G111" s="8"/>
      <c r="H111" s="7"/>
      <c r="I111" s="6"/>
      <c r="J111" s="7"/>
      <c r="K111" s="8"/>
      <c r="L111" s="7"/>
      <c r="M111" s="8"/>
      <c r="N111" s="7"/>
      <c r="O111" s="8"/>
      <c r="P111" s="7"/>
      <c r="Q111" s="7"/>
      <c r="R111" s="8"/>
      <c r="S111" s="7"/>
      <c r="T111" s="9"/>
      <c r="U111" s="7"/>
      <c r="V111" s="8"/>
      <c r="W111" s="7"/>
      <c r="X111" s="7"/>
      <c r="Y111" s="8"/>
      <c r="Z111" s="7"/>
      <c r="AA111" s="8"/>
    </row>
    <row r="112" spans="2:27" ht="14.25" thickTop="1" thickBot="1">
      <c r="B112" s="10"/>
      <c r="D112" s="66"/>
      <c r="E112" s="52" t="s">
        <v>672</v>
      </c>
      <c r="F112" s="7"/>
      <c r="G112" s="8"/>
      <c r="H112" s="7"/>
      <c r="I112" s="6"/>
      <c r="J112" s="7"/>
      <c r="K112" s="8"/>
      <c r="L112" s="7"/>
      <c r="M112" s="8"/>
      <c r="N112" s="7"/>
      <c r="O112" s="8"/>
      <c r="P112" s="7"/>
      <c r="Q112" s="7"/>
      <c r="R112" s="8"/>
      <c r="S112" s="7"/>
      <c r="T112" s="9"/>
      <c r="U112" s="7"/>
      <c r="V112" s="8"/>
      <c r="W112" s="7"/>
      <c r="X112" s="7"/>
      <c r="Y112" s="8"/>
      <c r="Z112" s="7"/>
      <c r="AA112" s="8"/>
    </row>
    <row r="113" spans="2:27" ht="14.25" thickTop="1" thickBot="1">
      <c r="B113" s="10"/>
      <c r="D113" s="66"/>
      <c r="E113" s="52" t="s">
        <v>569</v>
      </c>
      <c r="F113" s="7"/>
      <c r="G113" s="8"/>
      <c r="H113" s="7"/>
      <c r="I113" s="6"/>
      <c r="J113" s="7"/>
      <c r="K113" s="8"/>
      <c r="L113" s="7"/>
      <c r="M113" s="8"/>
      <c r="N113" s="7"/>
      <c r="O113" s="8"/>
      <c r="P113" s="7"/>
      <c r="Q113" s="7"/>
      <c r="R113" s="8"/>
      <c r="S113" s="7"/>
      <c r="T113" s="9"/>
      <c r="U113" s="7"/>
      <c r="V113" s="8"/>
      <c r="W113" s="7"/>
      <c r="X113" s="7"/>
      <c r="Y113" s="8"/>
      <c r="Z113" s="7"/>
      <c r="AA113" s="8"/>
    </row>
    <row r="114" spans="2:27" ht="14.25" thickTop="1" thickBot="1">
      <c r="B114" s="10"/>
      <c r="D114" s="66"/>
      <c r="E114" s="52" t="s">
        <v>319</v>
      </c>
      <c r="F114" s="7"/>
      <c r="G114" s="8"/>
      <c r="H114" s="7"/>
      <c r="I114" s="6"/>
      <c r="J114" s="7"/>
      <c r="K114" s="8"/>
      <c r="L114" s="7"/>
      <c r="M114" s="8"/>
      <c r="N114" s="7"/>
      <c r="O114" s="8"/>
      <c r="P114" s="7"/>
      <c r="Q114" s="7"/>
      <c r="R114" s="8"/>
      <c r="S114" s="7"/>
      <c r="T114" s="9"/>
      <c r="U114" s="7"/>
      <c r="V114" s="8"/>
      <c r="W114" s="7"/>
      <c r="X114" s="7"/>
      <c r="Y114" s="8"/>
      <c r="Z114" s="7"/>
      <c r="AA114" s="8"/>
    </row>
    <row r="115" spans="2:27" ht="14.25" thickTop="1" thickBot="1">
      <c r="B115" s="10"/>
      <c r="D115" s="66"/>
      <c r="E115" s="52" t="s">
        <v>321</v>
      </c>
      <c r="F115" s="7"/>
      <c r="G115" s="8"/>
      <c r="H115" s="7"/>
      <c r="I115" s="6"/>
      <c r="J115" s="7"/>
      <c r="K115" s="8"/>
      <c r="L115" s="7"/>
      <c r="M115" s="8"/>
      <c r="N115" s="7"/>
      <c r="O115" s="8"/>
      <c r="P115" s="7"/>
      <c r="Q115" s="7"/>
      <c r="R115" s="8"/>
      <c r="S115" s="7"/>
      <c r="T115" s="9"/>
      <c r="U115" s="7"/>
      <c r="V115" s="8"/>
      <c r="W115" s="7"/>
      <c r="X115" s="7"/>
      <c r="Y115" s="8"/>
      <c r="Z115" s="7"/>
      <c r="AA115" s="8"/>
    </row>
    <row r="116" spans="2:27" ht="14.25" thickTop="1" thickBot="1">
      <c r="B116" s="10"/>
      <c r="D116" s="66"/>
      <c r="E116" s="52" t="s">
        <v>562</v>
      </c>
      <c r="F116" s="7"/>
      <c r="G116" s="8"/>
      <c r="H116" s="7"/>
      <c r="I116" s="6"/>
      <c r="J116" s="7"/>
      <c r="K116" s="8"/>
      <c r="L116" s="7"/>
      <c r="M116" s="8"/>
      <c r="N116" s="7"/>
      <c r="O116" s="8"/>
      <c r="P116" s="7"/>
      <c r="Q116" s="7"/>
      <c r="R116" s="8"/>
      <c r="S116" s="7"/>
      <c r="T116" s="9"/>
      <c r="U116" s="7"/>
      <c r="V116" s="8"/>
      <c r="W116" s="7"/>
      <c r="X116" s="7"/>
      <c r="Y116" s="8"/>
      <c r="Z116" s="7"/>
      <c r="AA116" s="8"/>
    </row>
    <row r="117" spans="2:27" ht="14.25" thickTop="1" thickBot="1">
      <c r="B117" s="10"/>
      <c r="D117" s="66"/>
      <c r="E117" s="52" t="s">
        <v>683</v>
      </c>
      <c r="F117" s="7"/>
      <c r="G117" s="8"/>
      <c r="H117" s="7"/>
      <c r="I117" s="6"/>
      <c r="J117" s="7"/>
      <c r="K117" s="8"/>
      <c r="L117" s="7"/>
      <c r="M117" s="8"/>
      <c r="N117" s="7"/>
      <c r="O117" s="8"/>
      <c r="P117" s="7"/>
      <c r="Q117" s="7"/>
      <c r="R117" s="8"/>
      <c r="S117" s="7"/>
      <c r="T117" s="9"/>
      <c r="U117" s="7"/>
      <c r="V117" s="8"/>
      <c r="W117" s="7"/>
      <c r="X117" s="7"/>
      <c r="Y117" s="8"/>
      <c r="Z117" s="7"/>
      <c r="AA117" s="8"/>
    </row>
    <row r="118" spans="2:27" ht="14.25" thickTop="1" thickBot="1">
      <c r="B118" s="10"/>
      <c r="D118" s="66"/>
      <c r="E118" s="52" t="s">
        <v>930</v>
      </c>
      <c r="F118" s="7"/>
      <c r="G118" s="8"/>
      <c r="H118" s="7"/>
      <c r="I118" s="6"/>
      <c r="J118" s="7"/>
      <c r="K118" s="8"/>
      <c r="L118" s="7"/>
      <c r="M118" s="8"/>
      <c r="N118" s="7"/>
      <c r="O118" s="8"/>
      <c r="P118" s="7"/>
      <c r="Q118" s="7"/>
      <c r="R118" s="8"/>
      <c r="S118" s="7"/>
      <c r="T118" s="9"/>
      <c r="U118" s="7"/>
      <c r="V118" s="8"/>
      <c r="W118" s="7"/>
      <c r="X118" s="7"/>
      <c r="Y118" s="8"/>
      <c r="Z118" s="7"/>
      <c r="AA118" s="8"/>
    </row>
    <row r="119" spans="2:27" ht="14.25" thickTop="1" thickBot="1">
      <c r="B119" s="10"/>
      <c r="D119" s="66"/>
      <c r="E119" s="52" t="s">
        <v>633</v>
      </c>
      <c r="F119" s="7"/>
      <c r="G119" s="8"/>
      <c r="H119" s="7"/>
      <c r="I119" s="6"/>
      <c r="J119" s="7"/>
      <c r="K119" s="8"/>
      <c r="L119" s="7"/>
      <c r="M119" s="8"/>
      <c r="N119" s="7"/>
      <c r="O119" s="8"/>
      <c r="P119" s="7"/>
      <c r="Q119" s="7"/>
      <c r="R119" s="8"/>
      <c r="S119" s="7"/>
      <c r="T119" s="9"/>
      <c r="U119" s="7"/>
      <c r="V119" s="8"/>
      <c r="W119" s="7"/>
      <c r="X119" s="7"/>
      <c r="Y119" s="8"/>
      <c r="Z119" s="7"/>
      <c r="AA119" s="8"/>
    </row>
    <row r="120" spans="2:27" ht="14.25" thickTop="1" thickBot="1">
      <c r="B120" s="10"/>
      <c r="D120" s="66"/>
      <c r="E120" s="52" t="s">
        <v>629</v>
      </c>
      <c r="F120" s="7"/>
      <c r="G120" s="8"/>
      <c r="H120" s="7"/>
      <c r="I120" s="6"/>
      <c r="J120" s="7"/>
      <c r="K120" s="8"/>
      <c r="L120" s="7"/>
      <c r="M120" s="8"/>
      <c r="N120" s="7"/>
      <c r="O120" s="8"/>
      <c r="P120" s="7"/>
      <c r="Q120" s="7"/>
      <c r="R120" s="8"/>
      <c r="S120" s="7"/>
      <c r="T120" s="9"/>
      <c r="U120" s="7"/>
      <c r="V120" s="8"/>
      <c r="W120" s="7"/>
      <c r="X120" s="7"/>
      <c r="Y120" s="8"/>
      <c r="Z120" s="7"/>
      <c r="AA120" s="8"/>
    </row>
    <row r="121" spans="2:27" ht="14.25" thickTop="1" thickBot="1">
      <c r="B121" s="10"/>
      <c r="D121" s="66"/>
      <c r="E121" s="52" t="s">
        <v>625</v>
      </c>
      <c r="F121" s="7"/>
      <c r="G121" s="8"/>
      <c r="H121" s="7"/>
      <c r="I121" s="6"/>
      <c r="J121" s="7"/>
      <c r="K121" s="8"/>
      <c r="L121" s="7"/>
      <c r="M121" s="8"/>
      <c r="N121" s="7"/>
      <c r="O121" s="8"/>
      <c r="P121" s="7"/>
      <c r="Q121" s="7"/>
      <c r="R121" s="8"/>
      <c r="S121" s="7"/>
      <c r="T121" s="9"/>
      <c r="U121" s="7"/>
      <c r="V121" s="8"/>
      <c r="W121" s="7"/>
      <c r="X121" s="7"/>
      <c r="Y121" s="8"/>
      <c r="Z121" s="7"/>
      <c r="AA121" s="8"/>
    </row>
    <row r="122" spans="2:27" ht="14.25" thickTop="1" thickBot="1">
      <c r="B122" s="10"/>
      <c r="D122" s="66"/>
      <c r="E122" s="52" t="s">
        <v>607</v>
      </c>
      <c r="F122" s="7"/>
      <c r="G122" s="8"/>
      <c r="H122" s="7"/>
      <c r="I122" s="6"/>
      <c r="J122" s="7"/>
      <c r="K122" s="8"/>
      <c r="L122" s="7"/>
      <c r="M122" s="8"/>
      <c r="N122" s="7"/>
      <c r="O122" s="8"/>
      <c r="P122" s="7"/>
      <c r="Q122" s="7"/>
      <c r="R122" s="8"/>
      <c r="S122" s="7"/>
      <c r="T122" s="9"/>
      <c r="U122" s="7"/>
      <c r="V122" s="8"/>
      <c r="W122" s="7"/>
      <c r="X122" s="7"/>
      <c r="Y122" s="8"/>
      <c r="Z122" s="7"/>
      <c r="AA122" s="8"/>
    </row>
    <row r="123" spans="2:27" ht="14.25" thickTop="1" thickBot="1">
      <c r="B123" s="10"/>
      <c r="D123" s="66"/>
      <c r="E123" s="52" t="s">
        <v>934</v>
      </c>
      <c r="F123" s="7"/>
      <c r="G123" s="8"/>
      <c r="H123" s="7"/>
      <c r="I123" s="6"/>
      <c r="J123" s="7"/>
      <c r="K123" s="8"/>
      <c r="L123" s="7"/>
      <c r="M123" s="8"/>
      <c r="N123" s="7"/>
      <c r="O123" s="8"/>
      <c r="P123" s="7"/>
      <c r="Q123" s="7"/>
      <c r="R123" s="8"/>
      <c r="S123" s="7"/>
      <c r="T123" s="9"/>
      <c r="U123" s="7"/>
      <c r="V123" s="8"/>
      <c r="W123" s="7"/>
      <c r="X123" s="7"/>
      <c r="Y123" s="8"/>
      <c r="Z123" s="7"/>
      <c r="AA123" s="8"/>
    </row>
    <row r="124" spans="2:27" ht="14.25" thickTop="1" thickBot="1">
      <c r="B124" s="10"/>
      <c r="D124" s="66"/>
      <c r="E124" s="52" t="s">
        <v>678</v>
      </c>
      <c r="F124" s="7"/>
      <c r="G124" s="8"/>
      <c r="H124" s="7"/>
      <c r="I124" s="6"/>
      <c r="J124" s="7"/>
      <c r="K124" s="8"/>
      <c r="L124" s="7"/>
      <c r="M124" s="8"/>
      <c r="N124" s="7"/>
      <c r="O124" s="8"/>
      <c r="P124" s="7"/>
      <c r="Q124" s="7"/>
      <c r="R124" s="8"/>
      <c r="S124" s="7"/>
      <c r="T124" s="9"/>
      <c r="U124" s="7"/>
      <c r="V124" s="8"/>
      <c r="W124" s="7"/>
      <c r="X124" s="7"/>
      <c r="Y124" s="8"/>
      <c r="Z124" s="7"/>
      <c r="AA124" s="8"/>
    </row>
    <row r="125" spans="2:27" ht="14.25" thickTop="1" thickBot="1">
      <c r="B125" s="10"/>
      <c r="D125" s="66"/>
      <c r="E125" s="52" t="s">
        <v>684</v>
      </c>
      <c r="F125" s="7"/>
      <c r="G125" s="8"/>
      <c r="H125" s="7"/>
      <c r="I125" s="6"/>
      <c r="J125" s="7"/>
      <c r="K125" s="8"/>
      <c r="L125" s="7"/>
      <c r="M125" s="8"/>
      <c r="N125" s="7"/>
      <c r="O125" s="8"/>
      <c r="P125" s="7"/>
      <c r="Q125" s="7"/>
      <c r="R125" s="8"/>
      <c r="S125" s="7"/>
      <c r="T125" s="9"/>
      <c r="U125" s="7"/>
      <c r="V125" s="8"/>
      <c r="W125" s="7"/>
      <c r="X125" s="7"/>
      <c r="Y125" s="8"/>
      <c r="Z125" s="7"/>
      <c r="AA125" s="8"/>
    </row>
    <row r="126" spans="2:27" ht="14.25" thickTop="1" thickBot="1">
      <c r="B126" s="10"/>
      <c r="D126" s="66"/>
      <c r="E126" s="52" t="s">
        <v>496</v>
      </c>
      <c r="F126" s="7"/>
      <c r="G126" s="8"/>
      <c r="H126" s="7"/>
      <c r="I126" s="6"/>
      <c r="J126" s="7"/>
      <c r="K126" s="8"/>
      <c r="L126" s="7"/>
      <c r="M126" s="8"/>
      <c r="N126" s="7"/>
      <c r="O126" s="8"/>
      <c r="P126" s="7"/>
      <c r="Q126" s="7"/>
      <c r="R126" s="8"/>
      <c r="S126" s="7"/>
      <c r="T126" s="9"/>
      <c r="U126" s="7"/>
      <c r="V126" s="8"/>
      <c r="W126" s="7"/>
      <c r="X126" s="7"/>
      <c r="Y126" s="8"/>
      <c r="Z126" s="7"/>
      <c r="AA126" s="8"/>
    </row>
    <row r="127" spans="2:27" ht="14.25" thickTop="1" thickBot="1">
      <c r="B127" s="10"/>
      <c r="D127" s="66"/>
      <c r="E127" s="52" t="s">
        <v>520</v>
      </c>
      <c r="F127" s="7"/>
      <c r="G127" s="8"/>
      <c r="H127" s="7"/>
      <c r="I127" s="6"/>
      <c r="J127" s="7"/>
      <c r="K127" s="8"/>
      <c r="L127" s="7"/>
      <c r="M127" s="8"/>
      <c r="N127" s="7"/>
      <c r="O127" s="8"/>
      <c r="P127" s="7"/>
      <c r="Q127" s="7"/>
      <c r="R127" s="8"/>
      <c r="S127" s="7"/>
      <c r="T127" s="9"/>
      <c r="U127" s="7"/>
      <c r="V127" s="8"/>
      <c r="W127" s="7"/>
      <c r="X127" s="7"/>
      <c r="Y127" s="8"/>
      <c r="Z127" s="7"/>
      <c r="AA127" s="8"/>
    </row>
    <row r="128" spans="2:27" ht="14.25" thickTop="1" thickBot="1">
      <c r="B128" s="10"/>
      <c r="D128" s="66"/>
      <c r="E128" s="52" t="s">
        <v>680</v>
      </c>
      <c r="F128" s="7"/>
      <c r="G128" s="8"/>
      <c r="H128" s="7"/>
      <c r="I128" s="6"/>
      <c r="J128" s="7"/>
      <c r="K128" s="8"/>
      <c r="L128" s="7"/>
      <c r="M128" s="8"/>
      <c r="N128" s="7"/>
      <c r="O128" s="8"/>
      <c r="P128" s="7"/>
      <c r="Q128" s="7"/>
      <c r="R128" s="8"/>
      <c r="S128" s="7"/>
      <c r="T128" s="9"/>
      <c r="U128" s="7"/>
      <c r="V128" s="8"/>
      <c r="W128" s="7"/>
      <c r="X128" s="7"/>
      <c r="Y128" s="8"/>
      <c r="Z128" s="7"/>
      <c r="AA128" s="8"/>
    </row>
    <row r="129" spans="2:27" ht="14.25" thickTop="1" thickBot="1">
      <c r="B129" s="10"/>
      <c r="D129" s="66"/>
      <c r="E129" s="52" t="s">
        <v>568</v>
      </c>
      <c r="F129" s="7"/>
      <c r="G129" s="8"/>
      <c r="H129" s="7"/>
      <c r="I129" s="6"/>
      <c r="J129" s="7"/>
      <c r="K129" s="8"/>
      <c r="L129" s="7"/>
      <c r="M129" s="8"/>
      <c r="N129" s="7"/>
      <c r="O129" s="8"/>
      <c r="P129" s="7"/>
      <c r="Q129" s="7"/>
      <c r="R129" s="8"/>
      <c r="S129" s="7"/>
      <c r="T129" s="9"/>
      <c r="U129" s="7"/>
      <c r="V129" s="8"/>
      <c r="W129" s="7"/>
      <c r="X129" s="7"/>
      <c r="Y129" s="8"/>
      <c r="Z129" s="7"/>
      <c r="AA129" s="8"/>
    </row>
    <row r="130" spans="2:27" ht="14.25" thickTop="1" thickBot="1">
      <c r="B130" s="10"/>
      <c r="D130" s="66"/>
      <c r="E130" s="52" t="s">
        <v>679</v>
      </c>
      <c r="F130" s="7"/>
      <c r="G130" s="8"/>
      <c r="H130" s="7"/>
      <c r="I130" s="6"/>
      <c r="J130" s="7"/>
      <c r="K130" s="8"/>
      <c r="L130" s="7"/>
      <c r="M130" s="8"/>
      <c r="N130" s="7"/>
      <c r="O130" s="8"/>
      <c r="P130" s="7"/>
      <c r="Q130" s="7"/>
      <c r="R130" s="8"/>
      <c r="S130" s="7"/>
      <c r="T130" s="9"/>
      <c r="U130" s="7"/>
      <c r="V130" s="8"/>
      <c r="W130" s="7"/>
      <c r="X130" s="7"/>
      <c r="Y130" s="8"/>
      <c r="Z130" s="7"/>
      <c r="AA130" s="8"/>
    </row>
    <row r="131" spans="2:27" ht="14.25" thickTop="1" thickBot="1">
      <c r="B131" s="10"/>
      <c r="D131" s="66"/>
      <c r="E131" s="52" t="s">
        <v>327</v>
      </c>
      <c r="F131" s="7"/>
      <c r="G131" s="8"/>
      <c r="H131" s="7"/>
      <c r="I131" s="6"/>
      <c r="J131" s="7"/>
      <c r="K131" s="8"/>
      <c r="L131" s="7"/>
      <c r="M131" s="8"/>
      <c r="N131" s="7"/>
      <c r="O131" s="8"/>
      <c r="P131" s="7"/>
      <c r="Q131" s="7"/>
      <c r="R131" s="8"/>
      <c r="S131" s="7"/>
      <c r="T131" s="9"/>
      <c r="U131" s="7"/>
      <c r="V131" s="8"/>
      <c r="W131" s="7"/>
      <c r="X131" s="7"/>
      <c r="Y131" s="8"/>
      <c r="Z131" s="7"/>
      <c r="AA131" s="8"/>
    </row>
    <row r="132" spans="2:27" ht="14.25" thickTop="1" thickBot="1">
      <c r="B132" s="10"/>
      <c r="D132" s="66"/>
      <c r="E132" s="52" t="s">
        <v>601</v>
      </c>
      <c r="F132" s="7"/>
      <c r="G132" s="8"/>
      <c r="H132" s="7"/>
      <c r="I132" s="6"/>
      <c r="J132" s="7"/>
      <c r="K132" s="8"/>
      <c r="L132" s="7"/>
      <c r="M132" s="8"/>
      <c r="N132" s="7"/>
      <c r="O132" s="8"/>
      <c r="P132" s="7"/>
      <c r="Q132" s="7"/>
      <c r="R132" s="8"/>
      <c r="S132" s="7"/>
      <c r="T132" s="9"/>
      <c r="U132" s="7"/>
      <c r="V132" s="8"/>
      <c r="W132" s="7"/>
      <c r="X132" s="7"/>
      <c r="Y132" s="8"/>
      <c r="Z132" s="7"/>
      <c r="AA132" s="8"/>
    </row>
    <row r="133" spans="2:27" ht="14.25" thickTop="1" thickBot="1">
      <c r="B133" s="10"/>
      <c r="D133" s="66"/>
      <c r="E133" s="52" t="s">
        <v>938</v>
      </c>
      <c r="F133" s="7"/>
      <c r="G133" s="8"/>
      <c r="H133" s="7"/>
      <c r="I133" s="6"/>
      <c r="J133" s="7"/>
      <c r="K133" s="8"/>
      <c r="L133" s="7"/>
      <c r="M133" s="8"/>
      <c r="N133" s="7"/>
      <c r="O133" s="8"/>
      <c r="P133" s="7"/>
      <c r="Q133" s="7"/>
      <c r="R133" s="8"/>
      <c r="S133" s="7"/>
      <c r="T133" s="9"/>
      <c r="U133" s="7"/>
      <c r="V133" s="8"/>
      <c r="W133" s="7"/>
      <c r="X133" s="7"/>
      <c r="Y133" s="8"/>
      <c r="Z133" s="7"/>
      <c r="AA133" s="8"/>
    </row>
    <row r="134" spans="2:27" ht="14.25" thickTop="1" thickBot="1">
      <c r="B134" s="10"/>
      <c r="D134" s="66"/>
      <c r="E134" s="52" t="s">
        <v>1117</v>
      </c>
      <c r="F134" s="7"/>
      <c r="G134" s="8"/>
      <c r="H134" s="7"/>
      <c r="I134" s="6"/>
      <c r="J134" s="7"/>
      <c r="K134" s="8"/>
      <c r="L134" s="7"/>
      <c r="M134" s="8"/>
      <c r="N134" s="7"/>
      <c r="O134" s="8"/>
      <c r="P134" s="7"/>
      <c r="Q134" s="7"/>
      <c r="R134" s="8"/>
      <c r="S134" s="7"/>
      <c r="T134" s="9"/>
      <c r="U134" s="7"/>
      <c r="V134" s="8"/>
      <c r="W134" s="7"/>
      <c r="X134" s="7"/>
      <c r="Y134" s="8"/>
      <c r="Z134" s="7"/>
      <c r="AA134" s="8"/>
    </row>
    <row r="135" spans="2:27" ht="14.25" thickTop="1" thickBot="1">
      <c r="B135" s="10"/>
      <c r="D135" s="66"/>
      <c r="E135" s="52" t="s">
        <v>1119</v>
      </c>
      <c r="F135" s="7"/>
      <c r="G135" s="8"/>
      <c r="H135" s="7"/>
      <c r="I135" s="6"/>
      <c r="J135" s="7"/>
      <c r="K135" s="8"/>
      <c r="L135" s="7"/>
      <c r="M135" s="8"/>
      <c r="N135" s="7"/>
      <c r="O135" s="8"/>
      <c r="P135" s="7"/>
      <c r="Q135" s="7"/>
      <c r="R135" s="8"/>
      <c r="S135" s="7"/>
      <c r="T135" s="9"/>
      <c r="U135" s="7"/>
      <c r="V135" s="8"/>
      <c r="W135" s="7"/>
      <c r="X135" s="7"/>
      <c r="Y135" s="8"/>
      <c r="Z135" s="7"/>
      <c r="AA135" s="8"/>
    </row>
    <row r="136" spans="2:27" ht="14.25" thickTop="1" thickBot="1">
      <c r="B136" s="10"/>
      <c r="D136" s="66"/>
      <c r="E136" s="52" t="s">
        <v>1118</v>
      </c>
      <c r="F136" s="7"/>
      <c r="G136" s="8"/>
      <c r="H136" s="7"/>
      <c r="I136" s="6"/>
      <c r="J136" s="7"/>
      <c r="K136" s="8"/>
      <c r="L136" s="7"/>
      <c r="M136" s="8"/>
      <c r="N136" s="7"/>
      <c r="O136" s="8"/>
      <c r="P136" s="7"/>
      <c r="Q136" s="7"/>
      <c r="R136" s="8"/>
      <c r="S136" s="7"/>
      <c r="T136" s="9"/>
      <c r="U136" s="7"/>
      <c r="V136" s="8"/>
      <c r="W136" s="7"/>
      <c r="X136" s="7"/>
      <c r="Y136" s="8"/>
      <c r="Z136" s="7"/>
      <c r="AA136" s="8"/>
    </row>
    <row r="137" spans="2:27" ht="14.25" thickTop="1" thickBot="1">
      <c r="B137" s="10"/>
      <c r="D137" s="66"/>
      <c r="E137" s="52" t="s">
        <v>1269</v>
      </c>
      <c r="F137" s="7"/>
      <c r="G137" s="8"/>
      <c r="H137" s="7"/>
      <c r="I137" s="6"/>
      <c r="J137" s="7"/>
      <c r="K137" s="8"/>
      <c r="L137" s="7"/>
      <c r="M137" s="8"/>
      <c r="N137" s="7"/>
      <c r="O137" s="8"/>
      <c r="P137" s="7"/>
      <c r="Q137" s="7"/>
      <c r="R137" s="8"/>
      <c r="S137" s="7"/>
      <c r="T137" s="9"/>
      <c r="U137" s="7"/>
      <c r="V137" s="8"/>
      <c r="W137" s="7"/>
      <c r="X137" s="7"/>
      <c r="Y137" s="8"/>
      <c r="Z137" s="7"/>
      <c r="AA137" s="8"/>
    </row>
    <row r="138" spans="2:27" ht="14.25" thickTop="1" thickBot="1">
      <c r="B138" s="10"/>
      <c r="D138" s="66"/>
      <c r="E138" s="52" t="s">
        <v>335</v>
      </c>
      <c r="F138" s="7"/>
      <c r="G138" s="8"/>
      <c r="H138" s="7"/>
      <c r="I138" s="6"/>
      <c r="J138" s="7"/>
      <c r="K138" s="8"/>
      <c r="L138" s="7"/>
      <c r="M138" s="8"/>
      <c r="N138" s="7"/>
      <c r="O138" s="8"/>
      <c r="P138" s="7"/>
      <c r="Q138" s="7"/>
      <c r="R138" s="8"/>
      <c r="S138" s="7"/>
      <c r="T138" s="9"/>
      <c r="U138" s="7"/>
      <c r="V138" s="8"/>
      <c r="W138" s="7"/>
      <c r="X138" s="7"/>
      <c r="Y138" s="8"/>
      <c r="Z138" s="7"/>
      <c r="AA138" s="8"/>
    </row>
    <row r="139" spans="2:27" ht="14.25" thickTop="1" thickBot="1">
      <c r="B139" s="10"/>
      <c r="D139" s="66"/>
      <c r="E139" s="52" t="s">
        <v>336</v>
      </c>
      <c r="F139" s="7"/>
      <c r="G139" s="8"/>
      <c r="H139" s="7"/>
      <c r="I139" s="6"/>
      <c r="J139" s="7"/>
      <c r="K139" s="8"/>
      <c r="L139" s="7"/>
      <c r="M139" s="8"/>
      <c r="N139" s="7"/>
      <c r="O139" s="8"/>
      <c r="P139" s="7"/>
      <c r="Q139" s="7"/>
      <c r="R139" s="8"/>
      <c r="S139" s="7"/>
      <c r="T139" s="9"/>
      <c r="U139" s="7"/>
      <c r="V139" s="8"/>
      <c r="W139" s="7"/>
      <c r="X139" s="7"/>
      <c r="Y139" s="8"/>
      <c r="Z139" s="7"/>
      <c r="AA139" s="8"/>
    </row>
    <row r="140" spans="2:27" ht="14.25" thickTop="1" thickBot="1">
      <c r="B140" s="10"/>
      <c r="D140" s="66"/>
      <c r="E140" s="52" t="s">
        <v>521</v>
      </c>
      <c r="F140" s="7"/>
      <c r="G140" s="8"/>
      <c r="H140" s="7"/>
      <c r="I140" s="6"/>
      <c r="J140" s="7"/>
      <c r="K140" s="8"/>
      <c r="L140" s="7"/>
      <c r="M140" s="8"/>
      <c r="N140" s="7"/>
      <c r="O140" s="8"/>
      <c r="P140" s="7"/>
      <c r="Q140" s="7"/>
      <c r="R140" s="8"/>
      <c r="S140" s="7"/>
      <c r="T140" s="9"/>
      <c r="U140" s="7"/>
      <c r="V140" s="8"/>
      <c r="W140" s="7"/>
      <c r="X140" s="7"/>
      <c r="Y140" s="8"/>
      <c r="Z140" s="7"/>
      <c r="AA140" s="8"/>
    </row>
    <row r="141" spans="2:27" ht="14.25" thickTop="1" thickBot="1">
      <c r="B141" s="10"/>
      <c r="D141" s="66"/>
      <c r="E141" s="52" t="s">
        <v>598</v>
      </c>
      <c r="F141" s="7"/>
      <c r="G141" s="8"/>
      <c r="H141" s="7"/>
      <c r="I141" s="6"/>
      <c r="J141" s="7"/>
      <c r="K141" s="8"/>
      <c r="L141" s="7"/>
      <c r="M141" s="8"/>
      <c r="N141" s="7"/>
      <c r="O141" s="8"/>
      <c r="P141" s="7"/>
      <c r="Q141" s="7"/>
      <c r="R141" s="8"/>
      <c r="S141" s="7"/>
      <c r="T141" s="9"/>
      <c r="U141" s="7"/>
      <c r="V141" s="8"/>
      <c r="W141" s="7"/>
      <c r="X141" s="7"/>
      <c r="Y141" s="8"/>
      <c r="Z141" s="7"/>
      <c r="AA141" s="8"/>
    </row>
    <row r="142" spans="2:27" ht="14.25" thickTop="1" thickBot="1">
      <c r="B142" s="10"/>
      <c r="D142" s="66"/>
      <c r="E142" s="52" t="s">
        <v>339</v>
      </c>
      <c r="F142" s="7"/>
      <c r="G142" s="8"/>
      <c r="H142" s="7"/>
      <c r="I142" s="6"/>
      <c r="J142" s="7"/>
      <c r="K142" s="8"/>
      <c r="L142" s="7"/>
      <c r="M142" s="8"/>
      <c r="N142" s="7"/>
      <c r="O142" s="8"/>
      <c r="P142" s="7"/>
      <c r="Q142" s="7"/>
      <c r="R142" s="8"/>
      <c r="S142" s="7"/>
      <c r="T142" s="9"/>
      <c r="U142" s="7"/>
      <c r="V142" s="8"/>
      <c r="W142" s="7"/>
      <c r="X142" s="7"/>
      <c r="Y142" s="8"/>
      <c r="Z142" s="7"/>
      <c r="AA142" s="8"/>
    </row>
    <row r="143" spans="2:27" ht="14.25" thickTop="1" thickBot="1">
      <c r="B143" s="10"/>
      <c r="D143" s="66"/>
      <c r="E143" s="52" t="s">
        <v>603</v>
      </c>
      <c r="F143" s="7"/>
      <c r="G143" s="8"/>
      <c r="H143" s="7"/>
      <c r="I143" s="6"/>
      <c r="J143" s="7"/>
      <c r="K143" s="8"/>
      <c r="L143" s="7"/>
      <c r="M143" s="8"/>
      <c r="N143" s="7"/>
      <c r="O143" s="8"/>
      <c r="P143" s="7"/>
      <c r="Q143" s="7"/>
      <c r="R143" s="8"/>
      <c r="S143" s="7"/>
      <c r="T143" s="9"/>
      <c r="U143" s="7"/>
      <c r="V143" s="8"/>
      <c r="W143" s="7"/>
      <c r="X143" s="7"/>
      <c r="Y143" s="8"/>
      <c r="Z143" s="7"/>
      <c r="AA143" s="8"/>
    </row>
    <row r="144" spans="2:27" ht="14.25" thickTop="1" thickBot="1">
      <c r="B144" s="10"/>
      <c r="D144" s="66"/>
      <c r="E144" s="52" t="s">
        <v>298</v>
      </c>
      <c r="F144" s="7"/>
      <c r="G144" s="8"/>
      <c r="H144" s="7"/>
      <c r="I144" s="6"/>
      <c r="J144" s="7"/>
      <c r="K144" s="8"/>
      <c r="L144" s="7"/>
      <c r="M144" s="8"/>
      <c r="N144" s="7"/>
      <c r="O144" s="8"/>
      <c r="P144" s="7"/>
      <c r="Q144" s="7"/>
      <c r="R144" s="8"/>
      <c r="S144" s="7"/>
      <c r="T144" s="9"/>
      <c r="U144" s="7"/>
      <c r="V144" s="8"/>
      <c r="W144" s="7"/>
      <c r="X144" s="7"/>
      <c r="Y144" s="8"/>
      <c r="Z144" s="7"/>
      <c r="AA144" s="8"/>
    </row>
    <row r="145" spans="2:27" ht="14.25" thickTop="1" thickBot="1">
      <c r="B145" s="10"/>
      <c r="D145" s="66"/>
      <c r="E145" s="52" t="s">
        <v>344</v>
      </c>
      <c r="F145" s="7"/>
      <c r="G145" s="8"/>
      <c r="H145" s="7"/>
      <c r="I145" s="6"/>
      <c r="J145" s="7"/>
      <c r="K145" s="8"/>
      <c r="L145" s="7"/>
      <c r="M145" s="8"/>
      <c r="N145" s="7"/>
      <c r="O145" s="8"/>
      <c r="P145" s="7"/>
      <c r="Q145" s="7"/>
      <c r="R145" s="8"/>
      <c r="S145" s="7"/>
      <c r="T145" s="9"/>
      <c r="U145" s="7"/>
      <c r="V145" s="8"/>
      <c r="W145" s="7"/>
      <c r="X145" s="7"/>
      <c r="Y145" s="8"/>
      <c r="Z145" s="7"/>
      <c r="AA145" s="8"/>
    </row>
    <row r="146" spans="2:27" ht="14.25" thickTop="1" thickBot="1">
      <c r="B146" s="10"/>
      <c r="D146" s="66"/>
      <c r="E146" s="52" t="s">
        <v>346</v>
      </c>
      <c r="F146" s="7"/>
      <c r="G146" s="8"/>
      <c r="H146" s="7"/>
      <c r="I146" s="6"/>
      <c r="J146" s="7"/>
      <c r="K146" s="8"/>
      <c r="L146" s="7"/>
      <c r="M146" s="8"/>
      <c r="N146" s="7"/>
      <c r="O146" s="8"/>
      <c r="P146" s="7"/>
      <c r="Q146" s="7"/>
      <c r="R146" s="8"/>
      <c r="S146" s="7"/>
      <c r="T146" s="9"/>
      <c r="U146" s="7"/>
      <c r="V146" s="8"/>
      <c r="W146" s="7"/>
      <c r="X146" s="7"/>
      <c r="Y146" s="8"/>
      <c r="Z146" s="7"/>
      <c r="AA146" s="8"/>
    </row>
    <row r="147" spans="2:27" ht="14.25" thickTop="1" thickBot="1">
      <c r="B147" s="10"/>
      <c r="D147" s="66"/>
      <c r="E147" s="52" t="s">
        <v>675</v>
      </c>
      <c r="F147" s="7"/>
      <c r="G147" s="8"/>
      <c r="H147" s="7"/>
      <c r="I147" s="6"/>
      <c r="J147" s="7"/>
      <c r="K147" s="8"/>
      <c r="L147" s="7"/>
      <c r="M147" s="8"/>
      <c r="N147" s="7"/>
      <c r="O147" s="8"/>
      <c r="P147" s="7"/>
      <c r="Q147" s="7"/>
      <c r="R147" s="8"/>
      <c r="S147" s="7"/>
      <c r="T147" s="9"/>
      <c r="U147" s="7"/>
      <c r="V147" s="8"/>
      <c r="W147" s="7"/>
      <c r="X147" s="7"/>
      <c r="Y147" s="8"/>
      <c r="Z147" s="7"/>
      <c r="AA147" s="8"/>
    </row>
    <row r="148" spans="2:27" ht="14.25" thickTop="1" thickBot="1">
      <c r="B148" s="10"/>
      <c r="D148" s="66"/>
      <c r="E148" s="52" t="s">
        <v>566</v>
      </c>
      <c r="F148" s="7"/>
      <c r="G148" s="8"/>
      <c r="H148" s="7"/>
      <c r="I148" s="6"/>
      <c r="J148" s="7"/>
      <c r="K148" s="8"/>
      <c r="L148" s="7"/>
      <c r="M148" s="8"/>
      <c r="N148" s="7"/>
      <c r="O148" s="8"/>
      <c r="P148" s="7"/>
      <c r="Q148" s="7"/>
      <c r="R148" s="8"/>
      <c r="S148" s="7"/>
      <c r="T148" s="9"/>
      <c r="U148" s="7"/>
      <c r="V148" s="8"/>
      <c r="W148" s="7"/>
      <c r="X148" s="7"/>
      <c r="Y148" s="8"/>
      <c r="Z148" s="7"/>
      <c r="AA148" s="8"/>
    </row>
    <row r="149" spans="2:27" ht="14.25" thickTop="1" thickBot="1">
      <c r="B149" s="10"/>
      <c r="D149" s="66"/>
      <c r="E149" s="52" t="s">
        <v>348</v>
      </c>
      <c r="F149" s="7"/>
      <c r="G149" s="8"/>
      <c r="H149" s="7"/>
      <c r="I149" s="6"/>
      <c r="J149" s="7"/>
      <c r="K149" s="8"/>
      <c r="L149" s="7"/>
      <c r="M149" s="8"/>
      <c r="N149" s="7"/>
      <c r="O149" s="8"/>
      <c r="P149" s="7"/>
      <c r="Q149" s="7"/>
      <c r="R149" s="8"/>
      <c r="S149" s="7"/>
      <c r="T149" s="9"/>
      <c r="U149" s="7"/>
      <c r="V149" s="8"/>
      <c r="W149" s="7"/>
      <c r="X149" s="7"/>
      <c r="Y149" s="8"/>
      <c r="Z149" s="7"/>
      <c r="AA149" s="8"/>
    </row>
    <row r="150" spans="2:27" ht="14.25" thickTop="1" thickBot="1">
      <c r="B150" s="10"/>
      <c r="D150" s="66"/>
      <c r="E150" s="52" t="s">
        <v>594</v>
      </c>
      <c r="F150" s="7"/>
      <c r="G150" s="8"/>
      <c r="H150" s="7"/>
      <c r="I150" s="6"/>
      <c r="J150" s="7"/>
      <c r="K150" s="8"/>
      <c r="L150" s="7"/>
      <c r="M150" s="8"/>
      <c r="N150" s="7"/>
      <c r="O150" s="8"/>
      <c r="P150" s="7"/>
      <c r="Q150" s="7"/>
      <c r="R150" s="8"/>
      <c r="S150" s="7"/>
      <c r="T150" s="9"/>
      <c r="U150" s="7"/>
      <c r="V150" s="8"/>
      <c r="W150" s="7"/>
      <c r="X150" s="7"/>
      <c r="Y150" s="8"/>
      <c r="Z150" s="7"/>
      <c r="AA150" s="8"/>
    </row>
    <row r="151" spans="2:27" ht="14.25" thickTop="1" thickBot="1">
      <c r="B151" s="10"/>
      <c r="D151" s="66"/>
      <c r="E151" s="52" t="s">
        <v>941</v>
      </c>
      <c r="F151" s="7"/>
      <c r="G151" s="8"/>
      <c r="H151" s="7"/>
      <c r="I151" s="6"/>
      <c r="J151" s="7"/>
      <c r="K151" s="8"/>
      <c r="L151" s="7"/>
      <c r="M151" s="8"/>
      <c r="N151" s="7"/>
      <c r="O151" s="8"/>
      <c r="P151" s="7"/>
      <c r="Q151" s="7"/>
      <c r="R151" s="8"/>
      <c r="S151" s="7"/>
      <c r="T151" s="9"/>
      <c r="U151" s="7"/>
      <c r="V151" s="8"/>
      <c r="W151" s="7"/>
      <c r="X151" s="7"/>
      <c r="Y151" s="8"/>
      <c r="Z151" s="7"/>
      <c r="AA151" s="8"/>
    </row>
    <row r="152" spans="2:27" ht="14.25" thickTop="1" thickBot="1">
      <c r="B152" s="10"/>
      <c r="D152" s="66"/>
      <c r="E152" s="52" t="s">
        <v>957</v>
      </c>
      <c r="F152" s="7"/>
      <c r="G152" s="8"/>
      <c r="H152" s="7"/>
      <c r="I152" s="6"/>
      <c r="J152" s="7"/>
      <c r="K152" s="8"/>
      <c r="L152" s="7"/>
      <c r="M152" s="8"/>
      <c r="N152" s="7"/>
      <c r="O152" s="8"/>
      <c r="P152" s="7"/>
      <c r="Q152" s="7"/>
      <c r="R152" s="8"/>
      <c r="S152" s="7"/>
      <c r="T152" s="9"/>
      <c r="U152" s="7"/>
      <c r="V152" s="8"/>
      <c r="W152" s="7"/>
      <c r="X152" s="7"/>
      <c r="Y152" s="8"/>
      <c r="Z152" s="7"/>
      <c r="AA152" s="8"/>
    </row>
    <row r="153" spans="2:27" ht="14.25" thickTop="1" thickBot="1">
      <c r="B153" s="10"/>
      <c r="D153" s="66"/>
      <c r="E153" s="52" t="s">
        <v>958</v>
      </c>
      <c r="F153" s="7"/>
      <c r="G153" s="8"/>
      <c r="H153" s="7"/>
      <c r="I153" s="6"/>
      <c r="J153" s="7"/>
      <c r="K153" s="8"/>
      <c r="L153" s="7"/>
      <c r="M153" s="8"/>
      <c r="N153" s="7"/>
      <c r="O153" s="8"/>
      <c r="P153" s="7"/>
      <c r="Q153" s="7"/>
      <c r="R153" s="8"/>
      <c r="S153" s="7"/>
      <c r="T153" s="9"/>
      <c r="U153" s="7"/>
      <c r="V153" s="8"/>
      <c r="W153" s="7"/>
      <c r="X153" s="7"/>
      <c r="Y153" s="8"/>
      <c r="Z153" s="7"/>
      <c r="AA153" s="8"/>
    </row>
    <row r="154" spans="2:27" ht="14.25" thickTop="1" thickBot="1">
      <c r="B154" s="10"/>
      <c r="D154" s="66"/>
      <c r="E154" s="52" t="s">
        <v>959</v>
      </c>
      <c r="F154" s="7"/>
      <c r="G154" s="8"/>
      <c r="H154" s="7"/>
      <c r="I154" s="6"/>
      <c r="J154" s="7"/>
      <c r="K154" s="8"/>
      <c r="L154" s="7"/>
      <c r="M154" s="8"/>
      <c r="N154" s="7"/>
      <c r="O154" s="8"/>
      <c r="P154" s="7"/>
      <c r="Q154" s="7"/>
      <c r="R154" s="8"/>
      <c r="S154" s="7"/>
      <c r="T154" s="9"/>
      <c r="U154" s="7"/>
      <c r="V154" s="8"/>
      <c r="W154" s="7"/>
      <c r="X154" s="7"/>
      <c r="Y154" s="8"/>
      <c r="Z154" s="7"/>
      <c r="AA154" s="8"/>
    </row>
    <row r="155" spans="2:27" ht="14.25" thickTop="1" thickBot="1">
      <c r="B155" s="10"/>
      <c r="D155" s="66"/>
      <c r="E155" s="52" t="s">
        <v>349</v>
      </c>
      <c r="F155" s="7"/>
      <c r="G155" s="8"/>
      <c r="H155" s="7"/>
      <c r="I155" s="6"/>
      <c r="J155" s="7"/>
      <c r="K155" s="8"/>
      <c r="L155" s="7"/>
      <c r="M155" s="8"/>
      <c r="N155" s="7"/>
      <c r="O155" s="8"/>
      <c r="P155" s="7"/>
      <c r="Q155" s="7"/>
      <c r="R155" s="8"/>
      <c r="S155" s="7"/>
      <c r="T155" s="9"/>
      <c r="U155" s="7"/>
      <c r="V155" s="8"/>
      <c r="W155" s="7"/>
      <c r="X155" s="7"/>
      <c r="Y155" s="8"/>
      <c r="Z155" s="7"/>
      <c r="AA155" s="8"/>
    </row>
    <row r="156" spans="2:27" ht="14.25" thickTop="1" thickBot="1">
      <c r="B156" s="10"/>
      <c r="D156" s="66"/>
      <c r="E156" s="52" t="s">
        <v>351</v>
      </c>
      <c r="F156" s="7"/>
      <c r="G156" s="8"/>
      <c r="H156" s="7"/>
      <c r="I156" s="6"/>
      <c r="J156" s="7"/>
      <c r="K156" s="8"/>
      <c r="L156" s="7"/>
      <c r="M156" s="8"/>
      <c r="N156" s="7"/>
      <c r="O156" s="8"/>
      <c r="P156" s="7"/>
      <c r="Q156" s="7"/>
      <c r="R156" s="8"/>
      <c r="S156" s="7"/>
      <c r="T156" s="9"/>
      <c r="U156" s="7"/>
      <c r="V156" s="8"/>
      <c r="W156" s="7"/>
      <c r="X156" s="7"/>
      <c r="Y156" s="8"/>
      <c r="Z156" s="7"/>
      <c r="AA156" s="8"/>
    </row>
    <row r="157" spans="2:27" ht="14.25" thickTop="1" thickBot="1">
      <c r="B157" s="10"/>
      <c r="D157" s="66"/>
      <c r="E157" s="52" t="s">
        <v>355</v>
      </c>
      <c r="F157" s="7"/>
      <c r="G157" s="8"/>
      <c r="H157" s="7"/>
      <c r="I157" s="6"/>
      <c r="J157" s="7"/>
      <c r="K157" s="8"/>
      <c r="L157" s="7"/>
      <c r="M157" s="8"/>
      <c r="N157" s="7"/>
      <c r="O157" s="8"/>
      <c r="P157" s="7"/>
      <c r="Q157" s="7"/>
      <c r="R157" s="8"/>
      <c r="S157" s="7"/>
      <c r="T157" s="9"/>
      <c r="U157" s="7"/>
      <c r="V157" s="8"/>
      <c r="W157" s="7"/>
      <c r="X157" s="7"/>
      <c r="Y157" s="8"/>
      <c r="Z157" s="7"/>
      <c r="AA157" s="8"/>
    </row>
    <row r="158" spans="2:27" ht="14.25" thickTop="1" thickBot="1">
      <c r="B158" s="10"/>
      <c r="D158" s="66"/>
      <c r="E158" s="52" t="s">
        <v>1150</v>
      </c>
      <c r="F158" s="7"/>
      <c r="G158" s="8"/>
      <c r="H158" s="7"/>
      <c r="I158" s="6"/>
      <c r="J158" s="7"/>
      <c r="K158" s="8"/>
      <c r="L158" s="7"/>
      <c r="M158" s="8"/>
      <c r="N158" s="7"/>
      <c r="O158" s="8"/>
      <c r="P158" s="7"/>
      <c r="Q158" s="7"/>
      <c r="R158" s="8"/>
      <c r="S158" s="7"/>
      <c r="T158" s="9"/>
      <c r="U158" s="7"/>
      <c r="V158" s="8"/>
      <c r="W158" s="7"/>
      <c r="X158" s="7"/>
      <c r="Y158" s="8"/>
      <c r="Z158" s="7"/>
      <c r="AA158" s="8"/>
    </row>
    <row r="159" spans="2:27" ht="14.25" thickTop="1" thickBot="1">
      <c r="B159" s="10"/>
      <c r="D159" s="66"/>
      <c r="E159" s="52" t="s">
        <v>686</v>
      </c>
      <c r="F159" s="7"/>
      <c r="G159" s="8"/>
      <c r="H159" s="7"/>
      <c r="I159" s="6"/>
      <c r="J159" s="7"/>
      <c r="K159" s="8"/>
      <c r="L159" s="7"/>
      <c r="M159" s="8"/>
      <c r="N159" s="7"/>
      <c r="O159" s="8"/>
      <c r="P159" s="7"/>
      <c r="Q159" s="7"/>
      <c r="R159" s="8"/>
      <c r="S159" s="7"/>
      <c r="T159" s="9"/>
      <c r="U159" s="7"/>
      <c r="V159" s="8"/>
      <c r="W159" s="7"/>
      <c r="X159" s="7"/>
      <c r="Y159" s="8"/>
      <c r="Z159" s="7"/>
      <c r="AA159" s="8"/>
    </row>
    <row r="160" spans="2:27" ht="14.25" thickTop="1" thickBot="1">
      <c r="B160" s="10"/>
      <c r="D160" s="66"/>
      <c r="E160" s="52" t="s">
        <v>937</v>
      </c>
      <c r="F160" s="7"/>
      <c r="G160" s="8"/>
      <c r="H160" s="7"/>
      <c r="I160" s="6"/>
      <c r="J160" s="7"/>
      <c r="K160" s="8"/>
      <c r="L160" s="7"/>
      <c r="M160" s="8"/>
      <c r="N160" s="7"/>
      <c r="O160" s="8"/>
      <c r="P160" s="7"/>
      <c r="Q160" s="7"/>
      <c r="R160" s="8"/>
      <c r="S160" s="7"/>
      <c r="T160" s="9"/>
      <c r="U160" s="7"/>
      <c r="V160" s="8"/>
      <c r="W160" s="7"/>
      <c r="X160" s="7"/>
      <c r="Y160" s="8"/>
      <c r="Z160" s="7"/>
      <c r="AA160" s="8"/>
    </row>
    <row r="161" spans="2:27" ht="14.25" thickTop="1" thickBot="1">
      <c r="B161" s="10"/>
      <c r="D161" s="66"/>
      <c r="E161" s="52" t="s">
        <v>942</v>
      </c>
      <c r="F161" s="7"/>
      <c r="G161" s="8"/>
      <c r="H161" s="7"/>
      <c r="I161" s="6"/>
      <c r="J161" s="7"/>
      <c r="K161" s="8"/>
      <c r="L161" s="7"/>
      <c r="M161" s="8"/>
      <c r="N161" s="7"/>
      <c r="O161" s="8"/>
      <c r="P161" s="7"/>
      <c r="Q161" s="7"/>
      <c r="R161" s="8"/>
      <c r="S161" s="7"/>
      <c r="T161" s="9"/>
      <c r="U161" s="7"/>
      <c r="V161" s="8"/>
      <c r="W161" s="7"/>
      <c r="X161" s="7"/>
      <c r="Y161" s="8"/>
      <c r="Z161" s="7"/>
      <c r="AA161" s="8"/>
    </row>
    <row r="162" spans="2:27" ht="14.25" thickTop="1" thickBot="1">
      <c r="D162" s="66"/>
      <c r="E162" s="52" t="s">
        <v>356</v>
      </c>
      <c r="F162" s="7"/>
      <c r="G162" s="8"/>
      <c r="H162" s="7"/>
      <c r="I162" s="6"/>
      <c r="J162" s="7"/>
      <c r="K162" s="8"/>
      <c r="L162" s="7"/>
      <c r="M162" s="8"/>
      <c r="N162" s="7"/>
      <c r="O162" s="8"/>
      <c r="P162" s="7"/>
      <c r="Q162" s="7"/>
      <c r="R162" s="8"/>
      <c r="S162" s="7"/>
      <c r="T162" s="9"/>
      <c r="U162" s="7"/>
      <c r="V162" s="8"/>
      <c r="W162" s="7"/>
      <c r="X162" s="7"/>
      <c r="Y162" s="8"/>
      <c r="Z162" s="7"/>
      <c r="AA162" s="8"/>
    </row>
    <row r="163" spans="2:27" ht="14.25" thickTop="1" thickBot="1">
      <c r="D163" s="66"/>
      <c r="E163" s="52" t="s">
        <v>357</v>
      </c>
      <c r="F163" s="7"/>
      <c r="G163" s="8"/>
      <c r="H163" s="7"/>
      <c r="I163" s="6"/>
      <c r="J163" s="7"/>
      <c r="K163" s="8"/>
      <c r="L163" s="7"/>
      <c r="M163" s="8"/>
      <c r="N163" s="7"/>
      <c r="O163" s="8"/>
      <c r="P163" s="7"/>
      <c r="Q163" s="7"/>
      <c r="R163" s="8"/>
      <c r="S163" s="7"/>
      <c r="T163" s="9"/>
      <c r="U163" s="7"/>
      <c r="V163" s="8"/>
      <c r="W163" s="7"/>
      <c r="X163" s="7"/>
      <c r="Y163" s="8"/>
      <c r="Z163" s="7"/>
      <c r="AA163" s="8"/>
    </row>
    <row r="164" spans="2:27" ht="14.25" thickTop="1" thickBot="1">
      <c r="D164" s="66"/>
      <c r="E164" s="52" t="s">
        <v>567</v>
      </c>
      <c r="F164" s="7"/>
      <c r="G164" s="8"/>
      <c r="H164" s="7"/>
      <c r="I164" s="6"/>
      <c r="J164" s="7"/>
      <c r="K164" s="8"/>
      <c r="L164" s="7"/>
      <c r="M164" s="8"/>
      <c r="N164" s="7"/>
      <c r="O164" s="8"/>
      <c r="P164" s="7"/>
      <c r="Q164" s="7"/>
      <c r="R164" s="8"/>
      <c r="S164" s="7"/>
      <c r="T164" s="9"/>
      <c r="U164" s="7"/>
      <c r="V164" s="8"/>
      <c r="W164" s="7"/>
      <c r="X164" s="7"/>
      <c r="Y164" s="8"/>
      <c r="Z164" s="7"/>
      <c r="AA164" s="8"/>
    </row>
    <row r="165" spans="2:27" ht="14.25" thickTop="1" thickBot="1">
      <c r="D165" s="66"/>
      <c r="E165" s="52" t="s">
        <v>925</v>
      </c>
      <c r="F165" s="7"/>
      <c r="G165" s="8"/>
      <c r="H165" s="7"/>
      <c r="I165" s="6"/>
      <c r="J165" s="7"/>
      <c r="K165" s="8"/>
      <c r="L165" s="7"/>
      <c r="M165" s="8"/>
      <c r="N165" s="7"/>
      <c r="O165" s="8"/>
      <c r="P165" s="7"/>
      <c r="Q165" s="7"/>
      <c r="R165" s="8"/>
      <c r="S165" s="7"/>
      <c r="T165" s="9"/>
      <c r="U165" s="7"/>
      <c r="V165" s="8"/>
      <c r="W165" s="7"/>
      <c r="X165" s="7"/>
      <c r="Y165" s="8"/>
      <c r="Z165" s="7"/>
      <c r="AA165" s="8"/>
    </row>
    <row r="166" spans="2:27" ht="14.25" thickTop="1" thickBot="1">
      <c r="D166" s="66"/>
      <c r="E166" s="52" t="s">
        <v>912</v>
      </c>
      <c r="F166" s="7"/>
      <c r="G166" s="8"/>
      <c r="H166" s="7"/>
      <c r="I166" s="6"/>
      <c r="J166" s="7"/>
      <c r="K166" s="8"/>
      <c r="L166" s="7"/>
      <c r="M166" s="8"/>
      <c r="N166" s="7"/>
      <c r="O166" s="8"/>
      <c r="P166" s="7"/>
      <c r="Q166" s="7"/>
      <c r="R166" s="8"/>
      <c r="S166" s="7"/>
      <c r="T166" s="9"/>
      <c r="U166" s="7"/>
      <c r="V166" s="8"/>
      <c r="W166" s="7"/>
      <c r="X166" s="7"/>
      <c r="Y166" s="8"/>
      <c r="Z166" s="7"/>
      <c r="AA166" s="8"/>
    </row>
    <row r="167" spans="2:27" ht="14.25" thickTop="1" thickBot="1">
      <c r="D167" s="66"/>
      <c r="E167" s="52" t="s">
        <v>816</v>
      </c>
      <c r="F167" s="7"/>
      <c r="G167" s="8"/>
      <c r="H167" s="7"/>
      <c r="I167" s="6"/>
      <c r="J167" s="7"/>
      <c r="K167" s="8"/>
      <c r="L167" s="7"/>
      <c r="M167" s="8"/>
      <c r="N167" s="7"/>
      <c r="O167" s="8"/>
      <c r="P167" s="7"/>
      <c r="Q167" s="7"/>
      <c r="R167" s="8"/>
      <c r="S167" s="7"/>
      <c r="T167" s="9"/>
      <c r="U167" s="7"/>
      <c r="V167" s="8"/>
      <c r="W167" s="7"/>
      <c r="X167" s="7"/>
      <c r="Y167" s="8"/>
      <c r="Z167" s="7"/>
      <c r="AA167" s="8"/>
    </row>
    <row r="168" spans="2:27" ht="14.25" thickTop="1" thickBot="1">
      <c r="D168" s="66"/>
      <c r="E168" s="52" t="s">
        <v>817</v>
      </c>
      <c r="F168" s="7"/>
      <c r="G168" s="8"/>
      <c r="H168" s="7"/>
      <c r="I168" s="6"/>
      <c r="J168" s="7"/>
      <c r="K168" s="8"/>
      <c r="L168" s="7"/>
      <c r="M168" s="8"/>
      <c r="N168" s="7"/>
      <c r="O168" s="8"/>
      <c r="P168" s="7"/>
      <c r="Q168" s="7"/>
      <c r="R168" s="8"/>
      <c r="S168" s="7"/>
      <c r="T168" s="9"/>
      <c r="U168" s="7"/>
      <c r="V168" s="8"/>
      <c r="W168" s="7"/>
      <c r="X168" s="7"/>
      <c r="Y168" s="8"/>
      <c r="Z168" s="7"/>
      <c r="AA168" s="8"/>
    </row>
    <row r="169" spans="2:27" ht="14.25" thickTop="1" thickBot="1">
      <c r="D169" s="66"/>
      <c r="E169" s="52" t="s">
        <v>819</v>
      </c>
      <c r="F169" s="7"/>
      <c r="G169" s="8"/>
      <c r="H169" s="7"/>
      <c r="I169" s="6"/>
      <c r="J169" s="7"/>
      <c r="K169" s="8"/>
      <c r="L169" s="7"/>
      <c r="M169" s="8"/>
      <c r="N169" s="7"/>
      <c r="O169" s="8"/>
      <c r="P169" s="7"/>
      <c r="Q169" s="7"/>
      <c r="R169" s="8"/>
      <c r="S169" s="7"/>
      <c r="T169" s="9"/>
      <c r="U169" s="7"/>
      <c r="V169" s="8"/>
      <c r="W169" s="7"/>
      <c r="X169" s="7"/>
      <c r="Y169" s="8"/>
      <c r="Z169" s="7"/>
      <c r="AA169" s="8"/>
    </row>
    <row r="170" spans="2:27" ht="14.25" thickTop="1" thickBot="1">
      <c r="D170" s="66"/>
      <c r="E170" s="52" t="s">
        <v>834</v>
      </c>
      <c r="F170" s="7"/>
      <c r="G170" s="8"/>
      <c r="H170" s="7"/>
      <c r="I170" s="6"/>
      <c r="J170" s="7"/>
      <c r="K170" s="8"/>
      <c r="L170" s="7"/>
      <c r="M170" s="8"/>
      <c r="N170" s="7"/>
      <c r="O170" s="8"/>
      <c r="P170" s="7"/>
      <c r="Q170" s="7"/>
      <c r="R170" s="8"/>
      <c r="S170" s="7"/>
      <c r="T170" s="9"/>
      <c r="U170" s="7"/>
      <c r="V170" s="8"/>
      <c r="W170" s="7"/>
      <c r="X170" s="7"/>
      <c r="Y170" s="8"/>
      <c r="Z170" s="7"/>
      <c r="AA170" s="8"/>
    </row>
    <row r="171" spans="2:27" ht="14.25" thickTop="1" thickBot="1">
      <c r="D171" s="66"/>
      <c r="E171" s="52" t="s">
        <v>832</v>
      </c>
      <c r="F171" s="7"/>
      <c r="G171" s="8"/>
      <c r="H171" s="7"/>
      <c r="I171" s="6"/>
      <c r="J171" s="7"/>
      <c r="K171" s="8"/>
      <c r="L171" s="7"/>
      <c r="M171" s="8"/>
      <c r="N171" s="7"/>
      <c r="O171" s="8"/>
      <c r="P171" s="7"/>
      <c r="Q171" s="7"/>
      <c r="R171" s="8"/>
      <c r="S171" s="7"/>
      <c r="T171" s="9"/>
      <c r="U171" s="7"/>
      <c r="V171" s="8"/>
      <c r="W171" s="7"/>
      <c r="X171" s="7"/>
      <c r="Y171" s="8"/>
      <c r="Z171" s="7"/>
      <c r="AA171" s="8"/>
    </row>
    <row r="172" spans="2:27" ht="14.25" thickTop="1" thickBot="1">
      <c r="D172" s="66"/>
      <c r="E172" s="52" t="s">
        <v>405</v>
      </c>
      <c r="F172" s="7"/>
      <c r="G172" s="8"/>
      <c r="H172" s="7"/>
      <c r="I172" s="6"/>
      <c r="J172" s="7"/>
      <c r="K172" s="8"/>
      <c r="L172" s="7"/>
      <c r="M172" s="8"/>
      <c r="N172" s="7"/>
      <c r="O172" s="8"/>
      <c r="P172" s="7"/>
      <c r="Q172" s="7"/>
      <c r="R172" s="8"/>
      <c r="S172" s="7"/>
      <c r="T172" s="9"/>
      <c r="U172" s="7"/>
      <c r="V172" s="8"/>
      <c r="W172" s="7"/>
      <c r="X172" s="7"/>
      <c r="Y172" s="8"/>
      <c r="Z172" s="7"/>
      <c r="AA172" s="8"/>
    </row>
    <row r="173" spans="2:27" ht="14.25" thickTop="1" thickBot="1">
      <c r="D173" s="66"/>
      <c r="E173" s="52" t="s">
        <v>848</v>
      </c>
      <c r="F173" s="7"/>
      <c r="G173" s="8"/>
      <c r="H173" s="7"/>
      <c r="I173" s="6"/>
      <c r="J173" s="7"/>
      <c r="K173" s="8"/>
      <c r="L173" s="7"/>
      <c r="M173" s="8"/>
      <c r="N173" s="7"/>
      <c r="O173" s="8"/>
      <c r="P173" s="7"/>
      <c r="Q173" s="7"/>
      <c r="R173" s="8"/>
      <c r="S173" s="7"/>
      <c r="T173" s="9"/>
      <c r="U173" s="7"/>
      <c r="V173" s="8"/>
      <c r="W173" s="7"/>
      <c r="X173" s="7"/>
      <c r="Y173" s="8"/>
      <c r="Z173" s="7"/>
      <c r="AA173" s="8"/>
    </row>
    <row r="174" spans="2:27" ht="14.25" thickTop="1" thickBot="1">
      <c r="D174" s="66"/>
      <c r="E174" s="52" t="s">
        <v>815</v>
      </c>
      <c r="F174" s="7"/>
      <c r="G174" s="8"/>
      <c r="H174" s="7"/>
      <c r="I174" s="6"/>
      <c r="J174" s="7"/>
      <c r="K174" s="8"/>
      <c r="L174" s="7"/>
      <c r="M174" s="8"/>
      <c r="N174" s="7"/>
      <c r="O174" s="8"/>
      <c r="P174" s="7"/>
      <c r="Q174" s="7"/>
      <c r="R174" s="8"/>
      <c r="S174" s="7"/>
      <c r="T174" s="9"/>
      <c r="U174" s="7"/>
      <c r="V174" s="8"/>
      <c r="W174" s="7"/>
      <c r="X174" s="7"/>
      <c r="Y174" s="8"/>
      <c r="Z174" s="7"/>
      <c r="AA174" s="8"/>
    </row>
    <row r="175" spans="2:27" ht="14.25" thickTop="1" thickBot="1">
      <c r="D175" s="66"/>
      <c r="E175" s="52" t="s">
        <v>818</v>
      </c>
      <c r="F175" s="7"/>
      <c r="G175" s="8"/>
      <c r="H175" s="7"/>
      <c r="I175" s="6"/>
      <c r="J175" s="7"/>
      <c r="K175" s="8"/>
      <c r="L175" s="7"/>
      <c r="M175" s="8"/>
      <c r="N175" s="7"/>
      <c r="O175" s="8"/>
      <c r="P175" s="7"/>
      <c r="Q175" s="7"/>
      <c r="R175" s="8"/>
      <c r="S175" s="7"/>
      <c r="T175" s="9"/>
      <c r="U175" s="7"/>
      <c r="V175" s="8"/>
      <c r="W175" s="7"/>
      <c r="X175" s="7"/>
      <c r="Y175" s="8"/>
      <c r="Z175" s="7"/>
      <c r="AA175" s="8"/>
    </row>
    <row r="176" spans="2:27" ht="14.25" thickTop="1" thickBot="1">
      <c r="D176" s="66"/>
      <c r="E176" s="52" t="s">
        <v>820</v>
      </c>
      <c r="F176" s="7"/>
      <c r="G176" s="8"/>
      <c r="H176" s="7"/>
      <c r="I176" s="6"/>
      <c r="J176" s="7"/>
      <c r="K176" s="8"/>
      <c r="L176" s="7"/>
      <c r="M176" s="8"/>
      <c r="N176" s="7"/>
      <c r="O176" s="8"/>
      <c r="P176" s="7"/>
      <c r="Q176" s="7"/>
      <c r="R176" s="8"/>
      <c r="S176" s="7"/>
      <c r="T176" s="9"/>
      <c r="U176" s="7"/>
      <c r="V176" s="8"/>
      <c r="W176" s="7"/>
      <c r="X176" s="7"/>
      <c r="Y176" s="8"/>
      <c r="Z176" s="7"/>
      <c r="AA176" s="8"/>
    </row>
    <row r="177" spans="4:27" ht="14.25" thickTop="1" thickBot="1">
      <c r="D177" s="66"/>
      <c r="E177" s="52" t="s">
        <v>404</v>
      </c>
      <c r="F177" s="7"/>
      <c r="G177" s="8"/>
      <c r="H177" s="7"/>
      <c r="I177" s="6"/>
      <c r="J177" s="7"/>
      <c r="K177" s="8"/>
      <c r="L177" s="7"/>
      <c r="M177" s="8"/>
      <c r="N177" s="7"/>
      <c r="O177" s="8"/>
      <c r="P177" s="7"/>
      <c r="Q177" s="7"/>
      <c r="R177" s="8"/>
      <c r="S177" s="7"/>
      <c r="T177" s="9"/>
      <c r="U177" s="7"/>
      <c r="V177" s="8"/>
      <c r="W177" s="7"/>
      <c r="X177" s="7"/>
      <c r="Y177" s="8"/>
      <c r="Z177" s="7"/>
      <c r="AA177" s="8"/>
    </row>
    <row r="178" spans="4:27" ht="14.25" thickTop="1" thickBot="1">
      <c r="D178" s="66"/>
      <c r="E178" s="52" t="s">
        <v>825</v>
      </c>
      <c r="F178" s="7"/>
      <c r="G178" s="8"/>
      <c r="H178" s="7"/>
      <c r="I178" s="6"/>
      <c r="J178" s="7"/>
      <c r="K178" s="8"/>
      <c r="L178" s="7"/>
      <c r="M178" s="8"/>
      <c r="N178" s="7"/>
      <c r="O178" s="8"/>
      <c r="P178" s="7"/>
      <c r="Q178" s="7"/>
      <c r="R178" s="8"/>
      <c r="S178" s="7"/>
      <c r="T178" s="9"/>
      <c r="U178" s="7"/>
      <c r="V178" s="8"/>
      <c r="W178" s="7"/>
      <c r="X178" s="7"/>
      <c r="Y178" s="8"/>
      <c r="Z178" s="7"/>
      <c r="AA178" s="8"/>
    </row>
    <row r="179" spans="4:27" ht="14.25" thickTop="1" thickBot="1">
      <c r="D179" s="66"/>
      <c r="E179" s="52" t="s">
        <v>838</v>
      </c>
      <c r="F179" s="7"/>
      <c r="G179" s="8"/>
      <c r="H179" s="7"/>
      <c r="I179" s="6"/>
      <c r="J179" s="7"/>
      <c r="K179" s="8"/>
      <c r="L179" s="7"/>
      <c r="M179" s="8"/>
      <c r="N179" s="7"/>
      <c r="O179" s="8"/>
      <c r="P179" s="7"/>
      <c r="Q179" s="7"/>
      <c r="R179" s="8"/>
      <c r="S179" s="7"/>
      <c r="T179" s="9"/>
      <c r="U179" s="7"/>
      <c r="V179" s="8"/>
      <c r="W179" s="7"/>
      <c r="X179" s="7"/>
      <c r="Y179" s="8"/>
      <c r="Z179" s="7"/>
      <c r="AA179" s="8"/>
    </row>
    <row r="180" spans="4:27" ht="14.25" thickTop="1" thickBot="1">
      <c r="D180" s="66"/>
      <c r="E180" s="52" t="s">
        <v>833</v>
      </c>
      <c r="F180" s="7"/>
      <c r="G180" s="8"/>
      <c r="H180" s="7"/>
      <c r="I180" s="6"/>
      <c r="J180" s="7"/>
      <c r="K180" s="8"/>
      <c r="L180" s="7"/>
      <c r="M180" s="8"/>
      <c r="N180" s="7"/>
      <c r="O180" s="8"/>
      <c r="P180" s="7"/>
      <c r="Q180" s="7"/>
      <c r="R180" s="8"/>
      <c r="S180" s="7"/>
      <c r="T180" s="9"/>
      <c r="U180" s="7"/>
      <c r="V180" s="8"/>
      <c r="W180" s="7"/>
      <c r="X180" s="7"/>
      <c r="Y180" s="8"/>
      <c r="Z180" s="7"/>
      <c r="AA180" s="8"/>
    </row>
    <row r="181" spans="4:27" ht="14.25" thickTop="1" thickBot="1">
      <c r="D181" s="66"/>
      <c r="E181" s="52" t="s">
        <v>837</v>
      </c>
      <c r="F181" s="7"/>
      <c r="G181" s="8"/>
      <c r="H181" s="7"/>
      <c r="I181" s="6"/>
      <c r="J181" s="7"/>
      <c r="K181" s="8"/>
      <c r="L181" s="7"/>
      <c r="M181" s="8"/>
      <c r="N181" s="7"/>
      <c r="O181" s="8"/>
      <c r="P181" s="7"/>
      <c r="Q181" s="7"/>
      <c r="R181" s="8"/>
      <c r="S181" s="7"/>
      <c r="T181" s="9"/>
      <c r="U181" s="7"/>
      <c r="V181" s="8"/>
      <c r="W181" s="7"/>
      <c r="X181" s="7"/>
      <c r="Y181" s="8"/>
      <c r="Z181" s="7"/>
      <c r="AA181" s="8"/>
    </row>
    <row r="182" spans="4:27" ht="14.25" thickTop="1" thickBot="1">
      <c r="D182" s="66"/>
      <c r="E182" s="52" t="s">
        <v>861</v>
      </c>
      <c r="F182" s="7"/>
      <c r="G182" s="8"/>
      <c r="H182" s="7"/>
      <c r="I182" s="6"/>
      <c r="J182" s="7"/>
      <c r="K182" s="8"/>
      <c r="L182" s="7"/>
      <c r="M182" s="8"/>
      <c r="N182" s="7"/>
      <c r="O182" s="8"/>
      <c r="P182" s="7"/>
      <c r="Q182" s="7"/>
      <c r="R182" s="8"/>
      <c r="S182" s="7"/>
      <c r="T182" s="9"/>
      <c r="U182" s="7"/>
      <c r="V182" s="8"/>
      <c r="W182" s="7"/>
      <c r="X182" s="7"/>
      <c r="Y182" s="8"/>
      <c r="Z182" s="7"/>
      <c r="AA182" s="8"/>
    </row>
    <row r="183" spans="4:27" ht="14.25" thickTop="1" thickBot="1">
      <c r="D183" s="66"/>
      <c r="E183" s="52" t="s">
        <v>414</v>
      </c>
      <c r="F183" s="7"/>
      <c r="G183" s="8"/>
      <c r="H183" s="7"/>
      <c r="I183" s="6"/>
      <c r="J183" s="7"/>
      <c r="K183" s="8"/>
      <c r="L183" s="7"/>
      <c r="M183" s="8"/>
      <c r="N183" s="7"/>
      <c r="O183" s="8"/>
      <c r="P183" s="7"/>
      <c r="Q183" s="7"/>
      <c r="R183" s="8"/>
      <c r="S183" s="7"/>
      <c r="T183" s="9"/>
      <c r="U183" s="7"/>
      <c r="V183" s="8"/>
      <c r="W183" s="7"/>
      <c r="X183" s="7"/>
      <c r="Y183" s="8"/>
      <c r="Z183" s="7"/>
      <c r="AA183" s="8"/>
    </row>
    <row r="184" spans="4:27" ht="14.25" thickTop="1" thickBot="1">
      <c r="D184" s="66"/>
      <c r="E184" s="52" t="s">
        <v>410</v>
      </c>
      <c r="F184" s="7"/>
      <c r="G184" s="8"/>
      <c r="H184" s="7"/>
      <c r="I184" s="6"/>
      <c r="J184" s="7"/>
      <c r="K184" s="8"/>
      <c r="L184" s="7"/>
      <c r="M184" s="8"/>
      <c r="N184" s="7"/>
      <c r="O184" s="8"/>
      <c r="P184" s="7"/>
      <c r="Q184" s="7"/>
      <c r="R184" s="8"/>
      <c r="S184" s="7"/>
      <c r="T184" s="9"/>
      <c r="U184" s="7"/>
      <c r="V184" s="8"/>
      <c r="W184" s="7"/>
      <c r="X184" s="7"/>
      <c r="Y184" s="8"/>
      <c r="Z184" s="7"/>
      <c r="AA184" s="8"/>
    </row>
    <row r="185" spans="4:27" ht="14.25" thickTop="1" thickBot="1">
      <c r="D185" s="66"/>
      <c r="E185" s="52" t="s">
        <v>411</v>
      </c>
      <c r="F185" s="7"/>
      <c r="G185" s="8"/>
      <c r="H185" s="7"/>
      <c r="I185" s="6"/>
      <c r="J185" s="7"/>
      <c r="K185" s="8"/>
      <c r="L185" s="7"/>
      <c r="M185" s="8"/>
      <c r="N185" s="7"/>
      <c r="O185" s="8"/>
      <c r="P185" s="7"/>
      <c r="Q185" s="7"/>
      <c r="R185" s="8"/>
      <c r="S185" s="7"/>
      <c r="T185" s="9"/>
      <c r="U185" s="7"/>
      <c r="V185" s="8"/>
      <c r="W185" s="7"/>
      <c r="X185" s="7"/>
      <c r="Y185" s="8"/>
      <c r="Z185" s="7"/>
      <c r="AA185" s="8"/>
    </row>
    <row r="186" spans="4:27" ht="14.25" thickTop="1" thickBot="1">
      <c r="D186" s="66"/>
      <c r="E186" s="52" t="s">
        <v>828</v>
      </c>
      <c r="F186" s="7"/>
      <c r="G186" s="8"/>
      <c r="H186" s="7"/>
      <c r="I186" s="6"/>
      <c r="J186" s="7"/>
      <c r="K186" s="8"/>
      <c r="L186" s="7"/>
      <c r="M186" s="8"/>
      <c r="N186" s="7"/>
      <c r="O186" s="8"/>
      <c r="P186" s="7"/>
      <c r="Q186" s="7"/>
      <c r="R186" s="8"/>
      <c r="S186" s="7"/>
      <c r="T186" s="9"/>
      <c r="U186" s="7"/>
      <c r="V186" s="8"/>
      <c r="W186" s="7"/>
      <c r="X186" s="7"/>
      <c r="Y186" s="8"/>
      <c r="Z186" s="7"/>
      <c r="AA186" s="8"/>
    </row>
    <row r="187" spans="4:27" ht="14.25" thickTop="1" thickBot="1">
      <c r="D187" s="66"/>
      <c r="E187" s="52" t="s">
        <v>412</v>
      </c>
      <c r="F187" s="7"/>
      <c r="G187" s="8"/>
      <c r="H187" s="7"/>
      <c r="I187" s="6"/>
      <c r="J187" s="7"/>
      <c r="K187" s="8"/>
      <c r="L187" s="7"/>
      <c r="M187" s="8"/>
      <c r="N187" s="7"/>
      <c r="O187" s="8"/>
      <c r="P187" s="7"/>
      <c r="Q187" s="7"/>
      <c r="R187" s="8"/>
      <c r="S187" s="7"/>
      <c r="T187" s="9"/>
      <c r="U187" s="7"/>
      <c r="V187" s="8"/>
      <c r="W187" s="7"/>
      <c r="X187" s="7"/>
      <c r="Y187" s="8"/>
      <c r="Z187" s="7"/>
      <c r="AA187" s="8"/>
    </row>
    <row r="188" spans="4:27" ht="14.25" thickTop="1" thickBot="1">
      <c r="D188" s="66"/>
      <c r="E188" s="52" t="s">
        <v>409</v>
      </c>
      <c r="F188" s="7"/>
      <c r="G188" s="8"/>
      <c r="H188" s="7"/>
      <c r="I188" s="6"/>
      <c r="J188" s="7"/>
      <c r="K188" s="8"/>
      <c r="L188" s="7"/>
      <c r="M188" s="8"/>
      <c r="N188" s="7"/>
      <c r="O188" s="8"/>
      <c r="P188" s="7"/>
      <c r="Q188" s="7"/>
      <c r="R188" s="8"/>
      <c r="S188" s="7"/>
      <c r="T188" s="9"/>
      <c r="U188" s="7"/>
      <c r="V188" s="8"/>
      <c r="W188" s="7"/>
      <c r="X188" s="7"/>
      <c r="Y188" s="8"/>
      <c r="Z188" s="7"/>
      <c r="AA188" s="8"/>
    </row>
    <row r="189" spans="4:27" ht="14.25" thickTop="1" thickBot="1">
      <c r="D189" s="66"/>
      <c r="E189" s="52" t="s">
        <v>408</v>
      </c>
      <c r="F189" s="7"/>
      <c r="G189" s="8"/>
      <c r="H189" s="7"/>
      <c r="I189" s="6"/>
      <c r="J189" s="7"/>
      <c r="K189" s="8"/>
      <c r="L189" s="7"/>
      <c r="M189" s="8"/>
      <c r="N189" s="7"/>
      <c r="O189" s="8"/>
      <c r="P189" s="7"/>
      <c r="Q189" s="7"/>
      <c r="R189" s="8"/>
      <c r="S189" s="7"/>
      <c r="T189" s="9"/>
      <c r="U189" s="7"/>
      <c r="V189" s="8"/>
      <c r="W189" s="7"/>
      <c r="X189" s="7"/>
      <c r="Y189" s="8"/>
      <c r="Z189" s="7"/>
      <c r="AA189" s="8"/>
    </row>
    <row r="190" spans="4:27" ht="14.25" thickTop="1" thickBot="1">
      <c r="D190" s="66"/>
      <c r="E190" s="52" t="s">
        <v>407</v>
      </c>
      <c r="F190" s="7"/>
      <c r="G190" s="8"/>
      <c r="H190" s="7"/>
      <c r="I190" s="6"/>
      <c r="J190" s="7"/>
      <c r="K190" s="8"/>
      <c r="L190" s="7"/>
      <c r="M190" s="8"/>
      <c r="N190" s="7"/>
      <c r="O190" s="8"/>
      <c r="P190" s="7"/>
      <c r="Q190" s="7"/>
      <c r="R190" s="8"/>
      <c r="S190" s="7"/>
      <c r="T190" s="9"/>
      <c r="U190" s="7"/>
      <c r="V190" s="8"/>
      <c r="W190" s="7"/>
      <c r="X190" s="7"/>
      <c r="Y190" s="8"/>
      <c r="Z190" s="7"/>
      <c r="AA190" s="8"/>
    </row>
    <row r="191" spans="4:27" ht="14.25" thickTop="1" thickBot="1">
      <c r="D191" s="66"/>
      <c r="E191" s="52" t="s">
        <v>901</v>
      </c>
      <c r="F191" s="7"/>
      <c r="G191" s="8"/>
      <c r="H191" s="7"/>
      <c r="I191" s="6"/>
      <c r="J191" s="7"/>
      <c r="K191" s="8"/>
      <c r="L191" s="7"/>
      <c r="M191" s="8"/>
      <c r="N191" s="7"/>
      <c r="O191" s="8"/>
      <c r="P191" s="7"/>
      <c r="Q191" s="7"/>
      <c r="R191" s="8"/>
      <c r="S191" s="7"/>
      <c r="T191" s="9"/>
      <c r="U191" s="7"/>
      <c r="V191" s="8"/>
      <c r="W191" s="7"/>
      <c r="X191" s="7"/>
      <c r="Y191" s="8"/>
      <c r="Z191" s="7"/>
      <c r="AA191" s="8"/>
    </row>
    <row r="192" spans="4:27" ht="14.25" thickTop="1" thickBot="1">
      <c r="D192" s="66"/>
      <c r="E192" s="52" t="s">
        <v>916</v>
      </c>
      <c r="F192" s="7"/>
      <c r="G192" s="8"/>
      <c r="H192" s="7"/>
      <c r="I192" s="6"/>
      <c r="J192" s="7"/>
      <c r="K192" s="8"/>
      <c r="L192" s="7"/>
      <c r="M192" s="8"/>
      <c r="N192" s="7"/>
      <c r="O192" s="8"/>
      <c r="P192" s="7"/>
      <c r="Q192" s="7"/>
      <c r="R192" s="8"/>
      <c r="S192" s="7"/>
      <c r="T192" s="9"/>
      <c r="U192" s="7"/>
      <c r="V192" s="8"/>
      <c r="W192" s="7"/>
      <c r="X192" s="7"/>
      <c r="Y192" s="8"/>
      <c r="Z192" s="7"/>
      <c r="AA192" s="8"/>
    </row>
    <row r="193" spans="4:27" ht="14.25" thickTop="1" thickBot="1">
      <c r="D193" s="66"/>
      <c r="E193" s="52" t="s">
        <v>885</v>
      </c>
      <c r="F193" s="7"/>
      <c r="G193" s="8"/>
      <c r="H193" s="7"/>
      <c r="I193" s="6"/>
      <c r="J193" s="7"/>
      <c r="K193" s="8"/>
      <c r="L193" s="7"/>
      <c r="M193" s="8"/>
      <c r="N193" s="7"/>
      <c r="O193" s="8"/>
      <c r="P193" s="7"/>
      <c r="Q193" s="7"/>
      <c r="R193" s="8"/>
      <c r="S193" s="7"/>
      <c r="T193" s="9"/>
      <c r="U193" s="7"/>
      <c r="V193" s="8"/>
      <c r="W193" s="7"/>
      <c r="X193" s="7"/>
      <c r="Y193" s="8"/>
      <c r="Z193" s="7"/>
      <c r="AA193" s="8"/>
    </row>
    <row r="194" spans="4:27" ht="14.25" thickTop="1" thickBot="1">
      <c r="D194" s="66"/>
      <c r="E194" s="52" t="s">
        <v>918</v>
      </c>
      <c r="F194" s="7"/>
      <c r="G194" s="8"/>
      <c r="H194" s="7"/>
      <c r="I194" s="6"/>
      <c r="J194" s="7"/>
      <c r="K194" s="8"/>
      <c r="L194" s="7"/>
      <c r="M194" s="8"/>
      <c r="N194" s="7"/>
      <c r="O194" s="8"/>
      <c r="P194" s="7"/>
      <c r="Q194" s="7"/>
      <c r="R194" s="8"/>
      <c r="S194" s="7"/>
      <c r="T194" s="9"/>
      <c r="U194" s="7"/>
      <c r="V194" s="8"/>
      <c r="W194" s="7"/>
      <c r="X194" s="7"/>
      <c r="Y194" s="8"/>
      <c r="Z194" s="7"/>
      <c r="AA194" s="8"/>
    </row>
    <row r="195" spans="4:27" ht="14.25" thickTop="1" thickBot="1">
      <c r="D195" s="66"/>
      <c r="E195" s="52" t="s">
        <v>519</v>
      </c>
      <c r="F195" s="7"/>
      <c r="G195" s="8"/>
      <c r="H195" s="7"/>
      <c r="I195" s="6"/>
      <c r="J195" s="7"/>
      <c r="K195" s="8"/>
      <c r="L195" s="7"/>
      <c r="M195" s="8"/>
      <c r="N195" s="7"/>
      <c r="O195" s="8"/>
      <c r="P195" s="7"/>
      <c r="Q195" s="7"/>
      <c r="R195" s="8"/>
      <c r="S195" s="7"/>
      <c r="T195" s="9"/>
      <c r="U195" s="7"/>
      <c r="V195" s="8"/>
      <c r="W195" s="7"/>
      <c r="X195" s="7"/>
      <c r="Y195" s="8"/>
      <c r="Z195" s="7"/>
      <c r="AA195" s="8"/>
    </row>
    <row r="196" spans="4:27" ht="14.25" thickTop="1" thickBot="1">
      <c r="D196" s="66"/>
      <c r="E196" s="52" t="s">
        <v>882</v>
      </c>
      <c r="F196" s="7"/>
      <c r="G196" s="8"/>
      <c r="H196" s="7"/>
      <c r="I196" s="6"/>
      <c r="J196" s="7"/>
      <c r="K196" s="8"/>
      <c r="L196" s="7"/>
      <c r="M196" s="8"/>
      <c r="N196" s="7"/>
      <c r="O196" s="8"/>
      <c r="P196" s="7"/>
      <c r="Q196" s="7"/>
      <c r="R196" s="8"/>
      <c r="S196" s="7"/>
      <c r="T196" s="9"/>
      <c r="U196" s="7"/>
      <c r="V196" s="8"/>
      <c r="W196" s="7"/>
      <c r="X196" s="7"/>
      <c r="Y196" s="8"/>
      <c r="Z196" s="7"/>
      <c r="AA196" s="8"/>
    </row>
    <row r="197" spans="4:27" ht="14.25" thickTop="1" thickBot="1">
      <c r="D197" s="66"/>
      <c r="E197" s="52" t="s">
        <v>485</v>
      </c>
      <c r="F197" s="7"/>
      <c r="G197" s="8"/>
      <c r="H197" s="7"/>
      <c r="I197" s="6"/>
      <c r="J197" s="7"/>
      <c r="K197" s="8"/>
      <c r="L197" s="7"/>
      <c r="M197" s="8"/>
      <c r="N197" s="7"/>
      <c r="O197" s="8"/>
      <c r="P197" s="7"/>
      <c r="Q197" s="7"/>
      <c r="R197" s="8"/>
      <c r="S197" s="7"/>
      <c r="T197" s="9"/>
      <c r="U197" s="7"/>
      <c r="V197" s="8"/>
      <c r="W197" s="7"/>
      <c r="X197" s="7"/>
      <c r="Y197" s="8"/>
      <c r="Z197" s="7"/>
      <c r="AA197" s="8"/>
    </row>
    <row r="198" spans="4:27" ht="14.25" thickTop="1" thickBot="1">
      <c r="D198" s="66"/>
      <c r="E198" s="52" t="s">
        <v>881</v>
      </c>
      <c r="F198" s="7"/>
      <c r="G198" s="8"/>
      <c r="H198" s="7"/>
      <c r="I198" s="6"/>
      <c r="J198" s="7"/>
      <c r="K198" s="8"/>
      <c r="L198" s="7"/>
      <c r="M198" s="8"/>
      <c r="N198" s="7"/>
      <c r="O198" s="8"/>
      <c r="P198" s="7"/>
      <c r="Q198" s="7"/>
      <c r="R198" s="8"/>
      <c r="S198" s="7"/>
      <c r="T198" s="9"/>
      <c r="U198" s="7"/>
      <c r="V198" s="8"/>
      <c r="W198" s="7"/>
      <c r="X198" s="7"/>
      <c r="Y198" s="8"/>
      <c r="Z198" s="7"/>
      <c r="AA198" s="8"/>
    </row>
    <row r="199" spans="4:27" ht="14.25" thickTop="1" thickBot="1">
      <c r="D199" s="66"/>
      <c r="E199" s="52" t="s">
        <v>919</v>
      </c>
      <c r="F199" s="7"/>
      <c r="G199" s="8"/>
      <c r="H199" s="7"/>
      <c r="I199" s="6"/>
      <c r="J199" s="7"/>
      <c r="K199" s="8"/>
      <c r="L199" s="7"/>
      <c r="M199" s="8"/>
      <c r="N199" s="7"/>
      <c r="O199" s="8"/>
      <c r="P199" s="7"/>
      <c r="Q199" s="7"/>
      <c r="R199" s="8"/>
      <c r="S199" s="7"/>
      <c r="T199" s="9"/>
      <c r="U199" s="7"/>
      <c r="V199" s="8"/>
      <c r="W199" s="7"/>
      <c r="X199" s="7"/>
      <c r="Y199" s="8"/>
      <c r="Z199" s="7"/>
      <c r="AA199" s="8"/>
    </row>
    <row r="200" spans="4:27" ht="14.25" thickTop="1" thickBot="1">
      <c r="D200" s="66"/>
      <c r="E200" s="52" t="s">
        <v>511</v>
      </c>
      <c r="F200" s="7"/>
      <c r="G200" s="8"/>
      <c r="H200" s="7"/>
      <c r="I200" s="6"/>
      <c r="J200" s="7"/>
      <c r="K200" s="8"/>
      <c r="L200" s="7"/>
      <c r="M200" s="8"/>
      <c r="N200" s="7"/>
      <c r="O200" s="8"/>
      <c r="P200" s="7"/>
      <c r="Q200" s="7"/>
      <c r="R200" s="8"/>
      <c r="S200" s="7"/>
      <c r="T200" s="9"/>
      <c r="U200" s="7"/>
      <c r="V200" s="8"/>
      <c r="W200" s="7"/>
      <c r="X200" s="7"/>
      <c r="Y200" s="8"/>
      <c r="Z200" s="7"/>
      <c r="AA200" s="8"/>
    </row>
    <row r="201" spans="4:27" ht="14.25" thickTop="1" thickBot="1">
      <c r="D201" s="66"/>
      <c r="E201" s="52" t="s">
        <v>880</v>
      </c>
      <c r="F201" s="7"/>
      <c r="G201" s="8"/>
      <c r="H201" s="7"/>
      <c r="I201" s="6"/>
      <c r="J201" s="7"/>
      <c r="K201" s="8"/>
      <c r="L201" s="7"/>
      <c r="M201" s="8"/>
      <c r="N201" s="7"/>
      <c r="O201" s="8"/>
      <c r="P201" s="7"/>
      <c r="Q201" s="7"/>
      <c r="R201" s="8"/>
      <c r="S201" s="7"/>
      <c r="T201" s="9"/>
      <c r="U201" s="7"/>
      <c r="V201" s="8"/>
      <c r="W201" s="7"/>
      <c r="X201" s="7"/>
      <c r="Y201" s="8"/>
      <c r="Z201" s="7"/>
      <c r="AA201" s="8"/>
    </row>
    <row r="202" spans="4:27" ht="14.25" thickTop="1" thickBot="1">
      <c r="D202" s="66"/>
      <c r="E202" s="52" t="s">
        <v>457</v>
      </c>
      <c r="F202" s="7"/>
      <c r="G202" s="8"/>
      <c r="H202" s="7"/>
      <c r="I202" s="6"/>
      <c r="J202" s="7"/>
      <c r="K202" s="8"/>
      <c r="L202" s="7"/>
      <c r="M202" s="8"/>
      <c r="N202" s="7"/>
      <c r="O202" s="8"/>
      <c r="P202" s="7"/>
      <c r="Q202" s="7"/>
      <c r="R202" s="8"/>
      <c r="S202" s="7"/>
      <c r="T202" s="9"/>
      <c r="U202" s="7"/>
      <c r="V202" s="8"/>
      <c r="W202" s="7"/>
      <c r="X202" s="7"/>
      <c r="Y202" s="8"/>
      <c r="Z202" s="7"/>
      <c r="AA202" s="8"/>
    </row>
    <row r="203" spans="4:27" ht="14.25" thickTop="1" thickBot="1">
      <c r="D203" s="66"/>
      <c r="E203" s="52" t="s">
        <v>460</v>
      </c>
      <c r="F203" s="7"/>
      <c r="G203" s="8"/>
      <c r="H203" s="7"/>
      <c r="I203" s="6"/>
      <c r="J203" s="7"/>
      <c r="K203" s="8"/>
      <c r="L203" s="7"/>
      <c r="M203" s="8"/>
      <c r="N203" s="7"/>
      <c r="O203" s="8"/>
      <c r="P203" s="7"/>
      <c r="Q203" s="7"/>
      <c r="R203" s="8"/>
      <c r="S203" s="7"/>
      <c r="T203" s="9"/>
      <c r="U203" s="7"/>
      <c r="V203" s="8"/>
      <c r="W203" s="7"/>
      <c r="X203" s="7"/>
      <c r="Y203" s="8"/>
      <c r="Z203" s="7"/>
      <c r="AA203" s="8"/>
    </row>
    <row r="204" spans="4:27" ht="14.25" thickTop="1" thickBot="1">
      <c r="D204" s="66"/>
      <c r="E204" s="52" t="s">
        <v>491</v>
      </c>
      <c r="F204" s="7"/>
      <c r="G204" s="8"/>
      <c r="H204" s="7"/>
      <c r="I204" s="6"/>
      <c r="J204" s="7"/>
      <c r="K204" s="8"/>
      <c r="L204" s="7"/>
      <c r="M204" s="8"/>
      <c r="N204" s="7"/>
      <c r="O204" s="8"/>
      <c r="P204" s="7"/>
      <c r="Q204" s="7"/>
      <c r="R204" s="8"/>
      <c r="S204" s="7"/>
      <c r="T204" s="9"/>
      <c r="U204" s="7"/>
      <c r="V204" s="8"/>
      <c r="W204" s="7"/>
      <c r="X204" s="7"/>
      <c r="Y204" s="8"/>
      <c r="Z204" s="7"/>
      <c r="AA204" s="8"/>
    </row>
    <row r="205" spans="4:27" ht="14.25" thickTop="1" thickBot="1">
      <c r="D205" s="66"/>
      <c r="E205" s="52" t="s">
        <v>463</v>
      </c>
      <c r="F205" s="7"/>
      <c r="G205" s="8"/>
      <c r="H205" s="7"/>
      <c r="I205" s="6"/>
      <c r="J205" s="7"/>
      <c r="K205" s="8"/>
      <c r="L205" s="7"/>
      <c r="M205" s="8"/>
      <c r="N205" s="7"/>
      <c r="O205" s="8"/>
      <c r="P205" s="7"/>
      <c r="Q205" s="7"/>
      <c r="R205" s="8"/>
      <c r="S205" s="7"/>
      <c r="T205" s="9"/>
      <c r="U205" s="7"/>
      <c r="V205" s="8"/>
      <c r="W205" s="7"/>
      <c r="X205" s="7"/>
      <c r="Y205" s="8"/>
      <c r="Z205" s="7"/>
      <c r="AA205" s="8"/>
    </row>
    <row r="206" spans="4:27" ht="14.25" thickTop="1" thickBot="1">
      <c r="D206" s="66"/>
      <c r="E206" s="52" t="s">
        <v>490</v>
      </c>
      <c r="F206" s="7"/>
      <c r="G206" s="8"/>
      <c r="H206" s="7"/>
      <c r="I206" s="6"/>
      <c r="J206" s="7"/>
      <c r="K206" s="8"/>
      <c r="L206" s="7"/>
      <c r="M206" s="8"/>
      <c r="N206" s="7"/>
      <c r="O206" s="8"/>
      <c r="P206" s="7"/>
      <c r="Q206" s="7"/>
      <c r="R206" s="8"/>
      <c r="S206" s="7"/>
      <c r="T206" s="9"/>
      <c r="U206" s="7"/>
      <c r="V206" s="8"/>
      <c r="W206" s="7"/>
      <c r="X206" s="7"/>
      <c r="Y206" s="8"/>
      <c r="Z206" s="7"/>
      <c r="AA206" s="8"/>
    </row>
    <row r="207" spans="4:27" ht="14.25" thickTop="1" thickBot="1">
      <c r="D207" s="66"/>
      <c r="E207" s="52" t="s">
        <v>504</v>
      </c>
      <c r="F207" s="7"/>
      <c r="G207" s="8"/>
      <c r="H207" s="7"/>
      <c r="I207" s="6"/>
      <c r="J207" s="7"/>
      <c r="K207" s="8"/>
      <c r="L207" s="7"/>
      <c r="M207" s="8"/>
      <c r="N207" s="7"/>
      <c r="O207" s="8"/>
      <c r="P207" s="7"/>
      <c r="Q207" s="7"/>
      <c r="R207" s="8"/>
      <c r="S207" s="7"/>
      <c r="T207" s="9"/>
      <c r="U207" s="7"/>
      <c r="V207" s="8"/>
      <c r="W207" s="7"/>
      <c r="X207" s="7"/>
      <c r="Y207" s="8"/>
      <c r="Z207" s="7"/>
      <c r="AA207" s="8"/>
    </row>
    <row r="208" spans="4:27" ht="14.25" thickTop="1" thickBot="1">
      <c r="D208" s="66"/>
      <c r="E208" s="52" t="s">
        <v>472</v>
      </c>
      <c r="F208" s="7"/>
      <c r="G208" s="8"/>
      <c r="H208" s="7"/>
      <c r="I208" s="6"/>
      <c r="J208" s="7"/>
      <c r="K208" s="8"/>
      <c r="L208" s="7"/>
      <c r="M208" s="8"/>
      <c r="N208" s="7"/>
      <c r="O208" s="8"/>
      <c r="P208" s="7"/>
      <c r="Q208" s="7"/>
      <c r="R208" s="8"/>
      <c r="S208" s="7"/>
      <c r="T208" s="9"/>
      <c r="U208" s="7"/>
      <c r="V208" s="8"/>
      <c r="W208" s="7"/>
      <c r="X208" s="7"/>
      <c r="Y208" s="8"/>
      <c r="Z208" s="7"/>
      <c r="AA208" s="8"/>
    </row>
    <row r="209" spans="4:27" ht="14.25" thickTop="1" thickBot="1">
      <c r="D209" s="66"/>
      <c r="E209" s="52" t="s">
        <v>360</v>
      </c>
      <c r="F209" s="7"/>
      <c r="G209" s="8"/>
      <c r="H209" s="7"/>
      <c r="I209" s="6"/>
      <c r="J209" s="7"/>
      <c r="K209" s="8"/>
      <c r="L209" s="7"/>
      <c r="M209" s="8"/>
      <c r="N209" s="7"/>
      <c r="O209" s="8"/>
      <c r="P209" s="7"/>
      <c r="Q209" s="7"/>
      <c r="R209" s="8"/>
      <c r="S209" s="7"/>
      <c r="T209" s="9"/>
      <c r="U209" s="7"/>
      <c r="V209" s="8"/>
      <c r="W209" s="7"/>
      <c r="X209" s="7"/>
      <c r="Y209" s="8"/>
      <c r="Z209" s="7"/>
      <c r="AA209" s="8"/>
    </row>
    <row r="210" spans="4:27" ht="14.25" thickTop="1" thickBot="1">
      <c r="D210" s="66"/>
      <c r="E210" s="52" t="s">
        <v>499</v>
      </c>
      <c r="F210" s="7"/>
      <c r="G210" s="8"/>
      <c r="H210" s="7"/>
      <c r="I210" s="6"/>
      <c r="J210" s="7"/>
      <c r="K210" s="8"/>
      <c r="L210" s="7"/>
      <c r="M210" s="8"/>
      <c r="N210" s="7"/>
      <c r="O210" s="8"/>
      <c r="P210" s="7"/>
      <c r="Q210" s="7"/>
      <c r="R210" s="8"/>
      <c r="S210" s="7"/>
      <c r="T210" s="9"/>
      <c r="U210" s="7"/>
      <c r="V210" s="8"/>
      <c r="W210" s="7"/>
      <c r="X210" s="7"/>
      <c r="Y210" s="8"/>
      <c r="Z210" s="7"/>
      <c r="AA210" s="8"/>
    </row>
    <row r="211" spans="4:27" ht="14.25" thickTop="1" thickBot="1">
      <c r="D211" s="66"/>
      <c r="E211" s="52" t="s">
        <v>505</v>
      </c>
      <c r="F211" s="7"/>
      <c r="G211" s="8"/>
      <c r="H211" s="7"/>
      <c r="I211" s="6"/>
      <c r="J211" s="7"/>
      <c r="K211" s="8"/>
      <c r="L211" s="7"/>
      <c r="M211" s="8"/>
      <c r="N211" s="7"/>
      <c r="O211" s="8"/>
      <c r="P211" s="7"/>
      <c r="Q211" s="7"/>
      <c r="R211" s="8"/>
      <c r="S211" s="7"/>
      <c r="T211" s="9"/>
      <c r="U211" s="7"/>
      <c r="V211" s="8"/>
      <c r="W211" s="7"/>
      <c r="X211" s="7"/>
      <c r="Y211" s="8"/>
      <c r="Z211" s="7"/>
      <c r="AA211" s="8"/>
    </row>
    <row r="212" spans="4:27" ht="14.25" thickTop="1" thickBot="1">
      <c r="D212" s="66"/>
      <c r="E212" s="52" t="s">
        <v>470</v>
      </c>
      <c r="F212" s="7"/>
      <c r="G212" s="8"/>
      <c r="H212" s="7"/>
      <c r="I212" s="6"/>
      <c r="J212" s="7"/>
      <c r="K212" s="8"/>
      <c r="L212" s="7"/>
      <c r="M212" s="8"/>
      <c r="N212" s="7"/>
      <c r="O212" s="8"/>
      <c r="P212" s="7"/>
      <c r="Q212" s="7"/>
      <c r="R212" s="8"/>
      <c r="S212" s="7"/>
      <c r="T212" s="9"/>
      <c r="U212" s="7"/>
      <c r="V212" s="8"/>
      <c r="W212" s="7"/>
      <c r="X212" s="7"/>
      <c r="Y212" s="8"/>
      <c r="Z212" s="7"/>
      <c r="AA212" s="8"/>
    </row>
    <row r="213" spans="4:27" ht="14.25" thickTop="1" thickBot="1">
      <c r="D213" s="66"/>
      <c r="E213" s="52" t="s">
        <v>907</v>
      </c>
      <c r="F213" s="7"/>
      <c r="G213" s="8"/>
      <c r="H213" s="7"/>
      <c r="I213" s="6"/>
      <c r="J213" s="7"/>
      <c r="K213" s="8"/>
      <c r="L213" s="7"/>
      <c r="M213" s="8"/>
      <c r="N213" s="7"/>
      <c r="O213" s="8"/>
      <c r="P213" s="7"/>
      <c r="Q213" s="7"/>
      <c r="R213" s="8"/>
      <c r="S213" s="7"/>
      <c r="T213" s="9"/>
      <c r="U213" s="7"/>
      <c r="V213" s="8"/>
      <c r="W213" s="7"/>
      <c r="X213" s="7"/>
      <c r="Y213" s="8"/>
      <c r="Z213" s="7"/>
      <c r="AA213" s="8"/>
    </row>
    <row r="214" spans="4:27" ht="14.25" thickTop="1" thickBot="1">
      <c r="D214" s="66"/>
      <c r="E214" s="52" t="s">
        <v>1092</v>
      </c>
      <c r="F214" s="7"/>
      <c r="G214" s="8"/>
      <c r="H214" s="7"/>
      <c r="I214" s="6"/>
      <c r="J214" s="7"/>
      <c r="K214" s="8"/>
      <c r="L214" s="7"/>
      <c r="M214" s="8"/>
      <c r="N214" s="7"/>
      <c r="O214" s="8"/>
      <c r="P214" s="7"/>
      <c r="Q214" s="7"/>
      <c r="R214" s="8"/>
      <c r="S214" s="7"/>
      <c r="T214" s="9"/>
      <c r="U214" s="7"/>
      <c r="V214" s="8"/>
      <c r="W214" s="7"/>
      <c r="X214" s="7"/>
      <c r="Y214" s="8"/>
      <c r="Z214" s="7"/>
      <c r="AA214" s="8"/>
    </row>
    <row r="215" spans="4:27" ht="14.25" thickTop="1" thickBot="1">
      <c r="D215" s="66"/>
      <c r="E215" s="52" t="s">
        <v>498</v>
      </c>
      <c r="F215" s="7"/>
      <c r="G215" s="8"/>
      <c r="H215" s="7"/>
      <c r="I215" s="6"/>
      <c r="J215" s="7"/>
      <c r="K215" s="8"/>
      <c r="L215" s="7"/>
      <c r="M215" s="8"/>
      <c r="N215" s="7"/>
      <c r="O215" s="8"/>
      <c r="P215" s="7"/>
      <c r="Q215" s="7"/>
      <c r="R215" s="8"/>
      <c r="S215" s="7"/>
      <c r="T215" s="9"/>
      <c r="U215" s="7"/>
      <c r="V215" s="8"/>
      <c r="W215" s="7"/>
      <c r="X215" s="7"/>
      <c r="Y215" s="8"/>
      <c r="Z215" s="7"/>
      <c r="AA215" s="8"/>
    </row>
    <row r="216" spans="4:27" ht="14.25" thickTop="1" thickBot="1">
      <c r="D216" s="66"/>
      <c r="E216" s="52" t="s">
        <v>471</v>
      </c>
      <c r="F216" s="7"/>
      <c r="G216" s="8"/>
      <c r="H216" s="7"/>
      <c r="I216" s="6"/>
      <c r="J216" s="7"/>
      <c r="K216" s="8"/>
      <c r="L216" s="7"/>
      <c r="M216" s="8"/>
      <c r="N216" s="7"/>
      <c r="O216" s="8"/>
      <c r="P216" s="7"/>
      <c r="Q216" s="7"/>
      <c r="R216" s="8"/>
      <c r="S216" s="7"/>
      <c r="T216" s="9"/>
      <c r="U216" s="7"/>
      <c r="V216" s="8"/>
      <c r="W216" s="7"/>
      <c r="X216" s="7"/>
      <c r="Y216" s="8"/>
      <c r="Z216" s="7"/>
      <c r="AA216" s="8"/>
    </row>
    <row r="217" spans="4:27" ht="14.25" thickTop="1" thickBot="1">
      <c r="D217" s="66"/>
      <c r="E217" s="52" t="s">
        <v>507</v>
      </c>
      <c r="F217" s="7"/>
      <c r="G217" s="8"/>
      <c r="H217" s="7"/>
      <c r="I217" s="6"/>
      <c r="J217" s="7"/>
      <c r="K217" s="8"/>
      <c r="L217" s="7"/>
      <c r="M217" s="8"/>
      <c r="N217" s="7"/>
      <c r="O217" s="8"/>
      <c r="P217" s="7"/>
      <c r="Q217" s="7"/>
      <c r="R217" s="8"/>
      <c r="S217" s="7"/>
      <c r="T217" s="9"/>
      <c r="U217" s="7"/>
      <c r="V217" s="8"/>
      <c r="W217" s="7"/>
      <c r="X217" s="7"/>
      <c r="Y217" s="8"/>
      <c r="Z217" s="7"/>
      <c r="AA217" s="8"/>
    </row>
    <row r="218" spans="4:27" ht="14.25" thickTop="1" thickBot="1">
      <c r="D218" s="66"/>
      <c r="E218" s="52" t="s">
        <v>506</v>
      </c>
      <c r="F218" s="7"/>
      <c r="G218" s="8"/>
      <c r="H218" s="7"/>
      <c r="I218" s="6"/>
      <c r="J218" s="7"/>
      <c r="K218" s="8"/>
      <c r="L218" s="7"/>
      <c r="M218" s="8"/>
      <c r="N218" s="7"/>
      <c r="O218" s="8"/>
      <c r="P218" s="7"/>
      <c r="Q218" s="7"/>
      <c r="R218" s="8"/>
      <c r="S218" s="7"/>
      <c r="T218" s="9"/>
      <c r="U218" s="7"/>
      <c r="V218" s="8"/>
      <c r="W218" s="7"/>
      <c r="X218" s="7"/>
      <c r="Y218" s="8"/>
      <c r="Z218" s="7"/>
      <c r="AA218" s="8"/>
    </row>
    <row r="219" spans="4:27" ht="14.25" thickTop="1" thickBot="1">
      <c r="D219" s="66"/>
      <c r="E219" s="52" t="s">
        <v>913</v>
      </c>
      <c r="F219" s="7"/>
      <c r="G219" s="8"/>
      <c r="H219" s="7"/>
      <c r="I219" s="6"/>
      <c r="J219" s="7"/>
      <c r="K219" s="8"/>
      <c r="L219" s="7"/>
      <c r="M219" s="8"/>
      <c r="N219" s="7"/>
      <c r="O219" s="8"/>
      <c r="P219" s="7"/>
      <c r="Q219" s="7"/>
      <c r="R219" s="8"/>
      <c r="S219" s="7"/>
      <c r="T219" s="9"/>
      <c r="U219" s="7"/>
      <c r="V219" s="8"/>
      <c r="W219" s="7"/>
      <c r="X219" s="7"/>
      <c r="Y219" s="8"/>
      <c r="Z219" s="7"/>
      <c r="AA219" s="8"/>
    </row>
    <row r="220" spans="4:27" ht="14.25" thickTop="1" thickBot="1">
      <c r="D220" s="66"/>
      <c r="E220" s="52" t="s">
        <v>473</v>
      </c>
      <c r="F220" s="7"/>
      <c r="G220" s="8"/>
      <c r="H220" s="7"/>
      <c r="I220" s="6"/>
      <c r="J220" s="7"/>
      <c r="K220" s="8"/>
      <c r="L220" s="7"/>
      <c r="M220" s="8"/>
      <c r="N220" s="7"/>
      <c r="O220" s="8"/>
      <c r="P220" s="7"/>
      <c r="Q220" s="7"/>
      <c r="R220" s="8"/>
      <c r="S220" s="7"/>
      <c r="T220" s="9"/>
      <c r="U220" s="7"/>
      <c r="V220" s="8"/>
      <c r="W220" s="7"/>
      <c r="X220" s="7"/>
      <c r="Y220" s="8"/>
      <c r="Z220" s="7"/>
      <c r="AA220" s="8"/>
    </row>
    <row r="221" spans="4:27" ht="14.25" thickTop="1" thickBot="1">
      <c r="D221" s="66"/>
      <c r="E221" s="52" t="s">
        <v>906</v>
      </c>
      <c r="F221" s="7"/>
      <c r="G221" s="8"/>
      <c r="H221" s="7"/>
      <c r="I221" s="6"/>
      <c r="J221" s="7"/>
      <c r="K221" s="8"/>
      <c r="L221" s="7"/>
      <c r="M221" s="8"/>
      <c r="N221" s="7"/>
      <c r="O221" s="8"/>
      <c r="P221" s="7"/>
      <c r="Q221" s="7"/>
      <c r="R221" s="8"/>
      <c r="S221" s="7"/>
      <c r="T221" s="9"/>
      <c r="U221" s="7"/>
      <c r="V221" s="8"/>
      <c r="W221" s="7"/>
      <c r="X221" s="7"/>
      <c r="Y221" s="8"/>
      <c r="Z221" s="7"/>
      <c r="AA221" s="8"/>
    </row>
    <row r="222" spans="4:27" ht="14.25" thickTop="1" thickBot="1">
      <c r="D222" s="66"/>
      <c r="E222" s="52" t="s">
        <v>508</v>
      </c>
      <c r="F222" s="7"/>
      <c r="G222" s="8"/>
      <c r="H222" s="7"/>
      <c r="I222" s="6"/>
      <c r="J222" s="7"/>
      <c r="K222" s="8"/>
      <c r="L222" s="7"/>
      <c r="M222" s="8"/>
      <c r="N222" s="7"/>
      <c r="O222" s="8"/>
      <c r="P222" s="7"/>
      <c r="Q222" s="7"/>
      <c r="R222" s="8"/>
      <c r="S222" s="7"/>
      <c r="T222" s="9"/>
      <c r="U222" s="7"/>
      <c r="V222" s="8"/>
      <c r="W222" s="7"/>
      <c r="X222" s="7"/>
      <c r="Y222" s="8"/>
      <c r="Z222" s="7"/>
      <c r="AA222" s="8"/>
    </row>
    <row r="223" spans="4:27" ht="14.25" thickTop="1" thickBot="1">
      <c r="D223" s="66"/>
      <c r="E223" s="52" t="s">
        <v>492</v>
      </c>
      <c r="F223" s="7"/>
      <c r="G223" s="8"/>
      <c r="H223" s="7"/>
      <c r="I223" s="6"/>
      <c r="J223" s="7"/>
      <c r="K223" s="8"/>
      <c r="L223" s="7"/>
      <c r="M223" s="8"/>
      <c r="N223" s="7"/>
      <c r="O223" s="8"/>
      <c r="P223" s="7"/>
      <c r="Q223" s="7"/>
      <c r="R223" s="8"/>
      <c r="S223" s="7"/>
      <c r="T223" s="9"/>
      <c r="U223" s="7"/>
      <c r="V223" s="8"/>
      <c r="W223" s="7"/>
      <c r="X223" s="7"/>
      <c r="Y223" s="8"/>
      <c r="Z223" s="7"/>
      <c r="AA223" s="8"/>
    </row>
    <row r="224" spans="4:27" ht="14.25" thickTop="1" thickBot="1">
      <c r="D224" s="66"/>
      <c r="E224" s="52" t="s">
        <v>501</v>
      </c>
      <c r="F224" s="7"/>
      <c r="G224" s="8"/>
      <c r="H224" s="7"/>
      <c r="I224" s="6"/>
      <c r="J224" s="7"/>
      <c r="K224" s="8"/>
      <c r="L224" s="7"/>
      <c r="M224" s="8"/>
      <c r="N224" s="7"/>
      <c r="O224" s="8"/>
      <c r="P224" s="7"/>
      <c r="Q224" s="7"/>
      <c r="R224" s="8"/>
      <c r="S224" s="7"/>
      <c r="T224" s="9"/>
      <c r="U224" s="7"/>
      <c r="V224" s="8"/>
      <c r="W224" s="7"/>
      <c r="X224" s="7"/>
      <c r="Y224" s="8"/>
      <c r="Z224" s="7"/>
      <c r="AA224" s="8"/>
    </row>
    <row r="225" spans="4:27" ht="14.25" thickTop="1" thickBot="1">
      <c r="D225" s="66"/>
      <c r="E225" s="52" t="s">
        <v>884</v>
      </c>
      <c r="F225" s="7"/>
      <c r="G225" s="8"/>
      <c r="H225" s="7"/>
      <c r="I225" s="6"/>
      <c r="J225" s="7"/>
      <c r="K225" s="8"/>
      <c r="L225" s="7"/>
      <c r="M225" s="8"/>
      <c r="N225" s="7"/>
      <c r="O225" s="8"/>
      <c r="P225" s="7"/>
      <c r="Q225" s="7"/>
      <c r="R225" s="8"/>
      <c r="S225" s="7"/>
      <c r="T225" s="9"/>
      <c r="U225" s="7"/>
      <c r="V225" s="8"/>
      <c r="W225" s="7"/>
      <c r="X225" s="7"/>
      <c r="Y225" s="8"/>
      <c r="Z225" s="7"/>
      <c r="AA225" s="8"/>
    </row>
    <row r="226" spans="4:27" ht="14.25" thickTop="1" thickBot="1">
      <c r="D226" s="66"/>
      <c r="E226" s="52" t="s">
        <v>479</v>
      </c>
      <c r="F226" s="7"/>
      <c r="G226" s="8"/>
      <c r="H226" s="7"/>
      <c r="I226" s="6"/>
      <c r="J226" s="7"/>
      <c r="K226" s="8"/>
      <c r="L226" s="7"/>
      <c r="M226" s="8"/>
      <c r="N226" s="7"/>
      <c r="O226" s="8"/>
      <c r="P226" s="7"/>
      <c r="Q226" s="7"/>
      <c r="R226" s="8"/>
      <c r="S226" s="7"/>
      <c r="T226" s="9"/>
      <c r="U226" s="7"/>
      <c r="V226" s="8"/>
      <c r="W226" s="7"/>
      <c r="X226" s="7"/>
      <c r="Y226" s="8"/>
      <c r="Z226" s="7"/>
      <c r="AA226" s="8"/>
    </row>
    <row r="227" spans="4:27" ht="14.25" thickTop="1" thickBot="1">
      <c r="D227" s="66"/>
      <c r="E227" s="52" t="s">
        <v>911</v>
      </c>
      <c r="F227" s="7"/>
      <c r="G227" s="8"/>
      <c r="H227" s="7"/>
      <c r="I227" s="6"/>
      <c r="J227" s="7"/>
      <c r="K227" s="8"/>
      <c r="L227" s="7"/>
      <c r="M227" s="8"/>
      <c r="N227" s="7"/>
      <c r="O227" s="8"/>
      <c r="P227" s="7"/>
      <c r="Q227" s="7"/>
      <c r="R227" s="8"/>
      <c r="S227" s="7"/>
      <c r="T227" s="9"/>
      <c r="U227" s="7"/>
      <c r="V227" s="8"/>
      <c r="W227" s="7"/>
      <c r="X227" s="7"/>
      <c r="Y227" s="8"/>
      <c r="Z227" s="7"/>
      <c r="AA227" s="8"/>
    </row>
    <row r="228" spans="4:27" ht="14.25" thickTop="1" thickBot="1">
      <c r="D228" s="66"/>
      <c r="E228" s="52" t="s">
        <v>493</v>
      </c>
      <c r="F228" s="7"/>
      <c r="G228" s="8"/>
      <c r="H228" s="7"/>
      <c r="I228" s="6"/>
      <c r="J228" s="7"/>
      <c r="K228" s="8"/>
      <c r="L228" s="7"/>
      <c r="M228" s="8"/>
      <c r="N228" s="7"/>
      <c r="O228" s="8"/>
      <c r="P228" s="7"/>
      <c r="Q228" s="7"/>
      <c r="R228" s="8"/>
      <c r="S228" s="7"/>
      <c r="T228" s="9"/>
      <c r="U228" s="7"/>
      <c r="V228" s="8"/>
      <c r="W228" s="7"/>
      <c r="X228" s="7"/>
      <c r="Y228" s="8"/>
      <c r="Z228" s="7"/>
      <c r="AA228" s="8"/>
    </row>
    <row r="229" spans="4:27" ht="14.25" thickTop="1" thickBot="1">
      <c r="D229" s="66"/>
      <c r="E229" s="52" t="s">
        <v>497</v>
      </c>
      <c r="F229" s="7"/>
      <c r="G229" s="8"/>
      <c r="H229" s="7"/>
      <c r="I229" s="6"/>
      <c r="J229" s="7"/>
      <c r="K229" s="8"/>
      <c r="L229" s="7"/>
      <c r="M229" s="8"/>
      <c r="N229" s="7"/>
      <c r="O229" s="8"/>
      <c r="P229" s="7"/>
      <c r="Q229" s="7"/>
      <c r="R229" s="8"/>
      <c r="S229" s="7"/>
      <c r="T229" s="9"/>
      <c r="U229" s="7"/>
      <c r="V229" s="8"/>
      <c r="W229" s="7"/>
      <c r="X229" s="7"/>
      <c r="Y229" s="8"/>
      <c r="Z229" s="7"/>
      <c r="AA229" s="8"/>
    </row>
    <row r="230" spans="4:27" ht="14.25" thickTop="1" thickBot="1">
      <c r="D230" s="66"/>
      <c r="E230" s="52" t="s">
        <v>525</v>
      </c>
      <c r="F230" s="7"/>
      <c r="G230" s="8"/>
      <c r="H230" s="7"/>
      <c r="I230" s="6"/>
      <c r="J230" s="7"/>
      <c r="K230" s="8"/>
      <c r="L230" s="7"/>
      <c r="M230" s="8"/>
      <c r="N230" s="7"/>
      <c r="O230" s="8"/>
      <c r="P230" s="7"/>
      <c r="Q230" s="7"/>
      <c r="R230" s="8"/>
      <c r="S230" s="7"/>
      <c r="T230" s="9"/>
      <c r="U230" s="7"/>
      <c r="V230" s="8"/>
      <c r="W230" s="7"/>
      <c r="X230" s="7"/>
      <c r="Y230" s="8"/>
      <c r="Z230" s="7"/>
      <c r="AA230" s="8"/>
    </row>
    <row r="231" spans="4:27" ht="14.25" thickTop="1" thickBot="1">
      <c r="D231" s="66"/>
      <c r="E231" s="52" t="s">
        <v>510</v>
      </c>
      <c r="F231" s="7"/>
      <c r="G231" s="8"/>
      <c r="H231" s="7"/>
      <c r="I231" s="6"/>
      <c r="J231" s="7"/>
      <c r="K231" s="8"/>
      <c r="L231" s="7"/>
      <c r="M231" s="8"/>
      <c r="N231" s="7"/>
      <c r="O231" s="8"/>
      <c r="P231" s="7"/>
      <c r="Q231" s="7"/>
      <c r="R231" s="8"/>
      <c r="S231" s="7"/>
      <c r="T231" s="9"/>
      <c r="U231" s="7"/>
      <c r="V231" s="8"/>
      <c r="W231" s="7"/>
      <c r="X231" s="7"/>
      <c r="Y231" s="8"/>
      <c r="Z231" s="7"/>
      <c r="AA231" s="8"/>
    </row>
    <row r="232" spans="4:27" ht="14.25" thickTop="1" thickBot="1">
      <c r="D232" s="66"/>
      <c r="E232" s="52" t="s">
        <v>914</v>
      </c>
      <c r="F232" s="7"/>
      <c r="G232" s="8"/>
      <c r="H232" s="7"/>
      <c r="I232" s="6"/>
      <c r="J232" s="7"/>
      <c r="K232" s="8"/>
      <c r="L232" s="7"/>
      <c r="M232" s="8"/>
      <c r="N232" s="7"/>
      <c r="O232" s="8"/>
      <c r="P232" s="7"/>
      <c r="Q232" s="7"/>
      <c r="R232" s="8"/>
      <c r="S232" s="7"/>
      <c r="T232" s="9"/>
      <c r="U232" s="7"/>
      <c r="V232" s="8"/>
      <c r="W232" s="7"/>
      <c r="X232" s="7"/>
      <c r="Y232" s="8"/>
      <c r="Z232" s="7"/>
      <c r="AA232" s="8"/>
    </row>
    <row r="233" spans="4:27" ht="14.25" thickTop="1" thickBot="1">
      <c r="D233" s="66"/>
      <c r="E233" s="52" t="s">
        <v>887</v>
      </c>
      <c r="F233" s="7"/>
      <c r="G233" s="8"/>
      <c r="H233" s="7"/>
      <c r="I233" s="6"/>
      <c r="J233" s="7"/>
      <c r="K233" s="8"/>
      <c r="L233" s="7"/>
      <c r="M233" s="8"/>
      <c r="N233" s="7"/>
      <c r="O233" s="8"/>
      <c r="P233" s="7"/>
      <c r="Q233" s="7"/>
      <c r="R233" s="8"/>
      <c r="S233" s="7"/>
      <c r="T233" s="9"/>
      <c r="U233" s="7"/>
      <c r="V233" s="8"/>
      <c r="W233" s="7"/>
      <c r="X233" s="7"/>
      <c r="Y233" s="8"/>
      <c r="Z233" s="7"/>
      <c r="AA233" s="8"/>
    </row>
    <row r="234" spans="4:27" ht="14.25" thickTop="1" thickBot="1">
      <c r="D234" s="66"/>
      <c r="E234" s="52" t="s">
        <v>495</v>
      </c>
      <c r="F234" s="7"/>
      <c r="G234" s="8"/>
      <c r="H234" s="7"/>
      <c r="I234" s="6"/>
      <c r="J234" s="7"/>
      <c r="K234" s="8"/>
      <c r="L234" s="7"/>
      <c r="M234" s="8"/>
      <c r="N234" s="7"/>
      <c r="O234" s="8"/>
      <c r="P234" s="7"/>
      <c r="Q234" s="7"/>
      <c r="R234" s="8"/>
      <c r="S234" s="7"/>
      <c r="T234" s="9"/>
      <c r="U234" s="7"/>
      <c r="V234" s="8"/>
      <c r="W234" s="7"/>
      <c r="X234" s="7"/>
      <c r="Y234" s="8"/>
      <c r="Z234" s="7"/>
      <c r="AA234" s="8"/>
    </row>
    <row r="235" spans="4:27" ht="14.25" thickTop="1" thickBot="1">
      <c r="D235" s="66"/>
      <c r="E235" s="52" t="s">
        <v>500</v>
      </c>
      <c r="F235" s="7"/>
      <c r="G235" s="8"/>
      <c r="H235" s="7"/>
      <c r="I235" s="6"/>
      <c r="J235" s="7"/>
      <c r="K235" s="8"/>
      <c r="L235" s="7"/>
      <c r="M235" s="8"/>
      <c r="N235" s="7"/>
      <c r="O235" s="8"/>
      <c r="P235" s="7"/>
      <c r="Q235" s="7"/>
      <c r="R235" s="8"/>
      <c r="S235" s="7"/>
      <c r="T235" s="9"/>
      <c r="U235" s="7"/>
      <c r="V235" s="8"/>
      <c r="W235" s="7"/>
      <c r="X235" s="7"/>
      <c r="Y235" s="8"/>
      <c r="Z235" s="7"/>
      <c r="AA235" s="8"/>
    </row>
    <row r="236" spans="4:27" ht="14.25" thickTop="1" thickBot="1">
      <c r="D236" s="66"/>
      <c r="E236" s="52" t="s">
        <v>452</v>
      </c>
      <c r="F236" s="7"/>
      <c r="G236" s="8"/>
      <c r="H236" s="7"/>
      <c r="I236" s="6"/>
      <c r="J236" s="7"/>
      <c r="K236" s="8"/>
      <c r="L236" s="7"/>
      <c r="M236" s="8"/>
      <c r="N236" s="7"/>
      <c r="O236" s="8"/>
      <c r="P236" s="7"/>
      <c r="Q236" s="7"/>
      <c r="R236" s="8"/>
      <c r="S236" s="7"/>
      <c r="T236" s="9"/>
      <c r="U236" s="7"/>
      <c r="V236" s="8"/>
      <c r="W236" s="7"/>
      <c r="X236" s="7"/>
      <c r="Y236" s="8"/>
      <c r="Z236" s="7"/>
      <c r="AA236" s="8"/>
    </row>
    <row r="237" spans="4:27" ht="14.25" thickTop="1" thickBot="1">
      <c r="D237" s="66"/>
      <c r="E237" s="52" t="s">
        <v>453</v>
      </c>
      <c r="F237" s="7"/>
      <c r="G237" s="8"/>
      <c r="H237" s="7"/>
      <c r="I237" s="6"/>
      <c r="J237" s="7"/>
      <c r="K237" s="8"/>
      <c r="L237" s="7"/>
      <c r="M237" s="8"/>
      <c r="N237" s="7"/>
      <c r="O237" s="8"/>
      <c r="P237" s="7"/>
      <c r="Q237" s="7"/>
      <c r="R237" s="8"/>
      <c r="S237" s="7"/>
      <c r="T237" s="9"/>
      <c r="U237" s="7"/>
      <c r="V237" s="8"/>
      <c r="W237" s="7"/>
      <c r="X237" s="7"/>
      <c r="Y237" s="8"/>
      <c r="Z237" s="7"/>
      <c r="AA237" s="8"/>
    </row>
    <row r="238" spans="4:27" ht="14.25" thickTop="1" thickBot="1">
      <c r="D238" s="66"/>
      <c r="E238" s="52" t="s">
        <v>417</v>
      </c>
      <c r="F238" s="7"/>
      <c r="G238" s="8"/>
      <c r="H238" s="7"/>
      <c r="I238" s="6"/>
      <c r="J238" s="7"/>
      <c r="K238" s="8"/>
      <c r="L238" s="7"/>
      <c r="M238" s="8"/>
      <c r="N238" s="7"/>
      <c r="O238" s="8"/>
      <c r="P238" s="7"/>
      <c r="Q238" s="7"/>
      <c r="R238" s="8"/>
      <c r="S238" s="7"/>
      <c r="T238" s="9"/>
      <c r="U238" s="7"/>
      <c r="V238" s="8"/>
      <c r="W238" s="7"/>
      <c r="X238" s="7"/>
      <c r="Y238" s="8"/>
      <c r="Z238" s="7"/>
      <c r="AA238" s="8"/>
    </row>
    <row r="239" spans="4:27" ht="14.25" thickTop="1" thickBot="1">
      <c r="D239" s="66"/>
      <c r="E239" s="52" t="s">
        <v>840</v>
      </c>
      <c r="F239" s="7"/>
      <c r="G239" s="8"/>
      <c r="H239" s="7"/>
      <c r="I239" s="6"/>
      <c r="J239" s="7"/>
      <c r="K239" s="8"/>
      <c r="L239" s="7"/>
      <c r="M239" s="8"/>
      <c r="N239" s="7"/>
      <c r="O239" s="8"/>
      <c r="P239" s="7"/>
      <c r="Q239" s="7"/>
      <c r="R239" s="8"/>
      <c r="S239" s="7"/>
      <c r="T239" s="9"/>
      <c r="U239" s="7"/>
      <c r="V239" s="8"/>
      <c r="W239" s="7"/>
      <c r="X239" s="7"/>
      <c r="Y239" s="8"/>
      <c r="Z239" s="7"/>
      <c r="AA239" s="8"/>
    </row>
    <row r="240" spans="4:27" ht="14.25" thickTop="1" thickBot="1">
      <c r="D240" s="66"/>
      <c r="E240" s="52" t="s">
        <v>865</v>
      </c>
      <c r="F240" s="7"/>
      <c r="G240" s="8"/>
      <c r="H240" s="7"/>
      <c r="I240" s="6"/>
      <c r="J240" s="7"/>
      <c r="K240" s="8"/>
      <c r="L240" s="7"/>
      <c r="M240" s="8"/>
      <c r="N240" s="7"/>
      <c r="O240" s="8"/>
      <c r="P240" s="7"/>
      <c r="Q240" s="7"/>
      <c r="R240" s="8"/>
      <c r="S240" s="7"/>
      <c r="T240" s="9"/>
      <c r="U240" s="7"/>
      <c r="V240" s="8"/>
      <c r="W240" s="7"/>
      <c r="X240" s="7"/>
      <c r="Y240" s="8"/>
      <c r="Z240" s="7"/>
      <c r="AA240" s="8"/>
    </row>
    <row r="241" spans="4:27" ht="14.25" thickTop="1" thickBot="1">
      <c r="D241" s="66"/>
      <c r="E241" s="52" t="s">
        <v>1093</v>
      </c>
      <c r="F241" s="7"/>
      <c r="G241" s="8"/>
      <c r="H241" s="7"/>
      <c r="I241" s="6"/>
      <c r="J241" s="7"/>
      <c r="K241" s="8"/>
      <c r="L241" s="7"/>
      <c r="M241" s="8"/>
      <c r="N241" s="7"/>
      <c r="O241" s="8"/>
      <c r="P241" s="7"/>
      <c r="Q241" s="7"/>
      <c r="R241" s="8"/>
      <c r="S241" s="7"/>
      <c r="T241" s="9"/>
      <c r="U241" s="7"/>
      <c r="V241" s="8"/>
      <c r="W241" s="7"/>
      <c r="X241" s="7"/>
      <c r="Y241" s="8"/>
      <c r="Z241" s="7"/>
      <c r="AA241" s="8"/>
    </row>
    <row r="242" spans="4:27" ht="14.25" thickTop="1" thickBot="1">
      <c r="D242" s="66"/>
      <c r="E242" s="52" t="s">
        <v>428</v>
      </c>
      <c r="F242" s="7"/>
      <c r="G242" s="8"/>
      <c r="H242" s="7"/>
      <c r="I242" s="6"/>
      <c r="J242" s="7"/>
      <c r="K242" s="8"/>
      <c r="L242" s="7"/>
      <c r="M242" s="8"/>
      <c r="N242" s="7"/>
      <c r="O242" s="8"/>
      <c r="P242" s="7"/>
      <c r="Q242" s="7"/>
      <c r="R242" s="8"/>
      <c r="S242" s="7"/>
      <c r="T242" s="9"/>
      <c r="U242" s="7"/>
      <c r="V242" s="8"/>
      <c r="W242" s="7"/>
      <c r="X242" s="7"/>
      <c r="Y242" s="8"/>
      <c r="Z242" s="7"/>
      <c r="AA242" s="8"/>
    </row>
    <row r="243" spans="4:27" ht="14.25" thickTop="1" thickBot="1">
      <c r="D243" s="66"/>
      <c r="E243" s="52" t="s">
        <v>302</v>
      </c>
      <c r="F243" s="7"/>
      <c r="G243" s="8"/>
      <c r="H243" s="7"/>
      <c r="I243" s="6"/>
      <c r="J243" s="7"/>
      <c r="K243" s="8"/>
      <c r="L243" s="7"/>
      <c r="M243" s="8"/>
      <c r="N243" s="7"/>
      <c r="O243" s="8"/>
      <c r="P243" s="7"/>
      <c r="Q243" s="7"/>
      <c r="R243" s="8"/>
      <c r="S243" s="7"/>
      <c r="T243" s="9"/>
      <c r="U243" s="7"/>
      <c r="V243" s="8"/>
      <c r="W243" s="7"/>
      <c r="X243" s="7"/>
      <c r="Y243" s="8"/>
      <c r="Z243" s="7"/>
      <c r="AA243" s="8"/>
    </row>
    <row r="244" spans="4:27" ht="14.25" thickTop="1" thickBot="1">
      <c r="D244" s="66"/>
      <c r="E244" s="52" t="s">
        <v>447</v>
      </c>
      <c r="F244" s="7"/>
      <c r="G244" s="8"/>
      <c r="H244" s="7"/>
      <c r="I244" s="6"/>
      <c r="J244" s="7"/>
      <c r="K244" s="8"/>
      <c r="L244" s="7"/>
      <c r="M244" s="8"/>
      <c r="N244" s="7"/>
      <c r="O244" s="8"/>
      <c r="P244" s="7"/>
      <c r="Q244" s="7"/>
      <c r="R244" s="8"/>
      <c r="S244" s="7"/>
      <c r="T244" s="9"/>
      <c r="U244" s="7"/>
      <c r="V244" s="8"/>
      <c r="W244" s="7"/>
      <c r="X244" s="7"/>
      <c r="Y244" s="8"/>
      <c r="Z244" s="7"/>
      <c r="AA244" s="8"/>
    </row>
    <row r="245" spans="4:27" ht="14.25" thickTop="1" thickBot="1">
      <c r="D245" s="66"/>
      <c r="E245" s="52" t="s">
        <v>864</v>
      </c>
      <c r="F245" s="7"/>
      <c r="G245" s="8"/>
      <c r="H245" s="7"/>
      <c r="I245" s="6"/>
      <c r="J245" s="7"/>
      <c r="K245" s="8"/>
      <c r="L245" s="7"/>
      <c r="M245" s="8"/>
      <c r="N245" s="7"/>
      <c r="O245" s="8"/>
      <c r="P245" s="7"/>
      <c r="Q245" s="7"/>
      <c r="R245" s="8"/>
      <c r="S245" s="7"/>
      <c r="T245" s="9"/>
      <c r="U245" s="7"/>
      <c r="V245" s="8"/>
      <c r="W245" s="7"/>
      <c r="X245" s="7"/>
      <c r="Y245" s="8"/>
      <c r="Z245" s="7"/>
      <c r="AA245" s="8"/>
    </row>
    <row r="246" spans="4:27" ht="14.25" thickTop="1" thickBot="1">
      <c r="D246" s="66"/>
      <c r="E246" s="52" t="s">
        <v>866</v>
      </c>
      <c r="F246" s="7"/>
      <c r="G246" s="8"/>
      <c r="H246" s="7"/>
      <c r="I246" s="6"/>
      <c r="J246" s="7"/>
      <c r="K246" s="8"/>
      <c r="L246" s="7"/>
      <c r="M246" s="8"/>
      <c r="N246" s="7"/>
      <c r="O246" s="8"/>
      <c r="P246" s="7"/>
      <c r="Q246" s="7"/>
      <c r="R246" s="8"/>
      <c r="S246" s="7"/>
      <c r="T246" s="9"/>
      <c r="U246" s="7"/>
      <c r="V246" s="8"/>
      <c r="W246" s="7"/>
      <c r="X246" s="7"/>
      <c r="Y246" s="8"/>
      <c r="Z246" s="7"/>
      <c r="AA246" s="8"/>
    </row>
    <row r="247" spans="4:27" ht="14.25" thickTop="1" thickBot="1">
      <c r="D247" s="66"/>
      <c r="E247" s="52" t="s">
        <v>454</v>
      </c>
      <c r="F247" s="7"/>
      <c r="G247" s="8"/>
      <c r="H247" s="7"/>
      <c r="I247" s="6"/>
      <c r="J247" s="7"/>
      <c r="K247" s="8"/>
      <c r="L247" s="7"/>
      <c r="M247" s="8"/>
      <c r="N247" s="7"/>
      <c r="O247" s="8"/>
      <c r="P247" s="7"/>
      <c r="Q247" s="7"/>
      <c r="R247" s="8"/>
      <c r="S247" s="7"/>
      <c r="T247" s="9"/>
      <c r="U247" s="7"/>
      <c r="V247" s="8"/>
      <c r="W247" s="7"/>
      <c r="X247" s="7"/>
      <c r="Y247" s="8"/>
      <c r="Z247" s="7"/>
      <c r="AA247" s="8"/>
    </row>
    <row r="248" spans="4:27" ht="14.25" thickTop="1" thickBot="1">
      <c r="D248" s="66"/>
      <c r="E248" s="52" t="s">
        <v>869</v>
      </c>
      <c r="F248" s="7"/>
      <c r="G248" s="8"/>
      <c r="H248" s="7"/>
      <c r="I248" s="6"/>
      <c r="J248" s="7"/>
      <c r="K248" s="8"/>
      <c r="L248" s="7"/>
      <c r="M248" s="8"/>
      <c r="N248" s="7"/>
      <c r="O248" s="8"/>
      <c r="P248" s="7"/>
      <c r="Q248" s="7"/>
      <c r="R248" s="8"/>
      <c r="S248" s="7"/>
      <c r="T248" s="9"/>
      <c r="U248" s="7"/>
      <c r="V248" s="8"/>
      <c r="W248" s="7"/>
      <c r="X248" s="7"/>
      <c r="Y248" s="8"/>
      <c r="Z248" s="7"/>
      <c r="AA248" s="8"/>
    </row>
    <row r="249" spans="4:27" ht="14.25" thickTop="1" thickBot="1">
      <c r="D249" s="66"/>
      <c r="E249" s="52" t="s">
        <v>451</v>
      </c>
      <c r="F249" s="7"/>
      <c r="G249" s="8"/>
      <c r="H249" s="7"/>
      <c r="I249" s="6"/>
      <c r="J249" s="7"/>
      <c r="K249" s="8"/>
      <c r="L249" s="7"/>
      <c r="M249" s="8"/>
      <c r="N249" s="7"/>
      <c r="O249" s="8"/>
      <c r="P249" s="7"/>
      <c r="Q249" s="7"/>
      <c r="R249" s="8"/>
      <c r="S249" s="7"/>
      <c r="T249" s="9"/>
      <c r="U249" s="7"/>
      <c r="V249" s="8"/>
      <c r="W249" s="7"/>
      <c r="X249" s="7"/>
      <c r="Y249" s="8"/>
      <c r="Z249" s="7"/>
      <c r="AA249" s="8"/>
    </row>
    <row r="250" spans="4:27" ht="14.25" thickTop="1" thickBot="1">
      <c r="D250" s="66"/>
      <c r="E250" s="52" t="s">
        <v>449</v>
      </c>
      <c r="F250" s="7"/>
      <c r="G250" s="8"/>
      <c r="H250" s="7"/>
      <c r="I250" s="6"/>
      <c r="J250" s="7"/>
      <c r="K250" s="8"/>
      <c r="L250" s="7"/>
      <c r="M250" s="8"/>
      <c r="N250" s="7"/>
      <c r="O250" s="8"/>
      <c r="P250" s="7"/>
      <c r="Q250" s="7"/>
      <c r="R250" s="8"/>
      <c r="S250" s="7"/>
      <c r="T250" s="9"/>
      <c r="U250" s="7"/>
      <c r="V250" s="8"/>
      <c r="W250" s="7"/>
      <c r="X250" s="7"/>
      <c r="Y250" s="8"/>
      <c r="Z250" s="7"/>
      <c r="AA250" s="8"/>
    </row>
    <row r="251" spans="4:27" ht="14.25" thickTop="1" thickBot="1">
      <c r="D251" s="66"/>
      <c r="E251" s="52" t="s">
        <v>446</v>
      </c>
      <c r="F251" s="7"/>
      <c r="G251" s="8"/>
      <c r="H251" s="7"/>
      <c r="I251" s="6"/>
      <c r="J251" s="7"/>
      <c r="K251" s="8"/>
      <c r="L251" s="7"/>
      <c r="M251" s="8"/>
      <c r="N251" s="7"/>
      <c r="O251" s="8"/>
      <c r="P251" s="7"/>
      <c r="Q251" s="7"/>
      <c r="R251" s="8"/>
      <c r="S251" s="7"/>
      <c r="T251" s="9"/>
      <c r="U251" s="7"/>
      <c r="V251" s="8"/>
      <c r="W251" s="7"/>
      <c r="X251" s="7"/>
      <c r="Y251" s="8"/>
      <c r="Z251" s="7"/>
      <c r="AA251" s="8"/>
    </row>
    <row r="252" spans="4:27" ht="14.25" thickTop="1" thickBot="1">
      <c r="D252" s="66"/>
      <c r="E252" s="52" t="s">
        <v>445</v>
      </c>
      <c r="F252" s="7"/>
      <c r="G252" s="8"/>
      <c r="H252" s="7"/>
      <c r="I252" s="6"/>
      <c r="J252" s="7"/>
      <c r="K252" s="8"/>
      <c r="L252" s="7"/>
      <c r="M252" s="8"/>
      <c r="N252" s="7"/>
      <c r="O252" s="8"/>
      <c r="P252" s="7"/>
      <c r="Q252" s="7"/>
      <c r="R252" s="8"/>
      <c r="S252" s="7"/>
      <c r="T252" s="9"/>
      <c r="U252" s="7"/>
      <c r="V252" s="8"/>
      <c r="W252" s="7"/>
      <c r="X252" s="7"/>
      <c r="Y252" s="8"/>
      <c r="Z252" s="7"/>
      <c r="AA252" s="8"/>
    </row>
    <row r="253" spans="4:27" ht="14.25" thickTop="1" thickBot="1">
      <c r="D253" s="66"/>
      <c r="E253" s="52" t="s">
        <v>440</v>
      </c>
      <c r="F253" s="7"/>
      <c r="G253" s="8"/>
      <c r="H253" s="7"/>
      <c r="I253" s="6"/>
      <c r="J253" s="7"/>
      <c r="K253" s="8"/>
      <c r="L253" s="7"/>
      <c r="M253" s="8"/>
      <c r="N253" s="7"/>
      <c r="O253" s="8"/>
      <c r="P253" s="7"/>
      <c r="Q253" s="7"/>
      <c r="R253" s="8"/>
      <c r="S253" s="7"/>
      <c r="T253" s="9"/>
      <c r="U253" s="7"/>
      <c r="V253" s="8"/>
      <c r="W253" s="7"/>
      <c r="X253" s="7"/>
      <c r="Y253" s="8"/>
      <c r="Z253" s="7"/>
      <c r="AA253" s="8"/>
    </row>
    <row r="254" spans="4:27" ht="14.25" thickTop="1" thickBot="1">
      <c r="D254" s="66"/>
      <c r="E254" s="52" t="s">
        <v>870</v>
      </c>
      <c r="F254" s="7"/>
      <c r="G254" s="8"/>
      <c r="H254" s="7"/>
      <c r="I254" s="6"/>
      <c r="J254" s="7"/>
      <c r="K254" s="8"/>
      <c r="L254" s="7"/>
      <c r="M254" s="8"/>
      <c r="N254" s="7"/>
      <c r="O254" s="8"/>
      <c r="P254" s="7"/>
      <c r="Q254" s="7"/>
      <c r="R254" s="8"/>
      <c r="S254" s="7"/>
      <c r="T254" s="9"/>
      <c r="U254" s="7"/>
      <c r="V254" s="8"/>
      <c r="W254" s="7"/>
      <c r="X254" s="7"/>
      <c r="Y254" s="8"/>
      <c r="Z254" s="7"/>
      <c r="AA254" s="8"/>
    </row>
    <row r="255" spans="4:27" ht="14.25" thickTop="1" thickBot="1">
      <c r="D255" s="66"/>
      <c r="E255" s="52" t="s">
        <v>868</v>
      </c>
      <c r="F255" s="7"/>
      <c r="G255" s="8"/>
      <c r="H255" s="7"/>
      <c r="I255" s="6"/>
      <c r="J255" s="7"/>
      <c r="K255" s="8"/>
      <c r="L255" s="7"/>
      <c r="M255" s="8"/>
      <c r="N255" s="7"/>
      <c r="O255" s="8"/>
      <c r="P255" s="7"/>
      <c r="Q255" s="7"/>
      <c r="R255" s="8"/>
      <c r="S255" s="7"/>
      <c r="T255" s="9"/>
      <c r="U255" s="7"/>
      <c r="V255" s="8"/>
      <c r="W255" s="7"/>
      <c r="X255" s="7"/>
      <c r="Y255" s="8"/>
      <c r="Z255" s="7"/>
      <c r="AA255" s="8"/>
    </row>
    <row r="256" spans="4:27" ht="14.25" thickTop="1" thickBot="1">
      <c r="D256" s="66"/>
      <c r="E256" s="52" t="s">
        <v>845</v>
      </c>
      <c r="F256" s="7"/>
      <c r="G256" s="8"/>
      <c r="H256" s="7"/>
      <c r="I256" s="6"/>
      <c r="J256" s="7"/>
      <c r="K256" s="8"/>
      <c r="L256" s="7"/>
      <c r="M256" s="8"/>
      <c r="N256" s="7"/>
      <c r="O256" s="8"/>
      <c r="P256" s="7"/>
      <c r="Q256" s="7"/>
      <c r="R256" s="8"/>
      <c r="S256" s="7"/>
      <c r="T256" s="9"/>
      <c r="U256" s="7"/>
      <c r="V256" s="8"/>
      <c r="W256" s="7"/>
      <c r="X256" s="7"/>
      <c r="Y256" s="8"/>
      <c r="Z256" s="7"/>
      <c r="AA256" s="8"/>
    </row>
    <row r="257" spans="4:27" ht="14.25" thickTop="1" thickBot="1">
      <c r="D257" s="66"/>
      <c r="E257" s="52" t="s">
        <v>839</v>
      </c>
      <c r="F257" s="7"/>
      <c r="G257" s="8"/>
      <c r="H257" s="7"/>
      <c r="I257" s="6"/>
      <c r="J257" s="7"/>
      <c r="K257" s="8"/>
      <c r="L257" s="7"/>
      <c r="M257" s="8"/>
      <c r="N257" s="7"/>
      <c r="O257" s="8"/>
      <c r="P257" s="7"/>
      <c r="Q257" s="7"/>
      <c r="R257" s="8"/>
      <c r="S257" s="7"/>
      <c r="T257" s="9"/>
      <c r="U257" s="7"/>
      <c r="V257" s="8"/>
      <c r="W257" s="7"/>
      <c r="X257" s="7"/>
      <c r="Y257" s="8"/>
      <c r="Z257" s="7"/>
      <c r="AA257" s="8"/>
    </row>
    <row r="258" spans="4:27" ht="14.25" thickTop="1" thickBot="1">
      <c r="D258" s="66"/>
      <c r="E258" s="52" t="s">
        <v>841</v>
      </c>
      <c r="F258" s="7"/>
      <c r="G258" s="8"/>
      <c r="H258" s="7"/>
      <c r="I258" s="6"/>
      <c r="J258" s="7"/>
      <c r="K258" s="8"/>
      <c r="L258" s="7"/>
      <c r="M258" s="8"/>
      <c r="N258" s="7"/>
      <c r="O258" s="8"/>
      <c r="P258" s="7"/>
      <c r="Q258" s="7"/>
      <c r="R258" s="8"/>
      <c r="S258" s="7"/>
      <c r="T258" s="9"/>
      <c r="U258" s="7"/>
      <c r="V258" s="8"/>
      <c r="W258" s="7"/>
      <c r="X258" s="7"/>
      <c r="Y258" s="8"/>
      <c r="Z258" s="7"/>
      <c r="AA258" s="8"/>
    </row>
    <row r="259" spans="4:27" ht="14.25" thickTop="1" thickBot="1">
      <c r="D259" s="66"/>
      <c r="E259" s="52" t="s">
        <v>842</v>
      </c>
      <c r="F259" s="7"/>
      <c r="G259" s="8"/>
      <c r="H259" s="7"/>
      <c r="I259" s="6"/>
      <c r="J259" s="7"/>
      <c r="K259" s="8"/>
      <c r="L259" s="7"/>
      <c r="M259" s="8"/>
      <c r="N259" s="7"/>
      <c r="O259" s="8"/>
      <c r="P259" s="7"/>
      <c r="Q259" s="7"/>
      <c r="R259" s="8"/>
      <c r="S259" s="7"/>
      <c r="T259" s="9"/>
      <c r="U259" s="7"/>
      <c r="V259" s="8"/>
      <c r="W259" s="7"/>
      <c r="X259" s="7"/>
      <c r="Y259" s="8"/>
      <c r="Z259" s="7"/>
      <c r="AA259" s="8"/>
    </row>
    <row r="260" spans="4:27" ht="14.25" thickTop="1" thickBot="1">
      <c r="D260" s="66"/>
      <c r="E260" s="52" t="s">
        <v>873</v>
      </c>
      <c r="F260" s="7"/>
      <c r="G260" s="8"/>
      <c r="H260" s="7"/>
      <c r="I260" s="6"/>
      <c r="J260" s="7"/>
      <c r="K260" s="8"/>
      <c r="L260" s="7"/>
      <c r="M260" s="8"/>
      <c r="N260" s="7"/>
      <c r="O260" s="8"/>
      <c r="P260" s="7"/>
      <c r="Q260" s="7"/>
      <c r="R260" s="8"/>
      <c r="S260" s="7"/>
      <c r="T260" s="9"/>
      <c r="U260" s="7"/>
      <c r="V260" s="8"/>
      <c r="W260" s="7"/>
      <c r="X260" s="7"/>
      <c r="Y260" s="8"/>
      <c r="Z260" s="7"/>
      <c r="AA260" s="8"/>
    </row>
    <row r="261" spans="4:27" ht="14.25" thickTop="1" thickBot="1">
      <c r="D261" s="66"/>
      <c r="E261" s="52" t="s">
        <v>843</v>
      </c>
      <c r="F261" s="7"/>
      <c r="G261" s="8"/>
      <c r="H261" s="7"/>
      <c r="I261" s="6"/>
      <c r="J261" s="7"/>
      <c r="K261" s="8"/>
      <c r="L261" s="7"/>
      <c r="M261" s="8"/>
      <c r="N261" s="7"/>
      <c r="O261" s="8"/>
      <c r="P261" s="7"/>
      <c r="Q261" s="7"/>
      <c r="R261" s="8"/>
      <c r="S261" s="7"/>
      <c r="T261" s="9"/>
      <c r="U261" s="7"/>
      <c r="V261" s="8"/>
      <c r="W261" s="7"/>
      <c r="X261" s="7"/>
      <c r="Y261" s="8"/>
      <c r="Z261" s="7"/>
      <c r="AA261" s="8"/>
    </row>
    <row r="262" spans="4:27" ht="14.25" thickTop="1" thickBot="1">
      <c r="D262" s="66"/>
      <c r="E262" s="52" t="s">
        <v>844</v>
      </c>
      <c r="F262" s="7"/>
      <c r="G262" s="8"/>
      <c r="H262" s="7"/>
      <c r="I262" s="6"/>
      <c r="J262" s="7"/>
      <c r="K262" s="8"/>
      <c r="L262" s="7"/>
      <c r="M262" s="8"/>
      <c r="N262" s="7"/>
      <c r="O262" s="8"/>
      <c r="P262" s="7"/>
      <c r="Q262" s="7"/>
      <c r="R262" s="8"/>
      <c r="S262" s="7"/>
      <c r="T262" s="9"/>
      <c r="U262" s="7"/>
      <c r="V262" s="8"/>
      <c r="W262" s="7"/>
      <c r="X262" s="7"/>
      <c r="Y262" s="8"/>
      <c r="Z262" s="7"/>
      <c r="AA262" s="8"/>
    </row>
    <row r="263" spans="4:27" ht="14.25" thickTop="1" thickBot="1">
      <c r="D263" s="66"/>
      <c r="E263" s="52" t="s">
        <v>422</v>
      </c>
      <c r="F263" s="7"/>
      <c r="G263" s="8"/>
      <c r="H263" s="7"/>
      <c r="I263" s="6"/>
      <c r="J263" s="7"/>
      <c r="K263" s="8"/>
      <c r="L263" s="7"/>
      <c r="M263" s="8"/>
      <c r="N263" s="7"/>
      <c r="O263" s="8"/>
      <c r="P263" s="7"/>
      <c r="Q263" s="7"/>
      <c r="R263" s="8"/>
      <c r="S263" s="7"/>
      <c r="T263" s="9"/>
      <c r="U263" s="7"/>
      <c r="V263" s="8"/>
      <c r="W263" s="7"/>
      <c r="X263" s="7"/>
      <c r="Y263" s="8"/>
      <c r="Z263" s="7"/>
      <c r="AA263" s="8"/>
    </row>
    <row r="264" spans="4:27" ht="14.25" thickTop="1" thickBot="1">
      <c r="D264" s="66"/>
      <c r="E264" s="52" t="s">
        <v>443</v>
      </c>
      <c r="F264" s="7"/>
      <c r="G264" s="8"/>
      <c r="H264" s="7"/>
      <c r="I264" s="6"/>
      <c r="J264" s="7"/>
      <c r="K264" s="8"/>
      <c r="L264" s="7"/>
      <c r="M264" s="8"/>
      <c r="N264" s="7"/>
      <c r="O264" s="8"/>
      <c r="P264" s="7"/>
      <c r="Q264" s="7"/>
      <c r="R264" s="8"/>
      <c r="S264" s="7"/>
      <c r="T264" s="9"/>
      <c r="U264" s="7"/>
      <c r="V264" s="8"/>
      <c r="W264" s="7"/>
      <c r="X264" s="7"/>
      <c r="Y264" s="8"/>
      <c r="Z264" s="7"/>
      <c r="AA264" s="8"/>
    </row>
    <row r="265" spans="4:27" ht="14.25" thickTop="1" thickBot="1">
      <c r="D265" s="66"/>
      <c r="E265" s="52" t="s">
        <v>437</v>
      </c>
      <c r="F265" s="7"/>
      <c r="G265" s="8"/>
      <c r="H265" s="7"/>
      <c r="I265" s="6"/>
      <c r="J265" s="7"/>
      <c r="K265" s="8"/>
      <c r="L265" s="7"/>
      <c r="M265" s="8"/>
      <c r="N265" s="7"/>
      <c r="O265" s="8"/>
      <c r="P265" s="7"/>
      <c r="Q265" s="7"/>
      <c r="R265" s="8"/>
      <c r="S265" s="7"/>
      <c r="T265" s="9"/>
      <c r="U265" s="7"/>
      <c r="V265" s="8"/>
      <c r="W265" s="7"/>
      <c r="X265" s="7"/>
      <c r="Y265" s="8"/>
      <c r="Z265" s="7"/>
      <c r="AA265" s="8"/>
    </row>
    <row r="266" spans="4:27" ht="14.25" thickTop="1" thickBot="1">
      <c r="D266" s="66"/>
      <c r="E266" s="52" t="s">
        <v>420</v>
      </c>
      <c r="F266" s="7"/>
      <c r="G266" s="8"/>
      <c r="H266" s="7"/>
      <c r="I266" s="6"/>
      <c r="J266" s="7"/>
      <c r="K266" s="8"/>
      <c r="L266" s="7"/>
      <c r="M266" s="8"/>
      <c r="N266" s="7"/>
      <c r="O266" s="8"/>
      <c r="P266" s="7"/>
      <c r="Q266" s="7"/>
      <c r="R266" s="8"/>
      <c r="S266" s="7"/>
      <c r="T266" s="9"/>
      <c r="U266" s="7"/>
      <c r="V266" s="8"/>
      <c r="W266" s="7"/>
      <c r="X266" s="7"/>
      <c r="Y266" s="8"/>
      <c r="Z266" s="7"/>
      <c r="AA266" s="8"/>
    </row>
    <row r="267" spans="4:27" ht="14.25" thickTop="1" thickBot="1">
      <c r="D267" s="66"/>
      <c r="E267" s="52" t="s">
        <v>424</v>
      </c>
      <c r="F267" s="7"/>
      <c r="G267" s="8"/>
      <c r="H267" s="7"/>
      <c r="I267" s="6"/>
      <c r="J267" s="7"/>
      <c r="K267" s="8"/>
      <c r="L267" s="7"/>
      <c r="M267" s="8"/>
      <c r="N267" s="7"/>
      <c r="O267" s="8"/>
      <c r="P267" s="7"/>
      <c r="Q267" s="7"/>
      <c r="R267" s="8"/>
      <c r="S267" s="7"/>
      <c r="T267" s="9"/>
      <c r="U267" s="7"/>
      <c r="V267" s="8"/>
      <c r="W267" s="7"/>
      <c r="X267" s="7"/>
      <c r="Y267" s="8"/>
      <c r="Z267" s="7"/>
      <c r="AA267" s="8"/>
    </row>
    <row r="268" spans="4:27" ht="14.25" thickTop="1" thickBot="1">
      <c r="D268" s="66"/>
      <c r="E268" s="52" t="s">
        <v>856</v>
      </c>
      <c r="F268" s="7"/>
      <c r="G268" s="8"/>
      <c r="H268" s="7"/>
      <c r="I268" s="6"/>
      <c r="J268" s="7"/>
      <c r="K268" s="8"/>
      <c r="L268" s="7"/>
      <c r="M268" s="8"/>
      <c r="N268" s="7"/>
      <c r="O268" s="8"/>
      <c r="P268" s="7"/>
      <c r="Q268" s="7"/>
      <c r="R268" s="8"/>
      <c r="S268" s="7"/>
      <c r="T268" s="9"/>
      <c r="U268" s="7"/>
      <c r="V268" s="8"/>
      <c r="W268" s="7"/>
      <c r="X268" s="7"/>
      <c r="Y268" s="8"/>
      <c r="Z268" s="7"/>
      <c r="AA268" s="8"/>
    </row>
    <row r="269" spans="4:27" ht="14.25" thickTop="1" thickBot="1">
      <c r="D269" s="66"/>
      <c r="E269" s="52" t="s">
        <v>863</v>
      </c>
      <c r="F269" s="7"/>
      <c r="G269" s="8"/>
      <c r="H269" s="7"/>
      <c r="I269" s="6"/>
      <c r="J269" s="7"/>
      <c r="K269" s="8"/>
      <c r="L269" s="7"/>
      <c r="M269" s="8"/>
      <c r="N269" s="7"/>
      <c r="O269" s="8"/>
      <c r="P269" s="7"/>
      <c r="Q269" s="7"/>
      <c r="R269" s="8"/>
      <c r="S269" s="7"/>
      <c r="T269" s="9"/>
      <c r="U269" s="7"/>
      <c r="V269" s="8"/>
      <c r="W269" s="7"/>
      <c r="X269" s="7"/>
      <c r="Y269" s="8"/>
      <c r="Z269" s="7"/>
      <c r="AA269" s="8"/>
    </row>
    <row r="270" spans="4:27" ht="14.25" thickTop="1" thickBot="1">
      <c r="D270" s="66"/>
      <c r="E270" s="52" t="s">
        <v>1270</v>
      </c>
      <c r="F270" s="7"/>
      <c r="G270" s="8"/>
      <c r="H270" s="7"/>
      <c r="I270" s="6"/>
      <c r="J270" s="7"/>
      <c r="K270" s="8"/>
      <c r="L270" s="7"/>
      <c r="M270" s="8"/>
      <c r="N270" s="7"/>
      <c r="O270" s="8"/>
      <c r="P270" s="7"/>
      <c r="Q270" s="7"/>
      <c r="R270" s="8"/>
      <c r="S270" s="7"/>
      <c r="T270" s="9"/>
      <c r="U270" s="7"/>
      <c r="V270" s="8"/>
      <c r="W270" s="7"/>
      <c r="X270" s="7"/>
      <c r="Y270" s="8"/>
      <c r="Z270" s="7"/>
      <c r="AA270" s="8"/>
    </row>
    <row r="271" spans="4:27" ht="14.25" thickTop="1" thickBot="1">
      <c r="D271" s="66"/>
      <c r="E271" s="52" t="s">
        <v>442</v>
      </c>
      <c r="F271" s="7"/>
      <c r="G271" s="8"/>
      <c r="H271" s="7"/>
      <c r="I271" s="6"/>
      <c r="J271" s="7"/>
      <c r="K271" s="8"/>
      <c r="L271" s="7"/>
      <c r="M271" s="8"/>
      <c r="N271" s="7"/>
      <c r="O271" s="8"/>
      <c r="P271" s="7"/>
      <c r="Q271" s="7"/>
      <c r="R271" s="8"/>
      <c r="S271" s="7"/>
      <c r="T271" s="9"/>
      <c r="U271" s="7"/>
      <c r="V271" s="8"/>
      <c r="W271" s="7"/>
      <c r="X271" s="7"/>
      <c r="Y271" s="8"/>
      <c r="Z271" s="7"/>
      <c r="AA271" s="8"/>
    </row>
    <row r="272" spans="4:27" ht="14.25" thickTop="1" thickBot="1">
      <c r="D272" s="66"/>
      <c r="E272" s="52" t="s">
        <v>1086</v>
      </c>
      <c r="F272" s="7"/>
      <c r="G272" s="8"/>
      <c r="H272" s="7"/>
      <c r="I272" s="6"/>
      <c r="J272" s="7"/>
      <c r="K272" s="8"/>
      <c r="L272" s="7"/>
      <c r="M272" s="8"/>
      <c r="N272" s="7"/>
      <c r="O272" s="8"/>
      <c r="P272" s="7"/>
      <c r="Q272" s="7"/>
      <c r="R272" s="8"/>
      <c r="S272" s="7"/>
      <c r="T272" s="9"/>
      <c r="U272" s="7"/>
      <c r="V272" s="8"/>
      <c r="W272" s="7"/>
      <c r="X272" s="7"/>
      <c r="Y272" s="8"/>
      <c r="Z272" s="7"/>
      <c r="AA272" s="8"/>
    </row>
    <row r="273" spans="4:27" ht="14.25" thickTop="1" thickBot="1">
      <c r="D273" s="66"/>
      <c r="E273" s="52" t="s">
        <v>1271</v>
      </c>
      <c r="F273" s="7"/>
      <c r="G273" s="8"/>
      <c r="H273" s="7"/>
      <c r="I273" s="6"/>
      <c r="J273" s="7"/>
      <c r="K273" s="8"/>
      <c r="L273" s="7"/>
      <c r="M273" s="8"/>
      <c r="N273" s="7"/>
      <c r="O273" s="8"/>
      <c r="P273" s="7"/>
      <c r="Q273" s="7"/>
      <c r="R273" s="8"/>
      <c r="S273" s="7"/>
      <c r="T273" s="9"/>
      <c r="U273" s="7"/>
      <c r="V273" s="8"/>
      <c r="W273" s="7"/>
      <c r="X273" s="7"/>
      <c r="Y273" s="8"/>
      <c r="Z273" s="7"/>
      <c r="AA273" s="8"/>
    </row>
    <row r="274" spans="4:27" ht="14.25" thickTop="1" thickBot="1">
      <c r="D274" s="66"/>
      <c r="E274" s="52" t="s">
        <v>190</v>
      </c>
      <c r="F274" s="7"/>
      <c r="G274" s="8"/>
      <c r="H274" s="7"/>
      <c r="I274" s="6"/>
      <c r="J274" s="7"/>
      <c r="K274" s="8"/>
      <c r="L274" s="7"/>
      <c r="M274" s="8"/>
      <c r="N274" s="7"/>
      <c r="O274" s="8"/>
      <c r="P274" s="7"/>
      <c r="Q274" s="7"/>
      <c r="R274" s="8"/>
      <c r="S274" s="7"/>
      <c r="T274" s="9"/>
      <c r="U274" s="7"/>
      <c r="V274" s="8"/>
      <c r="W274" s="7"/>
      <c r="X274" s="7"/>
      <c r="Y274" s="8"/>
      <c r="Z274" s="7"/>
      <c r="AA274" s="8"/>
    </row>
    <row r="275" spans="4:27" ht="14.25" thickTop="1" thickBot="1">
      <c r="D275" s="66"/>
      <c r="E275" s="52" t="s">
        <v>1094</v>
      </c>
      <c r="F275" s="7"/>
      <c r="G275" s="8"/>
      <c r="H275" s="7"/>
      <c r="I275" s="6"/>
      <c r="J275" s="7"/>
      <c r="K275" s="8"/>
      <c r="L275" s="7"/>
      <c r="M275" s="8"/>
      <c r="N275" s="7"/>
      <c r="O275" s="8"/>
      <c r="P275" s="7"/>
      <c r="Q275" s="7"/>
      <c r="R275" s="8"/>
      <c r="S275" s="7"/>
      <c r="T275" s="9"/>
      <c r="U275" s="7"/>
      <c r="V275" s="8"/>
      <c r="W275" s="7"/>
      <c r="X275" s="7"/>
      <c r="Y275" s="8"/>
      <c r="Z275" s="7"/>
      <c r="AA275" s="8"/>
    </row>
    <row r="276" spans="4:27" ht="14.25" thickTop="1" thickBot="1">
      <c r="D276" s="66"/>
      <c r="E276" s="52" t="s">
        <v>194</v>
      </c>
      <c r="F276" s="7"/>
      <c r="G276" s="8"/>
      <c r="H276" s="7"/>
      <c r="I276" s="6"/>
      <c r="J276" s="7"/>
      <c r="K276" s="8"/>
      <c r="L276" s="7"/>
      <c r="M276" s="8"/>
      <c r="N276" s="7"/>
      <c r="O276" s="8"/>
      <c r="P276" s="7"/>
      <c r="Q276" s="7"/>
      <c r="R276" s="8"/>
      <c r="S276" s="7"/>
      <c r="T276" s="9"/>
      <c r="U276" s="7"/>
      <c r="V276" s="8"/>
      <c r="W276" s="7"/>
      <c r="X276" s="7"/>
      <c r="Y276" s="8"/>
      <c r="Z276" s="7"/>
      <c r="AA276" s="8"/>
    </row>
    <row r="277" spans="4:27" ht="14.25" thickTop="1" thickBot="1">
      <c r="D277" s="66"/>
      <c r="E277" s="52" t="s">
        <v>195</v>
      </c>
      <c r="F277" s="7"/>
      <c r="G277" s="8"/>
      <c r="H277" s="7"/>
      <c r="I277" s="6"/>
      <c r="J277" s="7"/>
      <c r="K277" s="8"/>
      <c r="L277" s="7"/>
      <c r="M277" s="8"/>
      <c r="N277" s="7"/>
      <c r="O277" s="8"/>
      <c r="P277" s="7"/>
      <c r="Q277" s="7"/>
      <c r="R277" s="8"/>
      <c r="S277" s="7"/>
      <c r="T277" s="9"/>
      <c r="U277" s="7"/>
      <c r="V277" s="8"/>
      <c r="W277" s="7"/>
      <c r="X277" s="7"/>
      <c r="Y277" s="8"/>
      <c r="Z277" s="7"/>
      <c r="AA277" s="8"/>
    </row>
    <row r="278" spans="4:27" ht="14.25" thickTop="1" thickBot="1">
      <c r="D278" s="66"/>
      <c r="E278" s="52" t="s">
        <v>197</v>
      </c>
      <c r="F278" s="7"/>
      <c r="G278" s="8"/>
      <c r="H278" s="7"/>
      <c r="I278" s="6"/>
      <c r="J278" s="7"/>
      <c r="K278" s="8"/>
      <c r="L278" s="7"/>
      <c r="M278" s="8"/>
      <c r="N278" s="7"/>
      <c r="O278" s="8"/>
      <c r="P278" s="7"/>
      <c r="Q278" s="7"/>
      <c r="R278" s="8"/>
      <c r="S278" s="7"/>
      <c r="T278" s="9"/>
      <c r="U278" s="7"/>
      <c r="V278" s="8"/>
      <c r="W278" s="7"/>
      <c r="X278" s="7"/>
      <c r="Y278" s="8"/>
      <c r="Z278" s="7"/>
      <c r="AA278" s="8"/>
    </row>
    <row r="279" spans="4:27" ht="14.25" thickTop="1" thickBot="1">
      <c r="D279" s="66"/>
      <c r="E279" s="52" t="s">
        <v>1272</v>
      </c>
      <c r="F279" s="7"/>
      <c r="G279" s="8"/>
      <c r="H279" s="7"/>
      <c r="I279" s="6"/>
      <c r="J279" s="7"/>
      <c r="K279" s="8"/>
      <c r="L279" s="7"/>
      <c r="M279" s="8"/>
      <c r="N279" s="7"/>
      <c r="O279" s="8"/>
      <c r="P279" s="7"/>
      <c r="Q279" s="7"/>
      <c r="R279" s="8"/>
      <c r="S279" s="7"/>
      <c r="T279" s="9"/>
      <c r="U279" s="7"/>
      <c r="V279" s="8"/>
      <c r="W279" s="7"/>
      <c r="X279" s="7"/>
      <c r="Y279" s="8"/>
      <c r="Z279" s="7"/>
      <c r="AA279" s="8"/>
    </row>
    <row r="280" spans="4:27" ht="14.25" thickTop="1" thickBot="1">
      <c r="D280" s="66"/>
      <c r="E280" s="52" t="s">
        <v>1273</v>
      </c>
      <c r="F280" s="7"/>
      <c r="G280" s="8"/>
      <c r="H280" s="7"/>
      <c r="I280" s="6"/>
      <c r="J280" s="7"/>
      <c r="K280" s="8"/>
      <c r="L280" s="7"/>
      <c r="M280" s="8"/>
      <c r="N280" s="7"/>
      <c r="O280" s="8"/>
      <c r="P280" s="7"/>
      <c r="Q280" s="7"/>
      <c r="R280" s="8"/>
      <c r="S280" s="7"/>
      <c r="T280" s="9"/>
      <c r="U280" s="7"/>
      <c r="V280" s="8"/>
      <c r="W280" s="7"/>
      <c r="X280" s="7"/>
      <c r="Y280" s="8"/>
      <c r="Z280" s="7"/>
      <c r="AA280" s="8"/>
    </row>
    <row r="281" spans="4:27" ht="14.25" thickTop="1" thickBot="1">
      <c r="D281" s="66"/>
      <c r="E281" s="52" t="s">
        <v>1011</v>
      </c>
      <c r="F281" s="7"/>
      <c r="G281" s="8"/>
      <c r="H281" s="7"/>
      <c r="I281" s="6"/>
      <c r="J281" s="7"/>
      <c r="K281" s="8"/>
      <c r="L281" s="7"/>
      <c r="M281" s="8"/>
      <c r="N281" s="7"/>
      <c r="O281" s="8"/>
      <c r="P281" s="7"/>
      <c r="Q281" s="7"/>
      <c r="R281" s="8"/>
      <c r="S281" s="7"/>
      <c r="T281" s="9"/>
      <c r="U281" s="7"/>
      <c r="V281" s="8"/>
      <c r="W281" s="7"/>
      <c r="X281" s="7"/>
      <c r="Y281" s="8"/>
      <c r="Z281" s="7"/>
      <c r="AA281" s="8"/>
    </row>
    <row r="282" spans="4:27" ht="14.25" thickTop="1" thickBot="1">
      <c r="D282" s="66"/>
      <c r="E282" s="52" t="s">
        <v>198</v>
      </c>
      <c r="F282" s="7"/>
      <c r="G282" s="8"/>
      <c r="H282" s="7"/>
      <c r="I282" s="6"/>
      <c r="J282" s="7"/>
      <c r="K282" s="8"/>
      <c r="L282" s="7"/>
      <c r="M282" s="8"/>
      <c r="N282" s="7"/>
      <c r="O282" s="8"/>
      <c r="P282" s="7"/>
      <c r="Q282" s="7"/>
      <c r="R282" s="8"/>
      <c r="S282" s="7"/>
      <c r="T282" s="9"/>
      <c r="U282" s="7"/>
      <c r="V282" s="8"/>
      <c r="W282" s="7"/>
      <c r="X282" s="7"/>
      <c r="Y282" s="8"/>
      <c r="Z282" s="7"/>
      <c r="AA282" s="8"/>
    </row>
    <row r="283" spans="4:27" ht="14.25" thickTop="1" thickBot="1">
      <c r="D283" s="66"/>
      <c r="E283" s="52" t="s">
        <v>1098</v>
      </c>
      <c r="F283" s="7"/>
      <c r="G283" s="8"/>
      <c r="H283" s="7"/>
      <c r="I283" s="6"/>
      <c r="J283" s="7"/>
      <c r="K283" s="8"/>
      <c r="L283" s="7"/>
      <c r="M283" s="8"/>
      <c r="N283" s="7"/>
      <c r="O283" s="8"/>
      <c r="P283" s="7"/>
      <c r="Q283" s="7"/>
      <c r="R283" s="8"/>
      <c r="S283" s="7"/>
      <c r="T283" s="9"/>
      <c r="U283" s="7"/>
      <c r="V283" s="8"/>
      <c r="W283" s="7"/>
      <c r="X283" s="7"/>
      <c r="Y283" s="8"/>
      <c r="Z283" s="7"/>
      <c r="AA283" s="8"/>
    </row>
    <row r="284" spans="4:27" ht="14.25" thickTop="1" thickBot="1">
      <c r="D284" s="66"/>
      <c r="E284" s="52" t="s">
        <v>239</v>
      </c>
      <c r="F284" s="7"/>
      <c r="G284" s="8"/>
      <c r="H284" s="7"/>
      <c r="I284" s="6"/>
      <c r="J284" s="7"/>
      <c r="K284" s="8"/>
      <c r="L284" s="7"/>
      <c r="M284" s="8"/>
      <c r="N284" s="7"/>
      <c r="O284" s="8"/>
      <c r="P284" s="7"/>
      <c r="Q284" s="7"/>
      <c r="R284" s="8"/>
      <c r="S284" s="7"/>
      <c r="T284" s="9"/>
      <c r="U284" s="7"/>
      <c r="V284" s="8"/>
      <c r="W284" s="7"/>
      <c r="X284" s="7"/>
      <c r="Y284" s="8"/>
      <c r="Z284" s="7"/>
      <c r="AA284" s="8"/>
    </row>
    <row r="285" spans="4:27" ht="14.25" thickTop="1" thickBot="1">
      <c r="D285" s="66"/>
      <c r="E285" s="52" t="s">
        <v>141</v>
      </c>
      <c r="F285" s="7"/>
      <c r="G285" s="8"/>
      <c r="H285" s="7"/>
      <c r="I285" s="6"/>
      <c r="J285" s="7"/>
      <c r="K285" s="8"/>
      <c r="L285" s="7"/>
      <c r="M285" s="8"/>
      <c r="N285" s="7"/>
      <c r="O285" s="8"/>
      <c r="P285" s="7"/>
      <c r="Q285" s="7"/>
      <c r="R285" s="8"/>
      <c r="S285" s="7"/>
      <c r="T285" s="9"/>
      <c r="U285" s="7"/>
      <c r="V285" s="8"/>
      <c r="W285" s="7"/>
      <c r="X285" s="7"/>
      <c r="Y285" s="8"/>
      <c r="Z285" s="7"/>
      <c r="AA285" s="8"/>
    </row>
    <row r="286" spans="4:27" ht="14.25" thickTop="1" thickBot="1">
      <c r="D286" s="66"/>
      <c r="E286" s="52" t="s">
        <v>241</v>
      </c>
      <c r="F286" s="7"/>
      <c r="G286" s="8"/>
      <c r="H286" s="7"/>
      <c r="I286" s="6"/>
      <c r="J286" s="7"/>
      <c r="K286" s="8"/>
      <c r="L286" s="7"/>
      <c r="M286" s="8"/>
      <c r="N286" s="7"/>
      <c r="O286" s="8"/>
      <c r="P286" s="7"/>
      <c r="Q286" s="7"/>
      <c r="R286" s="8"/>
      <c r="S286" s="7"/>
      <c r="T286" s="9"/>
      <c r="U286" s="7"/>
      <c r="V286" s="8"/>
      <c r="W286" s="7"/>
      <c r="X286" s="7"/>
      <c r="Y286" s="8"/>
      <c r="Z286" s="7"/>
      <c r="AA286" s="8"/>
    </row>
    <row r="287" spans="4:27" ht="14.25" thickTop="1" thickBot="1">
      <c r="D287" s="66"/>
      <c r="E287" s="52" t="s">
        <v>219</v>
      </c>
      <c r="F287" s="7"/>
      <c r="G287" s="8"/>
      <c r="H287" s="7"/>
      <c r="I287" s="6"/>
      <c r="J287" s="7"/>
      <c r="K287" s="8"/>
      <c r="L287" s="7"/>
      <c r="M287" s="8"/>
      <c r="N287" s="7"/>
      <c r="O287" s="8"/>
      <c r="P287" s="7"/>
      <c r="Q287" s="7"/>
      <c r="R287" s="8"/>
      <c r="S287" s="7"/>
      <c r="T287" s="9"/>
      <c r="U287" s="7"/>
      <c r="V287" s="8"/>
      <c r="W287" s="7"/>
      <c r="X287" s="7"/>
      <c r="Y287" s="8"/>
      <c r="Z287" s="7"/>
      <c r="AA287" s="8"/>
    </row>
    <row r="288" spans="4:27" ht="14.25" thickTop="1" thickBot="1">
      <c r="D288" s="66"/>
      <c r="E288" s="52" t="s">
        <v>1057</v>
      </c>
      <c r="F288" s="7"/>
      <c r="G288" s="8"/>
      <c r="H288" s="7"/>
      <c r="I288" s="6"/>
      <c r="J288" s="7"/>
      <c r="K288" s="8"/>
      <c r="L288" s="7"/>
      <c r="M288" s="8"/>
      <c r="N288" s="7"/>
      <c r="O288" s="8"/>
      <c r="P288" s="7"/>
      <c r="Q288" s="7"/>
      <c r="R288" s="8"/>
      <c r="S288" s="7"/>
      <c r="T288" s="9"/>
      <c r="U288" s="7"/>
      <c r="V288" s="8"/>
      <c r="W288" s="7"/>
      <c r="X288" s="7"/>
      <c r="Y288" s="8"/>
      <c r="Z288" s="7"/>
      <c r="AA288" s="8"/>
    </row>
    <row r="289" spans="4:27" ht="14.25" thickTop="1" thickBot="1">
      <c r="D289" s="66"/>
      <c r="E289" s="52" t="s">
        <v>1058</v>
      </c>
      <c r="F289" s="7"/>
      <c r="G289" s="8"/>
      <c r="H289" s="7"/>
      <c r="I289" s="6"/>
      <c r="J289" s="7"/>
      <c r="K289" s="8"/>
      <c r="L289" s="7"/>
      <c r="M289" s="8"/>
      <c r="N289" s="7"/>
      <c r="O289" s="8"/>
      <c r="P289" s="7"/>
      <c r="Q289" s="7"/>
      <c r="R289" s="8"/>
      <c r="S289" s="7"/>
      <c r="T289" s="9"/>
      <c r="U289" s="7"/>
      <c r="V289" s="8"/>
      <c r="W289" s="7"/>
      <c r="X289" s="7"/>
      <c r="Y289" s="8"/>
      <c r="Z289" s="7"/>
      <c r="AA289" s="8"/>
    </row>
    <row r="290" spans="4:27" ht="14.25" thickTop="1" thickBot="1">
      <c r="D290" s="66"/>
      <c r="E290" s="52" t="s">
        <v>224</v>
      </c>
      <c r="F290" s="7"/>
      <c r="G290" s="8"/>
      <c r="H290" s="7"/>
      <c r="I290" s="6"/>
      <c r="J290" s="7"/>
      <c r="K290" s="8"/>
      <c r="L290" s="7"/>
      <c r="M290" s="8"/>
      <c r="N290" s="7"/>
      <c r="O290" s="8"/>
      <c r="P290" s="7"/>
      <c r="Q290" s="7"/>
      <c r="R290" s="8"/>
      <c r="S290" s="7"/>
      <c r="T290" s="9"/>
      <c r="U290" s="7"/>
      <c r="V290" s="8"/>
      <c r="W290" s="7"/>
      <c r="X290" s="7"/>
      <c r="Y290" s="8"/>
      <c r="Z290" s="7"/>
      <c r="AA290" s="8"/>
    </row>
    <row r="291" spans="4:27" ht="14.25" thickTop="1" thickBot="1">
      <c r="D291" s="66"/>
      <c r="E291" s="52" t="s">
        <v>242</v>
      </c>
      <c r="F291" s="7"/>
      <c r="G291" s="8"/>
      <c r="H291" s="7"/>
      <c r="I291" s="6"/>
      <c r="J291" s="7"/>
      <c r="K291" s="8"/>
      <c r="L291" s="7"/>
      <c r="M291" s="8"/>
      <c r="N291" s="7"/>
      <c r="O291" s="8"/>
      <c r="P291" s="7"/>
      <c r="Q291" s="7"/>
      <c r="R291" s="8"/>
      <c r="S291" s="7"/>
      <c r="T291" s="9"/>
      <c r="U291" s="7"/>
      <c r="V291" s="8"/>
      <c r="W291" s="7"/>
      <c r="X291" s="7"/>
      <c r="Y291" s="8"/>
      <c r="Z291" s="7"/>
      <c r="AA291" s="8"/>
    </row>
    <row r="292" spans="4:27" ht="14.25" thickTop="1" thickBot="1">
      <c r="D292" s="66"/>
      <c r="E292" s="52" t="s">
        <v>243</v>
      </c>
      <c r="F292" s="7"/>
      <c r="G292" s="8"/>
      <c r="H292" s="7"/>
      <c r="I292" s="6"/>
      <c r="J292" s="7"/>
      <c r="K292" s="8"/>
      <c r="L292" s="7"/>
      <c r="M292" s="8"/>
      <c r="N292" s="7"/>
      <c r="O292" s="8"/>
      <c r="P292" s="7"/>
      <c r="Q292" s="7"/>
      <c r="R292" s="8"/>
      <c r="S292" s="7"/>
      <c r="T292" s="9"/>
      <c r="U292" s="7"/>
      <c r="V292" s="8"/>
      <c r="W292" s="7"/>
      <c r="X292" s="7"/>
      <c r="Y292" s="8"/>
      <c r="Z292" s="7"/>
      <c r="AA292" s="8"/>
    </row>
    <row r="293" spans="4:27" ht="14.25" thickTop="1" thickBot="1">
      <c r="D293" s="66"/>
      <c r="E293" s="52" t="s">
        <v>244</v>
      </c>
      <c r="F293" s="7"/>
      <c r="G293" s="8"/>
      <c r="H293" s="7"/>
      <c r="I293" s="6"/>
      <c r="J293" s="7"/>
      <c r="K293" s="8"/>
      <c r="L293" s="7"/>
      <c r="M293" s="8"/>
      <c r="N293" s="7"/>
      <c r="O293" s="8"/>
      <c r="P293" s="7"/>
      <c r="Q293" s="7"/>
      <c r="R293" s="8"/>
      <c r="S293" s="7"/>
      <c r="T293" s="9"/>
      <c r="U293" s="7"/>
      <c r="V293" s="8"/>
      <c r="W293" s="7"/>
      <c r="X293" s="7"/>
      <c r="Y293" s="8"/>
      <c r="Z293" s="7"/>
      <c r="AA293" s="8"/>
    </row>
    <row r="294" spans="4:27" ht="14.25" thickTop="1" thickBot="1">
      <c r="D294" s="66"/>
      <c r="E294" s="52" t="s">
        <v>1064</v>
      </c>
      <c r="F294" s="7"/>
      <c r="G294" s="8"/>
      <c r="H294" s="7"/>
      <c r="I294" s="6"/>
      <c r="J294" s="7"/>
      <c r="K294" s="8"/>
      <c r="L294" s="7"/>
      <c r="M294" s="8"/>
      <c r="N294" s="7"/>
      <c r="O294" s="8"/>
      <c r="P294" s="7"/>
      <c r="Q294" s="7"/>
      <c r="R294" s="8"/>
      <c r="S294" s="7"/>
      <c r="T294" s="9"/>
      <c r="U294" s="7"/>
      <c r="V294" s="8"/>
      <c r="W294" s="7"/>
      <c r="X294" s="7"/>
      <c r="Y294" s="8"/>
      <c r="Z294" s="7"/>
      <c r="AA294" s="8"/>
    </row>
    <row r="295" spans="4:27" ht="14.25" thickTop="1" thickBot="1">
      <c r="D295" s="66"/>
      <c r="E295" s="52" t="s">
        <v>245</v>
      </c>
      <c r="F295" s="7"/>
      <c r="G295" s="8"/>
      <c r="H295" s="7"/>
      <c r="I295" s="6"/>
      <c r="J295" s="7"/>
      <c r="K295" s="8"/>
      <c r="L295" s="7"/>
      <c r="M295" s="8"/>
      <c r="N295" s="7"/>
      <c r="O295" s="8"/>
      <c r="P295" s="7"/>
      <c r="Q295" s="7"/>
      <c r="R295" s="8"/>
      <c r="S295" s="7"/>
      <c r="T295" s="9"/>
      <c r="U295" s="7"/>
      <c r="V295" s="8"/>
      <c r="W295" s="7"/>
      <c r="X295" s="7"/>
      <c r="Y295" s="8"/>
      <c r="Z295" s="7"/>
      <c r="AA295" s="8"/>
    </row>
    <row r="296" spans="4:27" ht="14.25" thickTop="1" thickBot="1">
      <c r="D296" s="66"/>
      <c r="E296" s="52" t="s">
        <v>246</v>
      </c>
      <c r="F296" s="7"/>
      <c r="G296" s="8"/>
      <c r="H296" s="7"/>
      <c r="I296" s="6"/>
      <c r="J296" s="7"/>
      <c r="K296" s="8"/>
      <c r="L296" s="7"/>
      <c r="M296" s="8"/>
      <c r="N296" s="7"/>
      <c r="O296" s="8"/>
      <c r="P296" s="7"/>
      <c r="Q296" s="7"/>
      <c r="R296" s="8"/>
      <c r="S296" s="7"/>
      <c r="T296" s="9"/>
      <c r="U296" s="7"/>
      <c r="V296" s="8"/>
      <c r="W296" s="7"/>
      <c r="X296" s="7"/>
      <c r="Y296" s="8"/>
      <c r="Z296" s="7"/>
      <c r="AA296" s="8"/>
    </row>
    <row r="297" spans="4:27" ht="14.25" thickTop="1" thickBot="1">
      <c r="D297" s="66"/>
      <c r="E297" s="52" t="s">
        <v>143</v>
      </c>
      <c r="F297" s="7"/>
      <c r="G297" s="8"/>
      <c r="H297" s="7"/>
      <c r="I297" s="6"/>
      <c r="J297" s="7"/>
      <c r="K297" s="8"/>
      <c r="L297" s="7"/>
      <c r="M297" s="8"/>
      <c r="N297" s="7"/>
      <c r="O297" s="8"/>
      <c r="P297" s="7"/>
      <c r="Q297" s="7"/>
      <c r="R297" s="8"/>
      <c r="S297" s="7"/>
      <c r="T297" s="9"/>
      <c r="U297" s="7"/>
      <c r="V297" s="8"/>
      <c r="W297" s="7"/>
      <c r="X297" s="7"/>
      <c r="Y297" s="8"/>
      <c r="Z297" s="7"/>
      <c r="AA297" s="8"/>
    </row>
    <row r="298" spans="4:27" ht="14.25" thickTop="1" thickBot="1">
      <c r="D298" s="66"/>
      <c r="E298" s="52" t="s">
        <v>247</v>
      </c>
      <c r="F298" s="7"/>
      <c r="G298" s="8"/>
      <c r="H298" s="7"/>
      <c r="I298" s="6"/>
      <c r="J298" s="7"/>
      <c r="K298" s="8"/>
      <c r="L298" s="7"/>
      <c r="M298" s="8"/>
      <c r="N298" s="7"/>
      <c r="O298" s="8"/>
      <c r="P298" s="7"/>
      <c r="Q298" s="7"/>
      <c r="R298" s="8"/>
      <c r="S298" s="7"/>
      <c r="T298" s="9"/>
      <c r="U298" s="7"/>
      <c r="V298" s="8"/>
      <c r="W298" s="7"/>
      <c r="X298" s="7"/>
      <c r="Y298" s="8"/>
      <c r="Z298" s="7"/>
      <c r="AA298" s="8"/>
    </row>
    <row r="299" spans="4:27" ht="14.25" thickTop="1" thickBot="1">
      <c r="D299" s="66"/>
      <c r="E299" s="52" t="s">
        <v>248</v>
      </c>
      <c r="F299" s="7"/>
      <c r="G299" s="8"/>
      <c r="H299" s="7"/>
      <c r="I299" s="6"/>
      <c r="J299" s="7"/>
      <c r="K299" s="8"/>
      <c r="L299" s="7"/>
      <c r="M299" s="8"/>
      <c r="N299" s="7"/>
      <c r="O299" s="8"/>
      <c r="P299" s="7"/>
      <c r="Q299" s="7"/>
      <c r="R299" s="8"/>
      <c r="S299" s="7"/>
      <c r="T299" s="9"/>
      <c r="U299" s="7"/>
      <c r="V299" s="8"/>
      <c r="W299" s="7"/>
      <c r="X299" s="7"/>
      <c r="Y299" s="8"/>
      <c r="Z299" s="7"/>
      <c r="AA299" s="8"/>
    </row>
    <row r="300" spans="4:27" ht="14.25" thickTop="1" thickBot="1">
      <c r="D300" s="66"/>
      <c r="E300" s="52" t="s">
        <v>1065</v>
      </c>
      <c r="F300" s="7"/>
      <c r="G300" s="8"/>
      <c r="H300" s="7"/>
      <c r="I300" s="6"/>
      <c r="J300" s="7"/>
      <c r="K300" s="8"/>
      <c r="L300" s="7"/>
      <c r="M300" s="8"/>
      <c r="N300" s="7"/>
      <c r="O300" s="8"/>
      <c r="P300" s="7"/>
      <c r="Q300" s="7"/>
      <c r="R300" s="8"/>
      <c r="S300" s="7"/>
      <c r="T300" s="9"/>
      <c r="U300" s="7"/>
      <c r="V300" s="8"/>
      <c r="W300" s="7"/>
      <c r="X300" s="7"/>
      <c r="Y300" s="8"/>
      <c r="Z300" s="7"/>
      <c r="AA300" s="8"/>
    </row>
    <row r="301" spans="4:27" ht="14.25" thickTop="1" thickBot="1">
      <c r="D301" s="66"/>
      <c r="E301" s="52" t="s">
        <v>249</v>
      </c>
      <c r="F301" s="7"/>
      <c r="G301" s="8"/>
      <c r="H301" s="7"/>
      <c r="I301" s="6"/>
      <c r="J301" s="7"/>
      <c r="K301" s="8"/>
      <c r="L301" s="7"/>
      <c r="M301" s="8"/>
      <c r="N301" s="7"/>
      <c r="O301" s="8"/>
      <c r="P301" s="7"/>
      <c r="Q301" s="7"/>
      <c r="R301" s="8"/>
      <c r="S301" s="7"/>
      <c r="T301" s="9"/>
      <c r="U301" s="7"/>
      <c r="V301" s="8"/>
      <c r="W301" s="7"/>
      <c r="X301" s="7"/>
      <c r="Y301" s="8"/>
      <c r="Z301" s="7"/>
      <c r="AA301" s="8"/>
    </row>
    <row r="302" spans="4:27" ht="14.25" thickTop="1" thickBot="1">
      <c r="D302" s="66"/>
      <c r="E302" s="52" t="s">
        <v>250</v>
      </c>
      <c r="F302" s="7"/>
      <c r="G302" s="8"/>
      <c r="H302" s="7"/>
      <c r="I302" s="6"/>
      <c r="J302" s="7"/>
      <c r="K302" s="8"/>
      <c r="L302" s="7"/>
      <c r="M302" s="8"/>
      <c r="N302" s="7"/>
      <c r="O302" s="8"/>
      <c r="P302" s="7"/>
      <c r="Q302" s="7"/>
      <c r="R302" s="8"/>
      <c r="S302" s="7"/>
      <c r="T302" s="9"/>
      <c r="U302" s="7"/>
      <c r="V302" s="8"/>
      <c r="W302" s="7"/>
      <c r="X302" s="7"/>
      <c r="Y302" s="8"/>
      <c r="Z302" s="7"/>
      <c r="AA302" s="8"/>
    </row>
    <row r="303" spans="4:27" ht="14.25" thickTop="1" thickBot="1">
      <c r="D303" s="66"/>
      <c r="E303" s="52" t="s">
        <v>251</v>
      </c>
      <c r="F303" s="7"/>
      <c r="G303" s="8"/>
      <c r="H303" s="7"/>
      <c r="I303" s="6"/>
      <c r="J303" s="7"/>
      <c r="K303" s="8"/>
      <c r="L303" s="7"/>
      <c r="M303" s="8"/>
      <c r="N303" s="7"/>
      <c r="O303" s="8"/>
      <c r="P303" s="7"/>
      <c r="Q303" s="7"/>
      <c r="R303" s="8"/>
      <c r="S303" s="7"/>
      <c r="T303" s="9"/>
      <c r="U303" s="7"/>
      <c r="V303" s="8"/>
      <c r="W303" s="7"/>
      <c r="X303" s="7"/>
      <c r="Y303" s="8"/>
      <c r="Z303" s="7"/>
      <c r="AA303" s="8"/>
    </row>
    <row r="304" spans="4:27" ht="14.25" thickTop="1" thickBot="1">
      <c r="D304" s="66"/>
      <c r="E304" s="52" t="s">
        <v>252</v>
      </c>
      <c r="F304" s="7"/>
      <c r="G304" s="8"/>
      <c r="H304" s="7"/>
      <c r="I304" s="6"/>
      <c r="J304" s="7"/>
      <c r="K304" s="8"/>
      <c r="L304" s="7"/>
      <c r="M304" s="8"/>
      <c r="N304" s="7"/>
      <c r="O304" s="8"/>
      <c r="P304" s="7"/>
      <c r="Q304" s="7"/>
      <c r="R304" s="8"/>
      <c r="S304" s="7"/>
      <c r="T304" s="9"/>
      <c r="U304" s="7"/>
      <c r="V304" s="8"/>
      <c r="W304" s="7"/>
      <c r="X304" s="7"/>
      <c r="Y304" s="8"/>
      <c r="Z304" s="7"/>
      <c r="AA304" s="8"/>
    </row>
    <row r="305" spans="4:27" ht="14.25" thickTop="1" thickBot="1">
      <c r="D305" s="66"/>
      <c r="E305" s="52" t="s">
        <v>225</v>
      </c>
      <c r="F305" s="7"/>
      <c r="G305" s="8"/>
      <c r="H305" s="7"/>
      <c r="I305" s="6"/>
      <c r="J305" s="7"/>
      <c r="K305" s="8"/>
      <c r="L305" s="7"/>
      <c r="M305" s="8"/>
      <c r="N305" s="7"/>
      <c r="O305" s="8"/>
      <c r="P305" s="7"/>
      <c r="Q305" s="7"/>
      <c r="R305" s="8"/>
      <c r="S305" s="7"/>
      <c r="T305" s="9"/>
      <c r="U305" s="7"/>
      <c r="V305" s="8"/>
      <c r="W305" s="7"/>
      <c r="X305" s="7"/>
      <c r="Y305" s="8"/>
      <c r="Z305" s="7"/>
      <c r="AA305" s="8"/>
    </row>
    <row r="306" spans="4:27" ht="14.25" thickTop="1" thickBot="1">
      <c r="D306" s="66"/>
      <c r="E306" s="52" t="s">
        <v>253</v>
      </c>
      <c r="F306" s="7"/>
      <c r="G306" s="8"/>
      <c r="H306" s="7"/>
      <c r="I306" s="6"/>
      <c r="J306" s="7"/>
      <c r="K306" s="8"/>
      <c r="L306" s="7"/>
      <c r="M306" s="8"/>
      <c r="N306" s="7"/>
      <c r="O306" s="8"/>
      <c r="P306" s="7"/>
      <c r="Q306" s="7"/>
      <c r="R306" s="8"/>
      <c r="S306" s="7"/>
      <c r="T306" s="9"/>
      <c r="U306" s="7"/>
      <c r="V306" s="8"/>
      <c r="W306" s="7"/>
      <c r="X306" s="7"/>
      <c r="Y306" s="8"/>
      <c r="Z306" s="7"/>
      <c r="AA306" s="8"/>
    </row>
    <row r="307" spans="4:27" ht="14.25" thickTop="1" thickBot="1">
      <c r="D307" s="66"/>
      <c r="E307" s="52" t="s">
        <v>254</v>
      </c>
      <c r="F307" s="7"/>
      <c r="G307" s="8"/>
      <c r="H307" s="7"/>
      <c r="I307" s="6"/>
      <c r="J307" s="7"/>
      <c r="K307" s="8"/>
      <c r="L307" s="7"/>
      <c r="M307" s="8"/>
      <c r="N307" s="7"/>
      <c r="O307" s="8"/>
      <c r="P307" s="7"/>
      <c r="Q307" s="7"/>
      <c r="R307" s="8"/>
      <c r="S307" s="7"/>
      <c r="T307" s="9"/>
      <c r="U307" s="7"/>
      <c r="V307" s="8"/>
      <c r="W307" s="7"/>
      <c r="X307" s="7"/>
      <c r="Y307" s="8"/>
      <c r="Z307" s="7"/>
      <c r="AA307" s="8"/>
    </row>
    <row r="308" spans="4:27" ht="14.25" thickTop="1" thickBot="1">
      <c r="D308" s="66"/>
      <c r="E308" s="52" t="s">
        <v>255</v>
      </c>
      <c r="F308" s="7"/>
      <c r="G308" s="8"/>
      <c r="H308" s="7"/>
      <c r="I308" s="6"/>
      <c r="J308" s="7"/>
      <c r="K308" s="8"/>
      <c r="L308" s="7"/>
      <c r="M308" s="8"/>
      <c r="N308" s="7"/>
      <c r="O308" s="8"/>
      <c r="P308" s="7"/>
      <c r="Q308" s="7"/>
      <c r="R308" s="8"/>
      <c r="S308" s="7"/>
      <c r="T308" s="9"/>
      <c r="U308" s="7"/>
      <c r="V308" s="8"/>
      <c r="W308" s="7"/>
      <c r="X308" s="7"/>
      <c r="Y308" s="8"/>
      <c r="Z308" s="7"/>
      <c r="AA308" s="8"/>
    </row>
    <row r="309" spans="4:27" ht="14.25" thickTop="1" thickBot="1">
      <c r="D309" s="66"/>
      <c r="E309" s="52" t="s">
        <v>256</v>
      </c>
      <c r="F309" s="7"/>
      <c r="G309" s="8"/>
      <c r="H309" s="7"/>
      <c r="I309" s="6"/>
      <c r="J309" s="7"/>
      <c r="K309" s="8"/>
      <c r="L309" s="7"/>
      <c r="M309" s="8"/>
      <c r="N309" s="7"/>
      <c r="O309" s="8"/>
      <c r="P309" s="7"/>
      <c r="Q309" s="7"/>
      <c r="R309" s="8"/>
      <c r="S309" s="7"/>
      <c r="T309" s="9"/>
      <c r="U309" s="7"/>
      <c r="V309" s="8"/>
      <c r="W309" s="7"/>
      <c r="X309" s="7"/>
      <c r="Y309" s="8"/>
      <c r="Z309" s="7"/>
      <c r="AA309" s="8"/>
    </row>
    <row r="310" spans="4:27" ht="14.25" thickTop="1" thickBot="1">
      <c r="D310" s="66"/>
      <c r="E310" s="52" t="s">
        <v>722</v>
      </c>
      <c r="F310" s="7"/>
      <c r="G310" s="8"/>
      <c r="H310" s="7"/>
      <c r="I310" s="6"/>
      <c r="J310" s="7"/>
      <c r="K310" s="8"/>
      <c r="L310" s="7"/>
      <c r="M310" s="8"/>
      <c r="N310" s="7"/>
      <c r="O310" s="8"/>
      <c r="P310" s="7"/>
      <c r="Q310" s="7"/>
      <c r="R310" s="8"/>
      <c r="S310" s="7"/>
      <c r="T310" s="9"/>
      <c r="U310" s="7"/>
      <c r="V310" s="8"/>
      <c r="W310" s="7"/>
      <c r="X310" s="7"/>
      <c r="Y310" s="8"/>
      <c r="Z310" s="7"/>
      <c r="AA310" s="8"/>
    </row>
    <row r="311" spans="4:27" ht="14.25" thickTop="1" thickBot="1">
      <c r="D311" s="66"/>
      <c r="E311" s="52" t="s">
        <v>745</v>
      </c>
      <c r="F311" s="7"/>
      <c r="G311" s="8"/>
      <c r="H311" s="7"/>
      <c r="I311" s="6"/>
      <c r="J311" s="7"/>
      <c r="K311" s="8"/>
      <c r="L311" s="7"/>
      <c r="M311" s="8"/>
      <c r="N311" s="7"/>
      <c r="O311" s="8"/>
      <c r="P311" s="7"/>
      <c r="Q311" s="7"/>
      <c r="R311" s="8"/>
      <c r="S311" s="7"/>
      <c r="T311" s="9"/>
      <c r="U311" s="7"/>
      <c r="V311" s="8"/>
      <c r="W311" s="7"/>
      <c r="X311" s="7"/>
      <c r="Y311" s="8"/>
      <c r="Z311" s="7"/>
      <c r="AA311" s="8"/>
    </row>
    <row r="312" spans="4:27" ht="14.25" thickTop="1" thickBot="1">
      <c r="D312" s="66"/>
      <c r="E312" s="52" t="s">
        <v>1072</v>
      </c>
      <c r="F312" s="7"/>
      <c r="G312" s="8"/>
      <c r="H312" s="7"/>
      <c r="I312" s="6"/>
      <c r="J312" s="7"/>
      <c r="K312" s="8"/>
      <c r="L312" s="7"/>
      <c r="M312" s="8"/>
      <c r="N312" s="7"/>
      <c r="O312" s="8"/>
      <c r="P312" s="7"/>
      <c r="Q312" s="7"/>
      <c r="R312" s="8"/>
      <c r="S312" s="7"/>
      <c r="T312" s="9"/>
      <c r="U312" s="7"/>
      <c r="V312" s="8"/>
      <c r="W312" s="7"/>
      <c r="X312" s="7"/>
      <c r="Y312" s="8"/>
      <c r="Z312" s="7"/>
      <c r="AA312" s="8"/>
    </row>
    <row r="313" spans="4:27" ht="14.25" thickTop="1" thickBot="1">
      <c r="D313" s="66"/>
      <c r="E313" s="52" t="s">
        <v>727</v>
      </c>
      <c r="F313" s="7"/>
      <c r="G313" s="8"/>
      <c r="H313" s="7"/>
      <c r="I313" s="6"/>
      <c r="J313" s="7"/>
      <c r="K313" s="8"/>
      <c r="L313" s="7"/>
      <c r="M313" s="8"/>
      <c r="N313" s="7"/>
      <c r="O313" s="8"/>
      <c r="P313" s="7"/>
      <c r="Q313" s="7"/>
      <c r="R313" s="8"/>
      <c r="S313" s="7"/>
      <c r="T313" s="9"/>
      <c r="U313" s="7"/>
      <c r="V313" s="8"/>
      <c r="W313" s="7"/>
      <c r="X313" s="7"/>
      <c r="Y313" s="8"/>
      <c r="Z313" s="7"/>
      <c r="AA313" s="8"/>
    </row>
    <row r="314" spans="4:27" ht="14.25" thickTop="1" thickBot="1">
      <c r="D314" s="66"/>
      <c r="E314" s="52" t="s">
        <v>1104</v>
      </c>
      <c r="F314" s="7"/>
      <c r="G314" s="8"/>
      <c r="H314" s="7"/>
      <c r="I314" s="6"/>
      <c r="J314" s="7"/>
      <c r="K314" s="8"/>
      <c r="L314" s="7"/>
      <c r="M314" s="8"/>
      <c r="N314" s="7"/>
      <c r="O314" s="8"/>
      <c r="P314" s="7"/>
      <c r="Q314" s="7"/>
      <c r="R314" s="8"/>
      <c r="S314" s="7"/>
      <c r="T314" s="9"/>
      <c r="U314" s="7"/>
      <c r="V314" s="8"/>
      <c r="W314" s="7"/>
      <c r="X314" s="7"/>
      <c r="Y314" s="8"/>
      <c r="Z314" s="7"/>
      <c r="AA314" s="8"/>
    </row>
    <row r="315" spans="4:27" ht="14.25" thickTop="1" thickBot="1">
      <c r="D315" s="66"/>
      <c r="E315" s="52" t="s">
        <v>728</v>
      </c>
      <c r="F315" s="7"/>
      <c r="G315" s="8"/>
      <c r="H315" s="7"/>
      <c r="I315" s="6"/>
      <c r="J315" s="7"/>
      <c r="K315" s="8"/>
      <c r="L315" s="7"/>
      <c r="M315" s="8"/>
      <c r="N315" s="7"/>
      <c r="O315" s="8"/>
      <c r="P315" s="7"/>
      <c r="Q315" s="7"/>
      <c r="R315" s="8"/>
      <c r="S315" s="7"/>
      <c r="T315" s="9"/>
      <c r="U315" s="7"/>
      <c r="V315" s="8"/>
      <c r="W315" s="7"/>
      <c r="X315" s="7"/>
      <c r="Y315" s="8"/>
      <c r="Z315" s="7"/>
      <c r="AA315" s="8"/>
    </row>
    <row r="316" spans="4:27" ht="14.25" thickTop="1" thickBot="1">
      <c r="D316" s="66"/>
      <c r="E316" s="52" t="s">
        <v>707</v>
      </c>
      <c r="F316" s="7"/>
      <c r="G316" s="8"/>
      <c r="H316" s="7"/>
      <c r="I316" s="6"/>
      <c r="J316" s="7"/>
      <c r="K316" s="8"/>
      <c r="L316" s="7"/>
      <c r="M316" s="8"/>
      <c r="N316" s="7"/>
      <c r="O316" s="8"/>
      <c r="P316" s="7"/>
      <c r="Q316" s="7"/>
      <c r="R316" s="8"/>
      <c r="S316" s="7"/>
      <c r="T316" s="9"/>
      <c r="U316" s="7"/>
      <c r="V316" s="8"/>
      <c r="W316" s="7"/>
      <c r="X316" s="7"/>
      <c r="Y316" s="8"/>
      <c r="Z316" s="7"/>
      <c r="AA316" s="8"/>
    </row>
    <row r="317" spans="4:27" ht="14.25" thickTop="1" thickBot="1">
      <c r="D317" s="66"/>
      <c r="E317" s="52" t="s">
        <v>736</v>
      </c>
      <c r="F317" s="7"/>
      <c r="G317" s="8"/>
      <c r="H317" s="7"/>
      <c r="I317" s="6"/>
      <c r="J317" s="7"/>
      <c r="K317" s="8"/>
      <c r="L317" s="7"/>
      <c r="M317" s="8"/>
      <c r="N317" s="7"/>
      <c r="O317" s="8"/>
      <c r="P317" s="7"/>
      <c r="Q317" s="7"/>
      <c r="R317" s="8"/>
      <c r="S317" s="7"/>
      <c r="T317" s="9"/>
      <c r="U317" s="7"/>
      <c r="V317" s="8"/>
      <c r="W317" s="7"/>
      <c r="X317" s="7"/>
      <c r="Y317" s="8"/>
      <c r="Z317" s="7"/>
      <c r="AA317" s="8"/>
    </row>
    <row r="318" spans="4:27" ht="14.25" thickTop="1" thickBot="1">
      <c r="D318" s="66"/>
      <c r="E318" s="52" t="s">
        <v>969</v>
      </c>
      <c r="F318" s="7"/>
      <c r="G318" s="8"/>
      <c r="H318" s="7"/>
      <c r="I318" s="6"/>
      <c r="J318" s="7"/>
      <c r="K318" s="8"/>
      <c r="L318" s="7"/>
      <c r="M318" s="8"/>
      <c r="N318" s="7"/>
      <c r="O318" s="8"/>
      <c r="P318" s="7"/>
      <c r="Q318" s="7"/>
      <c r="R318" s="8"/>
      <c r="S318" s="7"/>
      <c r="T318" s="9"/>
      <c r="U318" s="7"/>
      <c r="V318" s="8"/>
      <c r="W318" s="7"/>
      <c r="X318" s="7"/>
      <c r="Y318" s="8"/>
      <c r="Z318" s="7"/>
      <c r="AA318" s="8"/>
    </row>
    <row r="319" spans="4:27" ht="14.25" thickTop="1" thickBot="1">
      <c r="D319" s="66"/>
      <c r="E319" s="52" t="s">
        <v>972</v>
      </c>
      <c r="F319" s="7"/>
      <c r="G319" s="8"/>
      <c r="H319" s="7"/>
      <c r="I319" s="6"/>
      <c r="J319" s="7"/>
      <c r="K319" s="8"/>
      <c r="L319" s="7"/>
      <c r="M319" s="8"/>
      <c r="N319" s="7"/>
      <c r="O319" s="8"/>
      <c r="P319" s="7"/>
      <c r="Q319" s="7"/>
      <c r="R319" s="8"/>
      <c r="S319" s="7"/>
      <c r="T319" s="9"/>
      <c r="U319" s="7"/>
      <c r="V319" s="8"/>
      <c r="W319" s="7"/>
      <c r="X319" s="7"/>
      <c r="Y319" s="8"/>
      <c r="Z319" s="7"/>
      <c r="AA319" s="8"/>
    </row>
    <row r="320" spans="4:27" ht="14.25" thickTop="1" thickBot="1">
      <c r="D320" s="66"/>
      <c r="E320" s="52" t="s">
        <v>718</v>
      </c>
      <c r="F320" s="7"/>
      <c r="G320" s="8"/>
      <c r="H320" s="7"/>
      <c r="I320" s="6"/>
      <c r="J320" s="7"/>
      <c r="K320" s="8"/>
      <c r="L320" s="7"/>
      <c r="M320" s="8"/>
      <c r="N320" s="7"/>
      <c r="O320" s="8"/>
      <c r="P320" s="7"/>
      <c r="Q320" s="7"/>
      <c r="R320" s="8"/>
      <c r="S320" s="7"/>
      <c r="T320" s="9"/>
      <c r="U320" s="7"/>
      <c r="V320" s="8"/>
      <c r="W320" s="7"/>
      <c r="X320" s="7"/>
      <c r="Y320" s="8"/>
      <c r="Z320" s="7"/>
      <c r="AA320" s="8"/>
    </row>
    <row r="321" spans="4:27" ht="14.25" thickTop="1" thickBot="1">
      <c r="D321" s="66"/>
      <c r="E321" s="52" t="s">
        <v>1121</v>
      </c>
      <c r="F321" s="7"/>
      <c r="G321" s="8"/>
      <c r="H321" s="7"/>
      <c r="I321" s="6"/>
      <c r="J321" s="7"/>
      <c r="K321" s="8"/>
      <c r="L321" s="7"/>
      <c r="M321" s="8"/>
      <c r="N321" s="7"/>
      <c r="O321" s="8"/>
      <c r="P321" s="7"/>
      <c r="Q321" s="7"/>
      <c r="R321" s="8"/>
      <c r="S321" s="7"/>
      <c r="T321" s="9"/>
      <c r="U321" s="7"/>
      <c r="V321" s="8"/>
      <c r="W321" s="7"/>
      <c r="X321" s="7"/>
      <c r="Y321" s="8"/>
      <c r="Z321" s="7"/>
      <c r="AA321" s="8"/>
    </row>
    <row r="322" spans="4:27" ht="14.25" thickTop="1" thickBot="1">
      <c r="D322" s="66"/>
      <c r="E322" s="52" t="s">
        <v>1274</v>
      </c>
      <c r="F322" s="7"/>
      <c r="G322" s="8"/>
      <c r="H322" s="7"/>
      <c r="I322" s="6"/>
      <c r="J322" s="7"/>
      <c r="K322" s="8"/>
      <c r="L322" s="7"/>
      <c r="M322" s="8"/>
      <c r="N322" s="7"/>
      <c r="O322" s="8"/>
      <c r="P322" s="7"/>
      <c r="Q322" s="7"/>
      <c r="R322" s="8"/>
      <c r="S322" s="7"/>
      <c r="T322" s="9"/>
      <c r="U322" s="7"/>
      <c r="V322" s="8"/>
      <c r="W322" s="7"/>
      <c r="X322" s="7"/>
      <c r="Y322" s="8"/>
      <c r="Z322" s="7"/>
      <c r="AA322" s="8"/>
    </row>
    <row r="323" spans="4:27" ht="14.25" thickTop="1" thickBot="1">
      <c r="D323" s="66"/>
      <c r="E323" s="52" t="s">
        <v>725</v>
      </c>
      <c r="F323" s="7"/>
      <c r="G323" s="8"/>
      <c r="H323" s="7"/>
      <c r="I323" s="6"/>
      <c r="J323" s="7"/>
      <c r="K323" s="8"/>
      <c r="L323" s="7"/>
      <c r="M323" s="8"/>
      <c r="N323" s="7"/>
      <c r="O323" s="8"/>
      <c r="P323" s="7"/>
      <c r="Q323" s="7"/>
      <c r="R323" s="8"/>
      <c r="S323" s="7"/>
      <c r="T323" s="9"/>
      <c r="U323" s="7"/>
      <c r="V323" s="8"/>
      <c r="W323" s="7"/>
      <c r="X323" s="7"/>
      <c r="Y323" s="8"/>
      <c r="Z323" s="7"/>
      <c r="AA323" s="8"/>
    </row>
    <row r="324" spans="4:27" ht="14.25" thickTop="1" thickBot="1">
      <c r="D324" s="66"/>
      <c r="E324" s="52" t="s">
        <v>1275</v>
      </c>
      <c r="F324" s="7"/>
      <c r="G324" s="8"/>
      <c r="H324" s="7"/>
      <c r="I324" s="6"/>
      <c r="J324" s="7"/>
      <c r="K324" s="8"/>
      <c r="L324" s="7"/>
      <c r="M324" s="8"/>
      <c r="N324" s="7"/>
      <c r="O324" s="8"/>
      <c r="P324" s="7"/>
      <c r="Q324" s="7"/>
      <c r="R324" s="8"/>
      <c r="S324" s="7"/>
      <c r="T324" s="9"/>
      <c r="U324" s="7"/>
      <c r="V324" s="8"/>
      <c r="W324" s="7"/>
      <c r="X324" s="7"/>
      <c r="Y324" s="8"/>
      <c r="Z324" s="7"/>
      <c r="AA324" s="8"/>
    </row>
    <row r="325" spans="4:27" ht="14.25" thickTop="1" thickBot="1">
      <c r="D325" s="66"/>
      <c r="E325" s="52" t="s">
        <v>989</v>
      </c>
      <c r="F325" s="7"/>
      <c r="G325" s="8"/>
      <c r="H325" s="7"/>
      <c r="I325" s="6"/>
      <c r="J325" s="7"/>
      <c r="K325" s="8"/>
      <c r="L325" s="7"/>
      <c r="M325" s="8"/>
      <c r="N325" s="7"/>
      <c r="O325" s="8"/>
      <c r="P325" s="7"/>
      <c r="Q325" s="7"/>
      <c r="R325" s="8"/>
      <c r="S325" s="7"/>
      <c r="T325" s="9"/>
      <c r="U325" s="7"/>
      <c r="V325" s="8"/>
      <c r="W325" s="7"/>
      <c r="X325" s="7"/>
      <c r="Y325" s="8"/>
      <c r="Z325" s="7"/>
      <c r="AA325" s="8"/>
    </row>
    <row r="326" spans="4:27" ht="14.25" thickTop="1" thickBot="1">
      <c r="D326" s="66"/>
      <c r="E326" s="52" t="s">
        <v>1096</v>
      </c>
      <c r="F326" s="7"/>
      <c r="G326" s="8"/>
      <c r="H326" s="7"/>
      <c r="I326" s="6"/>
      <c r="J326" s="7"/>
      <c r="K326" s="8"/>
      <c r="L326" s="7"/>
      <c r="M326" s="8"/>
      <c r="N326" s="7"/>
      <c r="O326" s="8"/>
      <c r="P326" s="7"/>
      <c r="Q326" s="7"/>
      <c r="R326" s="8"/>
      <c r="S326" s="7"/>
      <c r="T326" s="9"/>
      <c r="U326" s="7"/>
      <c r="V326" s="8"/>
      <c r="W326" s="7"/>
      <c r="X326" s="7"/>
      <c r="Y326" s="8"/>
      <c r="Z326" s="7"/>
      <c r="AA326" s="8"/>
    </row>
    <row r="327" spans="4:27" ht="14.25" thickTop="1" thickBot="1">
      <c r="D327" s="66"/>
      <c r="E327" s="52" t="s">
        <v>978</v>
      </c>
      <c r="F327" s="7"/>
      <c r="G327" s="8"/>
      <c r="H327" s="7"/>
      <c r="I327" s="6"/>
      <c r="J327" s="7"/>
      <c r="K327" s="8"/>
      <c r="L327" s="7"/>
      <c r="M327" s="8"/>
      <c r="N327" s="7"/>
      <c r="O327" s="8"/>
      <c r="P327" s="7"/>
      <c r="Q327" s="7"/>
      <c r="R327" s="8"/>
      <c r="S327" s="7"/>
      <c r="T327" s="9"/>
      <c r="U327" s="7"/>
      <c r="V327" s="8"/>
      <c r="W327" s="7"/>
      <c r="X327" s="7"/>
      <c r="Y327" s="8"/>
      <c r="Z327" s="7"/>
      <c r="AA327" s="8"/>
    </row>
    <row r="328" spans="4:27" ht="14.25" thickTop="1" thickBot="1">
      <c r="D328" s="66"/>
      <c r="E328" s="52" t="s">
        <v>1276</v>
      </c>
      <c r="F328" s="7"/>
      <c r="G328" s="8"/>
      <c r="H328" s="7"/>
      <c r="I328" s="6"/>
      <c r="J328" s="7"/>
      <c r="K328" s="8"/>
      <c r="L328" s="7"/>
      <c r="M328" s="8"/>
      <c r="N328" s="7"/>
      <c r="O328" s="8"/>
      <c r="P328" s="7"/>
      <c r="Q328" s="7"/>
      <c r="R328" s="8"/>
      <c r="S328" s="7"/>
      <c r="T328" s="9"/>
      <c r="U328" s="7"/>
      <c r="V328" s="8"/>
      <c r="W328" s="7"/>
      <c r="X328" s="7"/>
      <c r="Y328" s="8"/>
      <c r="Z328" s="7"/>
      <c r="AA328" s="8"/>
    </row>
    <row r="329" spans="4:27" ht="14.25" thickTop="1" thickBot="1">
      <c r="D329" s="66"/>
      <c r="E329" s="52" t="s">
        <v>1277</v>
      </c>
      <c r="F329" s="7"/>
      <c r="G329" s="8"/>
      <c r="H329" s="7"/>
      <c r="I329" s="6"/>
      <c r="J329" s="7"/>
      <c r="K329" s="8"/>
      <c r="L329" s="7"/>
      <c r="M329" s="8"/>
      <c r="N329" s="7"/>
      <c r="O329" s="8"/>
      <c r="P329" s="7"/>
      <c r="Q329" s="7"/>
      <c r="R329" s="8"/>
      <c r="S329" s="7"/>
      <c r="T329" s="9"/>
      <c r="U329" s="7"/>
      <c r="V329" s="8"/>
      <c r="W329" s="7"/>
      <c r="X329" s="7"/>
      <c r="Y329" s="8"/>
      <c r="Z329" s="7"/>
      <c r="AA329" s="8"/>
    </row>
    <row r="330" spans="4:27" ht="14.25" thickTop="1" thickBot="1">
      <c r="D330" s="66"/>
      <c r="E330" s="52" t="s">
        <v>40</v>
      </c>
      <c r="F330" s="7"/>
      <c r="G330" s="8"/>
      <c r="H330" s="7"/>
      <c r="I330" s="6"/>
      <c r="J330" s="7"/>
      <c r="K330" s="8"/>
      <c r="L330" s="7"/>
      <c r="M330" s="8"/>
      <c r="N330" s="7"/>
      <c r="O330" s="8"/>
      <c r="P330" s="7"/>
      <c r="Q330" s="7"/>
      <c r="R330" s="8"/>
      <c r="S330" s="7"/>
      <c r="T330" s="9"/>
      <c r="U330" s="7"/>
      <c r="V330" s="8"/>
      <c r="W330" s="7"/>
      <c r="X330" s="7"/>
      <c r="Y330" s="8"/>
      <c r="Z330" s="7"/>
      <c r="AA330" s="8"/>
    </row>
    <row r="331" spans="4:27" ht="14.25" thickTop="1" thickBot="1">
      <c r="D331" s="66"/>
      <c r="E331" s="52" t="s">
        <v>1278</v>
      </c>
      <c r="F331" s="7"/>
      <c r="G331" s="8"/>
      <c r="H331" s="7"/>
      <c r="I331" s="6"/>
      <c r="J331" s="7"/>
      <c r="K331" s="8"/>
      <c r="L331" s="7"/>
      <c r="M331" s="8"/>
      <c r="N331" s="7"/>
      <c r="O331" s="8"/>
      <c r="P331" s="7"/>
      <c r="Q331" s="7"/>
      <c r="R331" s="8"/>
      <c r="S331" s="7"/>
      <c r="T331" s="9"/>
      <c r="U331" s="7"/>
      <c r="V331" s="8"/>
      <c r="W331" s="7"/>
      <c r="X331" s="7"/>
      <c r="Y331" s="8"/>
      <c r="Z331" s="7"/>
      <c r="AA331" s="8"/>
    </row>
    <row r="332" spans="4:27" ht="14.25" thickTop="1" thickBot="1">
      <c r="D332" s="66"/>
      <c r="E332" s="52" t="s">
        <v>1279</v>
      </c>
      <c r="F332" s="7"/>
      <c r="G332" s="8"/>
      <c r="H332" s="7"/>
      <c r="I332" s="6"/>
      <c r="J332" s="7"/>
      <c r="K332" s="8"/>
      <c r="L332" s="7"/>
      <c r="M332" s="8"/>
      <c r="N332" s="7"/>
      <c r="O332" s="8"/>
      <c r="P332" s="7"/>
      <c r="Q332" s="7"/>
      <c r="R332" s="8"/>
      <c r="S332" s="7"/>
      <c r="T332" s="9"/>
      <c r="U332" s="7"/>
      <c r="V332" s="8"/>
      <c r="W332" s="7"/>
      <c r="X332" s="7"/>
      <c r="Y332" s="8"/>
      <c r="Z332" s="7"/>
      <c r="AA332" s="8"/>
    </row>
    <row r="333" spans="4:27" ht="14.25" thickTop="1" thickBot="1">
      <c r="D333" s="66"/>
      <c r="E333" s="52" t="s">
        <v>1115</v>
      </c>
      <c r="F333" s="7"/>
      <c r="G333" s="8"/>
      <c r="H333" s="7"/>
      <c r="I333" s="6"/>
      <c r="J333" s="7"/>
      <c r="K333" s="8"/>
      <c r="L333" s="7"/>
      <c r="M333" s="8"/>
      <c r="N333" s="7"/>
      <c r="O333" s="8"/>
      <c r="P333" s="7"/>
      <c r="Q333" s="7"/>
      <c r="R333" s="8"/>
      <c r="S333" s="7"/>
      <c r="T333" s="9"/>
      <c r="U333" s="7"/>
      <c r="V333" s="8"/>
      <c r="W333" s="7"/>
      <c r="X333" s="7"/>
      <c r="Y333" s="8"/>
      <c r="Z333" s="7"/>
      <c r="AA333" s="8"/>
    </row>
    <row r="334" spans="4:27" ht="14.25" thickTop="1" thickBot="1">
      <c r="D334" s="66"/>
      <c r="E334" s="52" t="s">
        <v>977</v>
      </c>
      <c r="F334" s="7"/>
      <c r="G334" s="8"/>
      <c r="H334" s="7"/>
      <c r="I334" s="6"/>
      <c r="J334" s="7"/>
      <c r="K334" s="8"/>
      <c r="L334" s="7"/>
      <c r="M334" s="8"/>
      <c r="N334" s="7"/>
      <c r="O334" s="8"/>
      <c r="P334" s="7"/>
      <c r="Q334" s="7"/>
      <c r="R334" s="8"/>
      <c r="S334" s="7"/>
      <c r="T334" s="9"/>
      <c r="U334" s="7"/>
      <c r="V334" s="8"/>
      <c r="W334" s="7"/>
      <c r="X334" s="7"/>
      <c r="Y334" s="8"/>
      <c r="Z334" s="7"/>
      <c r="AA334" s="8"/>
    </row>
    <row r="335" spans="4:27" ht="14.25" thickTop="1" thickBot="1">
      <c r="D335" s="66"/>
      <c r="E335" s="52" t="s">
        <v>1280</v>
      </c>
      <c r="F335" s="7"/>
      <c r="G335" s="8"/>
      <c r="H335" s="7"/>
      <c r="I335" s="6"/>
      <c r="J335" s="7"/>
      <c r="K335" s="8"/>
      <c r="L335" s="7"/>
      <c r="M335" s="8"/>
      <c r="N335" s="7"/>
      <c r="O335" s="8"/>
      <c r="P335" s="7"/>
      <c r="Q335" s="7"/>
      <c r="R335" s="8"/>
      <c r="S335" s="7"/>
      <c r="T335" s="9"/>
      <c r="U335" s="7"/>
      <c r="V335" s="8"/>
      <c r="W335" s="7"/>
      <c r="X335" s="7"/>
      <c r="Y335" s="8"/>
      <c r="Z335" s="7"/>
      <c r="AA335" s="8"/>
    </row>
    <row r="336" spans="4:27" ht="14.25" thickTop="1" thickBot="1">
      <c r="D336" s="66"/>
      <c r="E336" s="52" t="s">
        <v>997</v>
      </c>
      <c r="F336" s="7"/>
      <c r="G336" s="8"/>
      <c r="H336" s="7"/>
      <c r="I336" s="6"/>
      <c r="J336" s="7"/>
      <c r="K336" s="8"/>
      <c r="L336" s="7"/>
      <c r="M336" s="8"/>
      <c r="N336" s="7"/>
      <c r="O336" s="8"/>
      <c r="P336" s="7"/>
      <c r="Q336" s="7"/>
      <c r="R336" s="8"/>
      <c r="S336" s="7"/>
      <c r="T336" s="9"/>
      <c r="U336" s="7"/>
      <c r="V336" s="8"/>
      <c r="W336" s="7"/>
      <c r="X336" s="7"/>
      <c r="Y336" s="8"/>
      <c r="Z336" s="7"/>
      <c r="AA336" s="8"/>
    </row>
    <row r="337" spans="4:27" ht="14.25" thickTop="1" thickBot="1">
      <c r="D337" s="66"/>
      <c r="E337" s="52" t="s">
        <v>979</v>
      </c>
      <c r="F337" s="7"/>
      <c r="G337" s="8"/>
      <c r="H337" s="7"/>
      <c r="I337" s="6"/>
      <c r="J337" s="7"/>
      <c r="K337" s="8"/>
      <c r="L337" s="7"/>
      <c r="M337" s="8"/>
      <c r="N337" s="7"/>
      <c r="O337" s="8"/>
      <c r="P337" s="7"/>
      <c r="Q337" s="7"/>
      <c r="R337" s="8"/>
      <c r="S337" s="7"/>
      <c r="T337" s="9"/>
      <c r="U337" s="7"/>
      <c r="V337" s="8"/>
      <c r="W337" s="7"/>
      <c r="X337" s="7"/>
      <c r="Y337" s="8"/>
      <c r="Z337" s="7"/>
      <c r="AA337" s="8"/>
    </row>
    <row r="338" spans="4:27" ht="14.25" thickTop="1" thickBot="1">
      <c r="D338" s="66"/>
      <c r="E338" s="52" t="s">
        <v>735</v>
      </c>
      <c r="F338" s="7"/>
      <c r="G338" s="8"/>
      <c r="H338" s="7"/>
      <c r="I338" s="6"/>
      <c r="J338" s="7"/>
      <c r="K338" s="8"/>
      <c r="L338" s="7"/>
      <c r="M338" s="8"/>
      <c r="N338" s="7"/>
      <c r="O338" s="8"/>
      <c r="P338" s="7"/>
      <c r="Q338" s="7"/>
      <c r="R338" s="8"/>
      <c r="S338" s="7"/>
      <c r="T338" s="9"/>
      <c r="U338" s="7"/>
      <c r="V338" s="8"/>
      <c r="W338" s="7"/>
      <c r="X338" s="7"/>
      <c r="Y338" s="8"/>
      <c r="Z338" s="7"/>
      <c r="AA338" s="8"/>
    </row>
    <row r="339" spans="4:27" ht="14.25" thickTop="1" thickBot="1">
      <c r="D339" s="66"/>
      <c r="E339" s="52" t="s">
        <v>710</v>
      </c>
      <c r="F339" s="7"/>
      <c r="G339" s="8"/>
      <c r="H339" s="7"/>
      <c r="I339" s="6"/>
      <c r="J339" s="7"/>
      <c r="K339" s="8"/>
      <c r="L339" s="7"/>
      <c r="M339" s="8"/>
      <c r="N339" s="7"/>
      <c r="O339" s="8"/>
      <c r="P339" s="7"/>
      <c r="Q339" s="7"/>
      <c r="R339" s="8"/>
      <c r="S339" s="7"/>
      <c r="T339" s="9"/>
      <c r="U339" s="7"/>
      <c r="V339" s="8"/>
      <c r="W339" s="7"/>
      <c r="X339" s="7"/>
      <c r="Y339" s="8"/>
      <c r="Z339" s="7"/>
      <c r="AA339" s="8"/>
    </row>
    <row r="340" spans="4:27" ht="14.25" thickTop="1" thickBot="1">
      <c r="D340" s="66"/>
      <c r="E340" s="52" t="s">
        <v>147</v>
      </c>
      <c r="F340" s="7"/>
      <c r="G340" s="8"/>
      <c r="H340" s="7"/>
      <c r="I340" s="6"/>
      <c r="J340" s="7"/>
      <c r="K340" s="8"/>
      <c r="L340" s="7"/>
      <c r="M340" s="8"/>
      <c r="N340" s="7"/>
      <c r="O340" s="8"/>
      <c r="P340" s="7"/>
      <c r="Q340" s="7"/>
      <c r="R340" s="8"/>
      <c r="S340" s="7"/>
      <c r="T340" s="9"/>
      <c r="U340" s="7"/>
      <c r="V340" s="8"/>
      <c r="W340" s="7"/>
      <c r="X340" s="7"/>
      <c r="Y340" s="8"/>
      <c r="Z340" s="7"/>
      <c r="AA340" s="8"/>
    </row>
    <row r="341" spans="4:27" ht="14.25" thickTop="1" thickBot="1">
      <c r="D341" s="66"/>
      <c r="E341" s="52" t="s">
        <v>234</v>
      </c>
      <c r="F341" s="7"/>
      <c r="G341" s="8"/>
      <c r="H341" s="7"/>
      <c r="I341" s="6"/>
      <c r="J341" s="7"/>
      <c r="K341" s="8"/>
      <c r="L341" s="7"/>
      <c r="M341" s="8"/>
      <c r="N341" s="7"/>
      <c r="O341" s="8"/>
      <c r="P341" s="7"/>
      <c r="Q341" s="7"/>
      <c r="R341" s="8"/>
      <c r="S341" s="7"/>
      <c r="T341" s="9"/>
      <c r="U341" s="7"/>
      <c r="V341" s="8"/>
      <c r="W341" s="7"/>
      <c r="X341" s="7"/>
      <c r="Y341" s="8"/>
      <c r="Z341" s="7"/>
      <c r="AA341" s="8"/>
    </row>
    <row r="342" spans="4:27" ht="14.25" thickTop="1" thickBot="1">
      <c r="D342" s="66"/>
      <c r="E342" s="52" t="s">
        <v>148</v>
      </c>
      <c r="F342" s="7"/>
      <c r="G342" s="8"/>
      <c r="H342" s="7"/>
      <c r="I342" s="6"/>
      <c r="J342" s="7"/>
      <c r="K342" s="8"/>
      <c r="L342" s="7"/>
      <c r="M342" s="8"/>
      <c r="N342" s="7"/>
      <c r="O342" s="8"/>
      <c r="P342" s="7"/>
      <c r="Q342" s="7"/>
      <c r="R342" s="8"/>
      <c r="S342" s="7"/>
      <c r="T342" s="9"/>
      <c r="U342" s="7"/>
      <c r="V342" s="8"/>
      <c r="W342" s="7"/>
      <c r="X342" s="7"/>
      <c r="Y342" s="8"/>
      <c r="Z342" s="7"/>
      <c r="AA342" s="8"/>
    </row>
    <row r="343" spans="4:27" ht="14.25" thickTop="1" thickBot="1">
      <c r="D343" s="66"/>
      <c r="E343" s="52" t="s">
        <v>149</v>
      </c>
      <c r="F343" s="7"/>
      <c r="G343" s="8"/>
      <c r="H343" s="7"/>
      <c r="I343" s="6"/>
      <c r="J343" s="7"/>
      <c r="K343" s="8"/>
      <c r="L343" s="7"/>
      <c r="M343" s="8"/>
      <c r="N343" s="7"/>
      <c r="O343" s="8"/>
      <c r="P343" s="7"/>
      <c r="Q343" s="7"/>
      <c r="R343" s="8"/>
      <c r="S343" s="7"/>
      <c r="T343" s="9"/>
      <c r="U343" s="7"/>
      <c r="V343" s="8"/>
      <c r="W343" s="7"/>
      <c r="X343" s="7"/>
      <c r="Y343" s="8"/>
      <c r="Z343" s="7"/>
      <c r="AA343" s="8"/>
    </row>
    <row r="344" spans="4:27" ht="14.25" thickTop="1" thickBot="1">
      <c r="D344" s="66"/>
      <c r="E344" s="52" t="s">
        <v>150</v>
      </c>
      <c r="F344" s="7"/>
      <c r="G344" s="8"/>
      <c r="H344" s="7"/>
      <c r="I344" s="6"/>
      <c r="J344" s="7"/>
      <c r="K344" s="8"/>
      <c r="L344" s="7"/>
      <c r="M344" s="8"/>
      <c r="N344" s="7"/>
      <c r="O344" s="8"/>
      <c r="P344" s="7"/>
      <c r="Q344" s="7"/>
      <c r="R344" s="8"/>
      <c r="S344" s="7"/>
      <c r="T344" s="9"/>
      <c r="U344" s="7"/>
      <c r="V344" s="8"/>
      <c r="W344" s="7"/>
      <c r="X344" s="7"/>
      <c r="Y344" s="8"/>
      <c r="Z344" s="7"/>
      <c r="AA344" s="8"/>
    </row>
    <row r="345" spans="4:27" ht="14.25" thickTop="1" thickBot="1">
      <c r="D345" s="66"/>
      <c r="E345" s="52" t="s">
        <v>1042</v>
      </c>
      <c r="F345" s="7"/>
      <c r="G345" s="8"/>
      <c r="H345" s="7"/>
      <c r="I345" s="6"/>
      <c r="J345" s="7"/>
      <c r="K345" s="8"/>
      <c r="L345" s="7"/>
      <c r="M345" s="8"/>
      <c r="N345" s="7"/>
      <c r="O345" s="8"/>
      <c r="P345" s="7"/>
      <c r="Q345" s="7"/>
      <c r="R345" s="8"/>
      <c r="S345" s="7"/>
      <c r="T345" s="9"/>
      <c r="U345" s="7"/>
      <c r="V345" s="8"/>
      <c r="W345" s="7"/>
      <c r="X345" s="7"/>
      <c r="Y345" s="8"/>
      <c r="Z345" s="7"/>
      <c r="AA345" s="8"/>
    </row>
    <row r="346" spans="4:27" ht="14.25" thickTop="1" thickBot="1">
      <c r="D346" s="66"/>
      <c r="E346" s="52" t="s">
        <v>1034</v>
      </c>
      <c r="F346" s="7"/>
      <c r="G346" s="8"/>
      <c r="H346" s="7"/>
      <c r="I346" s="6"/>
      <c r="J346" s="7"/>
      <c r="K346" s="8"/>
      <c r="L346" s="7"/>
      <c r="M346" s="8"/>
      <c r="N346" s="7"/>
      <c r="O346" s="8"/>
      <c r="P346" s="7"/>
      <c r="Q346" s="7"/>
      <c r="R346" s="8"/>
      <c r="S346" s="7"/>
      <c r="T346" s="9"/>
      <c r="U346" s="7"/>
      <c r="V346" s="8"/>
      <c r="W346" s="7"/>
      <c r="X346" s="7"/>
      <c r="Y346" s="8"/>
      <c r="Z346" s="7"/>
      <c r="AA346" s="8"/>
    </row>
    <row r="347" spans="4:27" ht="14.25" thickTop="1" thickBot="1">
      <c r="D347" s="66"/>
      <c r="E347" s="52" t="s">
        <v>1030</v>
      </c>
      <c r="F347" s="7"/>
      <c r="G347" s="8"/>
      <c r="H347" s="7"/>
      <c r="I347" s="6"/>
      <c r="J347" s="7"/>
      <c r="K347" s="8"/>
      <c r="L347" s="7"/>
      <c r="M347" s="8"/>
      <c r="N347" s="7"/>
      <c r="O347" s="8"/>
      <c r="P347" s="7"/>
      <c r="Q347" s="7"/>
      <c r="R347" s="8"/>
      <c r="S347" s="7"/>
      <c r="T347" s="9"/>
      <c r="U347" s="7"/>
      <c r="V347" s="8"/>
      <c r="W347" s="7"/>
      <c r="X347" s="7"/>
      <c r="Y347" s="8"/>
      <c r="Z347" s="7"/>
      <c r="AA347" s="8"/>
    </row>
    <row r="348" spans="4:27" ht="14.25" thickTop="1" thickBot="1">
      <c r="D348" s="66"/>
      <c r="E348" s="52" t="s">
        <v>1281</v>
      </c>
      <c r="F348" s="7"/>
      <c r="G348" s="8"/>
      <c r="H348" s="7"/>
      <c r="I348" s="6"/>
      <c r="J348" s="7"/>
      <c r="K348" s="8"/>
      <c r="L348" s="7"/>
      <c r="M348" s="8"/>
      <c r="N348" s="7"/>
      <c r="O348" s="8"/>
      <c r="P348" s="7"/>
      <c r="Q348" s="7"/>
      <c r="R348" s="8"/>
      <c r="S348" s="7"/>
      <c r="T348" s="9"/>
      <c r="U348" s="7"/>
      <c r="V348" s="8"/>
      <c r="W348" s="7"/>
      <c r="X348" s="7"/>
      <c r="Y348" s="8"/>
      <c r="Z348" s="7"/>
      <c r="AA348" s="8"/>
    </row>
    <row r="349" spans="4:27" ht="14.25" thickTop="1" thickBot="1">
      <c r="D349" s="66"/>
      <c r="E349" s="52" t="s">
        <v>233</v>
      </c>
      <c r="F349" s="7"/>
      <c r="G349" s="8"/>
      <c r="H349" s="7"/>
      <c r="I349" s="6"/>
      <c r="J349" s="7"/>
      <c r="K349" s="8"/>
      <c r="L349" s="7"/>
      <c r="M349" s="8"/>
      <c r="N349" s="7"/>
      <c r="O349" s="8"/>
      <c r="P349" s="7"/>
      <c r="Q349" s="7"/>
      <c r="R349" s="8"/>
      <c r="S349" s="7"/>
      <c r="T349" s="9"/>
      <c r="U349" s="7"/>
      <c r="V349" s="8"/>
      <c r="W349" s="7"/>
      <c r="X349" s="7"/>
      <c r="Y349" s="8"/>
      <c r="Z349" s="7"/>
      <c r="AA349" s="8"/>
    </row>
    <row r="350" spans="4:27" ht="14.25" thickTop="1" thickBot="1">
      <c r="D350" s="66"/>
      <c r="E350" s="52" t="s">
        <v>200</v>
      </c>
      <c r="F350" s="7"/>
      <c r="G350" s="8"/>
      <c r="H350" s="7"/>
      <c r="I350" s="6"/>
      <c r="J350" s="7"/>
      <c r="K350" s="8"/>
      <c r="L350" s="7"/>
      <c r="M350" s="8"/>
      <c r="N350" s="7"/>
      <c r="O350" s="8"/>
      <c r="P350" s="7"/>
      <c r="Q350" s="7"/>
      <c r="R350" s="8"/>
      <c r="S350" s="7"/>
      <c r="T350" s="9"/>
      <c r="U350" s="7"/>
      <c r="V350" s="8"/>
      <c r="W350" s="7"/>
      <c r="X350" s="7"/>
      <c r="Y350" s="8"/>
      <c r="Z350" s="7"/>
      <c r="AA350" s="8"/>
    </row>
    <row r="351" spans="4:27" ht="14.25" thickTop="1" thickBot="1">
      <c r="D351" s="66"/>
      <c r="E351" s="52" t="s">
        <v>1021</v>
      </c>
      <c r="F351" s="7"/>
      <c r="G351" s="8"/>
      <c r="H351" s="7"/>
      <c r="I351" s="6"/>
      <c r="J351" s="7"/>
      <c r="K351" s="8"/>
      <c r="L351" s="7"/>
      <c r="M351" s="8"/>
      <c r="N351" s="7"/>
      <c r="O351" s="8"/>
      <c r="P351" s="7"/>
      <c r="Q351" s="7"/>
      <c r="R351" s="8"/>
      <c r="S351" s="7"/>
      <c r="T351" s="9"/>
      <c r="U351" s="7"/>
      <c r="V351" s="8"/>
      <c r="W351" s="7"/>
      <c r="X351" s="7"/>
      <c r="Y351" s="8"/>
      <c r="Z351" s="7"/>
      <c r="AA351" s="8"/>
    </row>
    <row r="352" spans="4:27" ht="14.25" thickTop="1" thickBot="1">
      <c r="D352" s="66"/>
      <c r="E352" s="52" t="s">
        <v>226</v>
      </c>
      <c r="F352" s="7"/>
      <c r="G352" s="8"/>
      <c r="H352" s="7"/>
      <c r="I352" s="6"/>
      <c r="J352" s="7"/>
      <c r="K352" s="8"/>
      <c r="L352" s="7"/>
      <c r="M352" s="8"/>
      <c r="N352" s="7"/>
      <c r="O352" s="8"/>
      <c r="P352" s="7"/>
      <c r="Q352" s="7"/>
      <c r="R352" s="8"/>
      <c r="S352" s="7"/>
      <c r="T352" s="9"/>
      <c r="U352" s="7"/>
      <c r="V352" s="8"/>
      <c r="W352" s="7"/>
      <c r="X352" s="7"/>
      <c r="Y352" s="8"/>
      <c r="Z352" s="7"/>
      <c r="AA352" s="8"/>
    </row>
    <row r="353" spans="4:27" ht="14.25" thickTop="1" thickBot="1">
      <c r="D353" s="66"/>
      <c r="E353" s="52" t="s">
        <v>211</v>
      </c>
      <c r="F353" s="7"/>
      <c r="G353" s="8"/>
      <c r="H353" s="7"/>
      <c r="I353" s="6"/>
      <c r="J353" s="7"/>
      <c r="K353" s="8"/>
      <c r="L353" s="7"/>
      <c r="M353" s="8"/>
      <c r="N353" s="7"/>
      <c r="O353" s="8"/>
      <c r="P353" s="7"/>
      <c r="Q353" s="7"/>
      <c r="R353" s="8"/>
      <c r="S353" s="7"/>
      <c r="T353" s="9"/>
      <c r="U353" s="7"/>
      <c r="V353" s="8"/>
      <c r="W353" s="7"/>
      <c r="X353" s="7"/>
      <c r="Y353" s="8"/>
      <c r="Z353" s="7"/>
      <c r="AA353" s="8"/>
    </row>
    <row r="354" spans="4:27" ht="14.25" thickTop="1" thickBot="1">
      <c r="D354" s="66"/>
      <c r="E354" s="52" t="s">
        <v>284</v>
      </c>
      <c r="F354" s="7"/>
      <c r="G354" s="8"/>
      <c r="H354" s="7"/>
      <c r="I354" s="6"/>
      <c r="J354" s="7"/>
      <c r="K354" s="8"/>
      <c r="L354" s="7"/>
      <c r="M354" s="8"/>
      <c r="N354" s="7"/>
      <c r="O354" s="8"/>
      <c r="P354" s="7"/>
      <c r="Q354" s="7"/>
      <c r="R354" s="8"/>
      <c r="S354" s="7"/>
      <c r="T354" s="9"/>
      <c r="U354" s="7"/>
      <c r="V354" s="8"/>
      <c r="W354" s="7"/>
      <c r="X354" s="7"/>
      <c r="Y354" s="8"/>
      <c r="Z354" s="7"/>
      <c r="AA354" s="8"/>
    </row>
    <row r="355" spans="4:27" ht="14.25" thickTop="1" thickBot="1">
      <c r="D355" s="66"/>
      <c r="E355" s="52" t="s">
        <v>201</v>
      </c>
      <c r="F355" s="7"/>
      <c r="G355" s="8"/>
      <c r="H355" s="7"/>
      <c r="I355" s="6"/>
      <c r="J355" s="7"/>
      <c r="K355" s="8"/>
      <c r="L355" s="7"/>
      <c r="M355" s="8"/>
      <c r="N355" s="7"/>
      <c r="O355" s="8"/>
      <c r="P355" s="7"/>
      <c r="Q355" s="7"/>
      <c r="R355" s="8"/>
      <c r="S355" s="7"/>
      <c r="T355" s="9"/>
      <c r="U355" s="7"/>
      <c r="V355" s="8"/>
      <c r="W355" s="7"/>
      <c r="X355" s="7"/>
      <c r="Y355" s="8"/>
      <c r="Z355" s="7"/>
      <c r="AA355" s="8"/>
    </row>
    <row r="356" spans="4:27" ht="14.25" thickTop="1" thickBot="1">
      <c r="D356" s="66"/>
      <c r="E356" s="52" t="s">
        <v>203</v>
      </c>
      <c r="F356" s="7"/>
      <c r="G356" s="8"/>
      <c r="H356" s="7"/>
      <c r="I356" s="6"/>
      <c r="J356" s="7"/>
      <c r="K356" s="8"/>
      <c r="L356" s="7"/>
      <c r="M356" s="8"/>
      <c r="N356" s="7"/>
      <c r="O356" s="8"/>
      <c r="P356" s="7"/>
      <c r="Q356" s="7"/>
      <c r="R356" s="8"/>
      <c r="S356" s="7"/>
      <c r="T356" s="9"/>
      <c r="U356" s="7"/>
      <c r="V356" s="8"/>
      <c r="W356" s="7"/>
      <c r="X356" s="7"/>
      <c r="Y356" s="8"/>
      <c r="Z356" s="7"/>
      <c r="AA356" s="8"/>
    </row>
    <row r="357" spans="4:27" ht="14.25" thickTop="1" thickBot="1">
      <c r="D357" s="66"/>
      <c r="E357" s="52" t="s">
        <v>1012</v>
      </c>
      <c r="F357" s="7"/>
      <c r="G357" s="8"/>
      <c r="H357" s="7"/>
      <c r="I357" s="6"/>
      <c r="J357" s="7"/>
      <c r="K357" s="8"/>
      <c r="L357" s="7"/>
      <c r="M357" s="8"/>
      <c r="N357" s="7"/>
      <c r="O357" s="8"/>
      <c r="P357" s="7"/>
      <c r="Q357" s="7"/>
      <c r="R357" s="8"/>
      <c r="S357" s="7"/>
      <c r="T357" s="9"/>
      <c r="U357" s="7"/>
      <c r="V357" s="8"/>
      <c r="W357" s="7"/>
      <c r="X357" s="7"/>
      <c r="Y357" s="8"/>
      <c r="Z357" s="7"/>
      <c r="AA357" s="8"/>
    </row>
    <row r="358" spans="4:27" ht="14.25" thickTop="1" thickBot="1">
      <c r="D358" s="66"/>
      <c r="E358" s="52" t="s">
        <v>275</v>
      </c>
      <c r="F358" s="7"/>
      <c r="G358" s="8"/>
      <c r="H358" s="7"/>
      <c r="I358" s="6"/>
      <c r="J358" s="7"/>
      <c r="K358" s="8"/>
      <c r="L358" s="7"/>
      <c r="M358" s="8"/>
      <c r="N358" s="7"/>
      <c r="O358" s="8"/>
      <c r="P358" s="7"/>
      <c r="Q358" s="7"/>
      <c r="R358" s="8"/>
      <c r="S358" s="7"/>
      <c r="T358" s="9"/>
      <c r="U358" s="7"/>
      <c r="V358" s="8"/>
      <c r="W358" s="7"/>
      <c r="X358" s="7"/>
      <c r="Y358" s="8"/>
      <c r="Z358" s="7"/>
      <c r="AA358" s="8"/>
    </row>
    <row r="359" spans="4:27" ht="14.25" thickTop="1" thickBot="1">
      <c r="D359" s="66"/>
      <c r="E359" s="52" t="s">
        <v>276</v>
      </c>
      <c r="F359" s="7"/>
      <c r="G359" s="8"/>
      <c r="H359" s="7"/>
      <c r="I359" s="6"/>
      <c r="J359" s="7"/>
      <c r="K359" s="8"/>
      <c r="L359" s="7"/>
      <c r="M359" s="8"/>
      <c r="N359" s="7"/>
      <c r="O359" s="8"/>
      <c r="P359" s="7"/>
      <c r="Q359" s="7"/>
      <c r="R359" s="8"/>
      <c r="S359" s="7"/>
      <c r="T359" s="9"/>
      <c r="U359" s="7"/>
      <c r="V359" s="8"/>
      <c r="W359" s="7"/>
      <c r="X359" s="7"/>
      <c r="Y359" s="8"/>
      <c r="Z359" s="7"/>
      <c r="AA359" s="8"/>
    </row>
    <row r="360" spans="4:27" ht="14.25" thickTop="1" thickBot="1">
      <c r="D360" s="66"/>
      <c r="E360" s="52" t="s">
        <v>1282</v>
      </c>
      <c r="F360" s="7"/>
      <c r="G360" s="8"/>
      <c r="H360" s="7"/>
      <c r="I360" s="6"/>
      <c r="J360" s="7"/>
      <c r="K360" s="8"/>
      <c r="L360" s="7"/>
      <c r="M360" s="8"/>
      <c r="N360" s="7"/>
      <c r="O360" s="8"/>
      <c r="P360" s="7"/>
      <c r="Q360" s="7"/>
      <c r="R360" s="8"/>
      <c r="S360" s="7"/>
      <c r="T360" s="9"/>
      <c r="U360" s="7"/>
      <c r="V360" s="8"/>
      <c r="W360" s="7"/>
      <c r="X360" s="7"/>
      <c r="Y360" s="8"/>
      <c r="Z360" s="7"/>
      <c r="AA360" s="8"/>
    </row>
    <row r="361" spans="4:27" ht="14.25" thickTop="1" thickBot="1">
      <c r="D361" s="66"/>
      <c r="E361" s="52" t="s">
        <v>1108</v>
      </c>
      <c r="F361" s="7"/>
      <c r="G361" s="8"/>
      <c r="H361" s="7"/>
      <c r="I361" s="6"/>
      <c r="J361" s="7"/>
      <c r="K361" s="8"/>
      <c r="L361" s="7"/>
      <c r="M361" s="8"/>
      <c r="N361" s="7"/>
      <c r="O361" s="8"/>
      <c r="P361" s="7"/>
      <c r="Q361" s="7"/>
      <c r="R361" s="8"/>
      <c r="S361" s="7"/>
      <c r="T361" s="9"/>
      <c r="U361" s="7"/>
      <c r="V361" s="8"/>
      <c r="W361" s="7"/>
      <c r="X361" s="7"/>
      <c r="Y361" s="8"/>
      <c r="Z361" s="7"/>
      <c r="AA361" s="8"/>
    </row>
    <row r="362" spans="4:27" ht="14.25" thickTop="1" thickBot="1">
      <c r="D362" s="66"/>
      <c r="E362" s="52" t="s">
        <v>1110</v>
      </c>
      <c r="F362" s="7"/>
      <c r="G362" s="8"/>
      <c r="H362" s="7"/>
      <c r="I362" s="6"/>
      <c r="J362" s="7"/>
      <c r="K362" s="8"/>
      <c r="L362" s="7"/>
      <c r="M362" s="8"/>
      <c r="N362" s="7"/>
      <c r="O362" s="8"/>
      <c r="P362" s="7"/>
      <c r="Q362" s="7"/>
      <c r="R362" s="8"/>
      <c r="S362" s="7"/>
      <c r="T362" s="9"/>
      <c r="U362" s="7"/>
      <c r="V362" s="8"/>
      <c r="W362" s="7"/>
      <c r="X362" s="7"/>
      <c r="Y362" s="8"/>
      <c r="Z362" s="7"/>
      <c r="AA362" s="8"/>
    </row>
    <row r="363" spans="4:27" ht="14.25" thickTop="1" thickBot="1">
      <c r="D363" s="66"/>
      <c r="E363" s="52" t="s">
        <v>1112</v>
      </c>
      <c r="F363" s="7"/>
      <c r="G363" s="8"/>
      <c r="H363" s="7"/>
      <c r="I363" s="6"/>
      <c r="J363" s="7"/>
      <c r="K363" s="8"/>
      <c r="L363" s="7"/>
      <c r="M363" s="8"/>
      <c r="N363" s="7"/>
      <c r="O363" s="8"/>
      <c r="P363" s="7"/>
      <c r="Q363" s="7"/>
      <c r="R363" s="8"/>
      <c r="S363" s="7"/>
      <c r="T363" s="9"/>
      <c r="U363" s="7"/>
      <c r="V363" s="8"/>
      <c r="W363" s="7"/>
      <c r="X363" s="7"/>
      <c r="Y363" s="8"/>
      <c r="Z363" s="7"/>
      <c r="AA363" s="8"/>
    </row>
    <row r="364" spans="4:27" ht="14.25" thickTop="1" thickBot="1">
      <c r="D364" s="66"/>
      <c r="E364" s="52" t="s">
        <v>1283</v>
      </c>
      <c r="F364" s="7"/>
      <c r="G364" s="8"/>
      <c r="H364" s="7"/>
      <c r="I364" s="6"/>
      <c r="J364" s="7"/>
      <c r="K364" s="8"/>
      <c r="L364" s="7"/>
      <c r="M364" s="8"/>
      <c r="N364" s="7"/>
      <c r="O364" s="8"/>
      <c r="P364" s="7"/>
      <c r="Q364" s="7"/>
      <c r="R364" s="8"/>
      <c r="S364" s="7"/>
      <c r="T364" s="9"/>
      <c r="U364" s="7"/>
      <c r="V364" s="8"/>
      <c r="W364" s="7"/>
      <c r="X364" s="7"/>
      <c r="Y364" s="8"/>
      <c r="Z364" s="7"/>
      <c r="AA364" s="8"/>
    </row>
    <row r="365" spans="4:27" ht="14.25" thickTop="1" thickBot="1">
      <c r="D365" s="66"/>
      <c r="E365" s="52" t="s">
        <v>1113</v>
      </c>
      <c r="F365" s="7"/>
      <c r="G365" s="8"/>
      <c r="H365" s="7"/>
      <c r="I365" s="6"/>
      <c r="J365" s="7"/>
      <c r="K365" s="8"/>
      <c r="L365" s="7"/>
      <c r="M365" s="8"/>
      <c r="N365" s="7"/>
      <c r="O365" s="8"/>
      <c r="P365" s="7"/>
      <c r="Q365" s="7"/>
      <c r="R365" s="8"/>
      <c r="S365" s="7"/>
      <c r="T365" s="9"/>
      <c r="U365" s="7"/>
      <c r="V365" s="8"/>
      <c r="W365" s="7"/>
      <c r="X365" s="7"/>
      <c r="Y365" s="8"/>
      <c r="Z365" s="7"/>
      <c r="AA365" s="8"/>
    </row>
    <row r="366" spans="4:27" ht="14.25" thickTop="1" thickBot="1">
      <c r="D366" s="66"/>
      <c r="E366" s="52" t="s">
        <v>1284</v>
      </c>
      <c r="F366" s="7"/>
      <c r="G366" s="8"/>
      <c r="H366" s="7"/>
      <c r="I366" s="6"/>
      <c r="J366" s="7"/>
      <c r="K366" s="8"/>
      <c r="L366" s="7"/>
      <c r="M366" s="8"/>
      <c r="N366" s="7"/>
      <c r="O366" s="8"/>
      <c r="P366" s="7"/>
      <c r="Q366" s="7"/>
      <c r="R366" s="8"/>
      <c r="S366" s="7"/>
      <c r="T366" s="9"/>
      <c r="U366" s="7"/>
      <c r="V366" s="8"/>
      <c r="W366" s="7"/>
      <c r="X366" s="7"/>
      <c r="Y366" s="8"/>
      <c r="Z366" s="7"/>
      <c r="AA366" s="8"/>
    </row>
    <row r="367" spans="4:27" ht="14.25" thickTop="1" thickBot="1">
      <c r="D367" s="66"/>
      <c r="E367" s="52" t="s">
        <v>1018</v>
      </c>
      <c r="F367" s="7"/>
      <c r="G367" s="8"/>
      <c r="H367" s="7"/>
      <c r="I367" s="6"/>
      <c r="J367" s="7"/>
      <c r="K367" s="8"/>
      <c r="L367" s="7"/>
      <c r="M367" s="8"/>
      <c r="N367" s="7"/>
      <c r="O367" s="8"/>
      <c r="P367" s="7"/>
      <c r="Q367" s="7"/>
      <c r="R367" s="8"/>
      <c r="S367" s="7"/>
      <c r="T367" s="9"/>
      <c r="U367" s="7"/>
      <c r="V367" s="8"/>
      <c r="W367" s="7"/>
      <c r="X367" s="7"/>
      <c r="Y367" s="8"/>
      <c r="Z367" s="7"/>
      <c r="AA367" s="8"/>
    </row>
    <row r="368" spans="4:27" ht="14.25" thickTop="1" thickBot="1">
      <c r="D368" s="66"/>
      <c r="E368" s="52" t="s">
        <v>204</v>
      </c>
      <c r="F368" s="7"/>
      <c r="G368" s="8"/>
      <c r="H368" s="7"/>
      <c r="I368" s="6"/>
      <c r="J368" s="7"/>
      <c r="K368" s="8"/>
      <c r="L368" s="7"/>
      <c r="M368" s="8"/>
      <c r="N368" s="7"/>
      <c r="O368" s="8"/>
      <c r="P368" s="7"/>
      <c r="Q368" s="7"/>
      <c r="R368" s="8"/>
      <c r="S368" s="7"/>
      <c r="T368" s="9"/>
      <c r="U368" s="7"/>
      <c r="V368" s="8"/>
      <c r="W368" s="7"/>
      <c r="X368" s="7"/>
      <c r="Y368" s="8"/>
      <c r="Z368" s="7"/>
      <c r="AA368" s="8"/>
    </row>
    <row r="369" spans="4:27" ht="14.25" thickTop="1" thickBot="1">
      <c r="D369" s="66"/>
      <c r="E369" s="52" t="s">
        <v>281</v>
      </c>
      <c r="F369" s="7"/>
      <c r="G369" s="8"/>
      <c r="H369" s="7"/>
      <c r="I369" s="6"/>
      <c r="J369" s="7"/>
      <c r="K369" s="8"/>
      <c r="L369" s="7"/>
      <c r="M369" s="8"/>
      <c r="N369" s="7"/>
      <c r="O369" s="8"/>
      <c r="P369" s="7"/>
      <c r="Q369" s="7"/>
      <c r="R369" s="8"/>
      <c r="S369" s="7"/>
      <c r="T369" s="9"/>
      <c r="U369" s="7"/>
      <c r="V369" s="8"/>
      <c r="W369" s="7"/>
      <c r="X369" s="7"/>
      <c r="Y369" s="8"/>
      <c r="Z369" s="7"/>
      <c r="AA369" s="8"/>
    </row>
    <row r="370" spans="4:27" ht="14.25" thickTop="1" thickBot="1">
      <c r="D370" s="66"/>
      <c r="E370" s="52" t="s">
        <v>1016</v>
      </c>
      <c r="F370" s="7"/>
      <c r="G370" s="8"/>
      <c r="H370" s="7"/>
      <c r="I370" s="6"/>
      <c r="J370" s="7"/>
      <c r="K370" s="8"/>
      <c r="L370" s="7"/>
      <c r="M370" s="8"/>
      <c r="N370" s="7"/>
      <c r="O370" s="8"/>
      <c r="P370" s="7"/>
      <c r="Q370" s="7"/>
      <c r="R370" s="8"/>
      <c r="S370" s="7"/>
      <c r="T370" s="9"/>
      <c r="U370" s="7"/>
      <c r="V370" s="8"/>
      <c r="W370" s="7"/>
      <c r="X370" s="7"/>
      <c r="Y370" s="8"/>
      <c r="Z370" s="7"/>
      <c r="AA370" s="8"/>
    </row>
    <row r="371" spans="4:27" ht="14.25" thickTop="1" thickBot="1">
      <c r="D371" s="66"/>
      <c r="E371" s="52" t="s">
        <v>205</v>
      </c>
      <c r="F371" s="7"/>
      <c r="G371" s="8"/>
      <c r="H371" s="7"/>
      <c r="I371" s="6"/>
      <c r="J371" s="7"/>
      <c r="K371" s="8"/>
      <c r="L371" s="7"/>
      <c r="M371" s="8"/>
      <c r="N371" s="7"/>
      <c r="O371" s="8"/>
      <c r="P371" s="7"/>
      <c r="Q371" s="7"/>
      <c r="R371" s="8"/>
      <c r="S371" s="7"/>
      <c r="T371" s="9"/>
      <c r="U371" s="7"/>
      <c r="V371" s="8"/>
      <c r="W371" s="7"/>
      <c r="X371" s="7"/>
      <c r="Y371" s="8"/>
      <c r="Z371" s="7"/>
      <c r="AA371" s="8"/>
    </row>
    <row r="372" spans="4:27" ht="14.25" thickTop="1" thickBot="1">
      <c r="D372" s="66"/>
      <c r="E372" s="52" t="s">
        <v>207</v>
      </c>
      <c r="F372" s="7"/>
      <c r="G372" s="8"/>
      <c r="H372" s="7"/>
      <c r="I372" s="6"/>
      <c r="J372" s="7"/>
      <c r="K372" s="8"/>
      <c r="L372" s="7"/>
      <c r="M372" s="8"/>
      <c r="N372" s="7"/>
      <c r="O372" s="8"/>
      <c r="P372" s="7"/>
      <c r="Q372" s="7"/>
      <c r="R372" s="8"/>
      <c r="S372" s="7"/>
      <c r="T372" s="9"/>
      <c r="U372" s="7"/>
      <c r="V372" s="8"/>
      <c r="W372" s="7"/>
      <c r="X372" s="7"/>
      <c r="Y372" s="8"/>
      <c r="Z372" s="7"/>
      <c r="AA372" s="8"/>
    </row>
    <row r="373" spans="4:27" ht="14.25" thickTop="1" thickBot="1">
      <c r="D373" s="66"/>
      <c r="E373" s="52" t="s">
        <v>1005</v>
      </c>
      <c r="F373" s="7"/>
      <c r="G373" s="8"/>
      <c r="H373" s="7"/>
      <c r="I373" s="6"/>
      <c r="J373" s="7"/>
      <c r="K373" s="8"/>
      <c r="L373" s="7"/>
      <c r="M373" s="8"/>
      <c r="N373" s="7"/>
      <c r="O373" s="8"/>
      <c r="P373" s="7"/>
      <c r="Q373" s="7"/>
      <c r="R373" s="8"/>
      <c r="S373" s="7"/>
      <c r="T373" s="9"/>
      <c r="U373" s="7"/>
      <c r="V373" s="8"/>
      <c r="W373" s="7"/>
      <c r="X373" s="7"/>
      <c r="Y373" s="8"/>
      <c r="Z373" s="7"/>
      <c r="AA373" s="8"/>
    </row>
    <row r="374" spans="4:27" ht="14.25" thickTop="1" thickBot="1">
      <c r="D374" s="66"/>
      <c r="E374" s="52" t="s">
        <v>1014</v>
      </c>
      <c r="F374" s="7"/>
      <c r="G374" s="8"/>
      <c r="H374" s="7"/>
      <c r="I374" s="6"/>
      <c r="J374" s="7"/>
      <c r="K374" s="8"/>
      <c r="L374" s="7"/>
      <c r="M374" s="8"/>
      <c r="N374" s="7"/>
      <c r="O374" s="8"/>
      <c r="P374" s="7"/>
      <c r="Q374" s="7"/>
      <c r="R374" s="8"/>
      <c r="S374" s="7"/>
      <c r="T374" s="9"/>
      <c r="U374" s="7"/>
      <c r="V374" s="8"/>
      <c r="W374" s="7"/>
      <c r="X374" s="7"/>
      <c r="Y374" s="8"/>
      <c r="Z374" s="7"/>
      <c r="AA374" s="8"/>
    </row>
    <row r="375" spans="4:27" ht="14.25" thickTop="1" thickBot="1">
      <c r="D375" s="66"/>
      <c r="E375" s="52" t="s">
        <v>289</v>
      </c>
      <c r="F375" s="7"/>
      <c r="G375" s="8"/>
      <c r="H375" s="7"/>
      <c r="I375" s="6"/>
      <c r="J375" s="7"/>
      <c r="K375" s="8"/>
      <c r="L375" s="7"/>
      <c r="M375" s="8"/>
      <c r="N375" s="7"/>
      <c r="O375" s="8"/>
      <c r="P375" s="7"/>
      <c r="Q375" s="7"/>
      <c r="R375" s="8"/>
      <c r="S375" s="7"/>
      <c r="T375" s="9"/>
      <c r="U375" s="7"/>
      <c r="V375" s="8"/>
      <c r="W375" s="7"/>
      <c r="X375" s="7"/>
      <c r="Y375" s="8"/>
      <c r="Z375" s="7"/>
      <c r="AA375" s="8"/>
    </row>
    <row r="376" spans="4:27" ht="14.25" thickTop="1" thickBot="1">
      <c r="D376" s="66"/>
      <c r="E376" s="52" t="s">
        <v>1007</v>
      </c>
      <c r="F376" s="7"/>
      <c r="G376" s="8"/>
      <c r="H376" s="7"/>
      <c r="I376" s="6"/>
      <c r="J376" s="7"/>
      <c r="K376" s="8"/>
      <c r="L376" s="7"/>
      <c r="M376" s="8"/>
      <c r="N376" s="7"/>
      <c r="O376" s="8"/>
      <c r="P376" s="7"/>
      <c r="Q376" s="7"/>
      <c r="R376" s="8"/>
      <c r="S376" s="7"/>
      <c r="T376" s="9"/>
      <c r="U376" s="7"/>
      <c r="V376" s="8"/>
      <c r="W376" s="7"/>
      <c r="X376" s="7"/>
      <c r="Y376" s="8"/>
      <c r="Z376" s="7"/>
      <c r="AA376" s="8"/>
    </row>
    <row r="377" spans="4:27" ht="14.25" thickTop="1" thickBot="1">
      <c r="D377" s="66"/>
      <c r="E377" s="52" t="s">
        <v>1285</v>
      </c>
      <c r="F377" s="7"/>
      <c r="G377" s="8"/>
      <c r="H377" s="7"/>
      <c r="I377" s="6"/>
      <c r="J377" s="7"/>
      <c r="K377" s="8"/>
      <c r="L377" s="7"/>
      <c r="M377" s="8"/>
      <c r="N377" s="7"/>
      <c r="O377" s="8"/>
      <c r="P377" s="7"/>
      <c r="Q377" s="7"/>
      <c r="R377" s="8"/>
      <c r="S377" s="7"/>
      <c r="T377" s="9"/>
      <c r="U377" s="7"/>
      <c r="V377" s="8"/>
      <c r="W377" s="7"/>
      <c r="X377" s="7"/>
      <c r="Y377" s="8"/>
      <c r="Z377" s="7"/>
      <c r="AA377" s="8"/>
    </row>
    <row r="378" spans="4:27" ht="14.25" thickTop="1" thickBot="1">
      <c r="D378" s="66"/>
      <c r="E378" s="52" t="s">
        <v>1128</v>
      </c>
      <c r="F378" s="7"/>
      <c r="G378" s="8"/>
      <c r="H378" s="7"/>
      <c r="I378" s="6"/>
      <c r="J378" s="7"/>
      <c r="K378" s="8"/>
      <c r="L378" s="7"/>
      <c r="M378" s="8"/>
      <c r="N378" s="7"/>
      <c r="O378" s="8"/>
      <c r="P378" s="7"/>
      <c r="Q378" s="7"/>
      <c r="R378" s="8"/>
      <c r="S378" s="7"/>
      <c r="T378" s="9"/>
      <c r="U378" s="7"/>
      <c r="V378" s="8"/>
      <c r="W378" s="7"/>
      <c r="X378" s="7"/>
      <c r="Y378" s="8"/>
      <c r="Z378" s="7"/>
      <c r="AA378" s="8"/>
    </row>
    <row r="379" spans="4:27" ht="14.25" thickTop="1" thickBot="1">
      <c r="D379" s="66"/>
      <c r="E379" s="52" t="s">
        <v>1129</v>
      </c>
      <c r="F379" s="7"/>
      <c r="G379" s="8"/>
      <c r="H379" s="7"/>
      <c r="I379" s="6"/>
      <c r="J379" s="7"/>
      <c r="K379" s="8"/>
      <c r="L379" s="7"/>
      <c r="M379" s="8"/>
      <c r="N379" s="7"/>
      <c r="O379" s="8"/>
      <c r="P379" s="7"/>
      <c r="Q379" s="7"/>
      <c r="R379" s="8"/>
      <c r="S379" s="7"/>
      <c r="T379" s="9"/>
      <c r="U379" s="7"/>
      <c r="V379" s="8"/>
      <c r="W379" s="7"/>
      <c r="X379" s="7"/>
      <c r="Y379" s="8"/>
      <c r="Z379" s="7"/>
      <c r="AA379" s="8"/>
    </row>
    <row r="380" spans="4:27" ht="14.25" thickTop="1" thickBot="1">
      <c r="D380" s="66"/>
      <c r="E380" s="52" t="s">
        <v>1130</v>
      </c>
      <c r="F380" s="7"/>
      <c r="G380" s="8"/>
      <c r="H380" s="7"/>
      <c r="I380" s="6"/>
      <c r="J380" s="7"/>
      <c r="K380" s="8"/>
      <c r="L380" s="7"/>
      <c r="M380" s="8"/>
      <c r="N380" s="7"/>
      <c r="O380" s="8"/>
      <c r="P380" s="7"/>
      <c r="Q380" s="7"/>
      <c r="R380" s="8"/>
      <c r="S380" s="7"/>
      <c r="T380" s="9"/>
      <c r="U380" s="7"/>
      <c r="V380" s="8"/>
      <c r="W380" s="7"/>
      <c r="X380" s="7"/>
      <c r="Y380" s="8"/>
      <c r="Z380" s="7"/>
      <c r="AA380" s="8"/>
    </row>
    <row r="381" spans="4:27" ht="14.25" thickTop="1" thickBot="1">
      <c r="D381" s="66"/>
      <c r="E381" s="52" t="s">
        <v>1131</v>
      </c>
      <c r="F381" s="7"/>
      <c r="G381" s="8"/>
      <c r="H381" s="7"/>
      <c r="I381" s="6"/>
      <c r="J381" s="7"/>
      <c r="K381" s="8"/>
      <c r="L381" s="7"/>
      <c r="M381" s="8"/>
      <c r="N381" s="7"/>
      <c r="O381" s="8"/>
      <c r="P381" s="7"/>
      <c r="Q381" s="7"/>
      <c r="R381" s="8"/>
      <c r="S381" s="7"/>
      <c r="T381" s="9"/>
      <c r="U381" s="7"/>
      <c r="V381" s="8"/>
      <c r="W381" s="7"/>
      <c r="X381" s="7"/>
      <c r="Y381" s="8"/>
      <c r="Z381" s="7"/>
      <c r="AA381" s="8"/>
    </row>
    <row r="382" spans="4:27" ht="14.25" thickTop="1" thickBot="1">
      <c r="D382" s="66"/>
      <c r="E382" s="52" t="s">
        <v>1132</v>
      </c>
      <c r="F382" s="7"/>
      <c r="G382" s="8"/>
      <c r="H382" s="7"/>
      <c r="I382" s="6"/>
      <c r="J382" s="7"/>
      <c r="K382" s="8"/>
      <c r="L382" s="7"/>
      <c r="M382" s="8"/>
      <c r="N382" s="7"/>
      <c r="O382" s="8"/>
      <c r="P382" s="7"/>
      <c r="Q382" s="7"/>
      <c r="R382" s="8"/>
      <c r="S382" s="7"/>
      <c r="T382" s="9"/>
      <c r="U382" s="7"/>
      <c r="V382" s="8"/>
      <c r="W382" s="7"/>
      <c r="X382" s="7"/>
      <c r="Y382" s="8"/>
      <c r="Z382" s="7"/>
      <c r="AA382" s="8"/>
    </row>
    <row r="383" spans="4:27" ht="14.25" thickTop="1" thickBot="1">
      <c r="D383" s="66"/>
      <c r="E383" s="52" t="s">
        <v>1133</v>
      </c>
      <c r="F383" s="7"/>
      <c r="G383" s="8"/>
      <c r="H383" s="7"/>
      <c r="I383" s="6"/>
      <c r="J383" s="7"/>
      <c r="K383" s="8"/>
      <c r="L383" s="7"/>
      <c r="M383" s="8"/>
      <c r="N383" s="7"/>
      <c r="O383" s="8"/>
      <c r="P383" s="7"/>
      <c r="Q383" s="7"/>
      <c r="R383" s="8"/>
      <c r="S383" s="7"/>
      <c r="T383" s="9"/>
      <c r="U383" s="7"/>
      <c r="V383" s="8"/>
      <c r="W383" s="7"/>
      <c r="X383" s="7"/>
      <c r="Y383" s="8"/>
      <c r="Z383" s="7"/>
      <c r="AA383" s="8"/>
    </row>
    <row r="384" spans="4:27" ht="14.25" thickTop="1" thickBot="1">
      <c r="D384" s="66"/>
      <c r="E384" s="52" t="s">
        <v>1023</v>
      </c>
      <c r="F384" s="7"/>
      <c r="G384" s="8"/>
      <c r="H384" s="7"/>
      <c r="I384" s="6"/>
      <c r="J384" s="7"/>
      <c r="K384" s="8"/>
      <c r="L384" s="7"/>
      <c r="M384" s="8"/>
      <c r="N384" s="7"/>
      <c r="O384" s="8"/>
      <c r="P384" s="7"/>
      <c r="Q384" s="7"/>
      <c r="R384" s="8"/>
      <c r="S384" s="7"/>
      <c r="T384" s="9"/>
      <c r="U384" s="7"/>
      <c r="V384" s="8"/>
      <c r="W384" s="7"/>
      <c r="X384" s="7"/>
      <c r="Y384" s="8"/>
      <c r="Z384" s="7"/>
      <c r="AA384" s="8"/>
    </row>
    <row r="385" spans="4:27" ht="14.25" thickTop="1" thickBot="1">
      <c r="D385" s="66"/>
      <c r="E385" s="52" t="s">
        <v>1020</v>
      </c>
      <c r="F385" s="7"/>
      <c r="G385" s="8"/>
      <c r="H385" s="7"/>
      <c r="I385" s="6"/>
      <c r="J385" s="7"/>
      <c r="K385" s="8"/>
      <c r="L385" s="7"/>
      <c r="M385" s="8"/>
      <c r="N385" s="7"/>
      <c r="O385" s="8"/>
      <c r="P385" s="7"/>
      <c r="Q385" s="7"/>
      <c r="R385" s="8"/>
      <c r="S385" s="7"/>
      <c r="T385" s="9"/>
      <c r="U385" s="7"/>
      <c r="V385" s="8"/>
      <c r="W385" s="7"/>
      <c r="X385" s="7"/>
      <c r="Y385" s="8"/>
      <c r="Z385" s="7"/>
      <c r="AA385" s="8"/>
    </row>
    <row r="386" spans="4:27" ht="14.25" thickTop="1" thickBot="1">
      <c r="D386" s="66"/>
      <c r="E386" s="52" t="s">
        <v>746</v>
      </c>
      <c r="F386" s="7"/>
      <c r="G386" s="8"/>
      <c r="H386" s="7"/>
      <c r="I386" s="6"/>
      <c r="J386" s="7"/>
      <c r="K386" s="8"/>
      <c r="L386" s="7"/>
      <c r="M386" s="8"/>
      <c r="N386" s="7"/>
      <c r="O386" s="8"/>
      <c r="P386" s="7"/>
      <c r="Q386" s="7"/>
      <c r="R386" s="8"/>
      <c r="S386" s="7"/>
      <c r="T386" s="9"/>
      <c r="U386" s="7"/>
      <c r="V386" s="8"/>
      <c r="W386" s="7"/>
      <c r="X386" s="7"/>
      <c r="Y386" s="8"/>
      <c r="Z386" s="7"/>
      <c r="AA386" s="8"/>
    </row>
    <row r="387" spans="4:27" ht="14.25" thickTop="1" thickBot="1">
      <c r="D387" s="66"/>
      <c r="E387" s="52" t="s">
        <v>994</v>
      </c>
      <c r="F387" s="7"/>
      <c r="G387" s="8"/>
      <c r="H387" s="7"/>
      <c r="I387" s="6"/>
      <c r="J387" s="7"/>
      <c r="K387" s="8"/>
      <c r="L387" s="7"/>
      <c r="M387" s="8"/>
      <c r="N387" s="7"/>
      <c r="O387" s="8"/>
      <c r="P387" s="7"/>
      <c r="Q387" s="7"/>
      <c r="R387" s="8"/>
      <c r="S387" s="7"/>
      <c r="T387" s="9"/>
      <c r="U387" s="7"/>
      <c r="V387" s="8"/>
      <c r="W387" s="7"/>
      <c r="X387" s="7"/>
      <c r="Y387" s="8"/>
      <c r="Z387" s="7"/>
      <c r="AA387" s="8"/>
    </row>
    <row r="388" spans="4:27" ht="14.25" thickTop="1" thickBot="1">
      <c r="D388" s="66"/>
      <c r="E388" s="52" t="s">
        <v>992</v>
      </c>
      <c r="F388" s="7"/>
      <c r="G388" s="8"/>
      <c r="H388" s="7"/>
      <c r="I388" s="6"/>
      <c r="J388" s="7"/>
      <c r="K388" s="8"/>
      <c r="L388" s="7"/>
      <c r="M388" s="8"/>
      <c r="N388" s="7"/>
      <c r="O388" s="8"/>
      <c r="P388" s="7"/>
      <c r="Q388" s="7"/>
      <c r="R388" s="8"/>
      <c r="S388" s="7"/>
      <c r="T388" s="9"/>
      <c r="U388" s="7"/>
      <c r="V388" s="8"/>
      <c r="W388" s="7"/>
      <c r="X388" s="7"/>
      <c r="Y388" s="8"/>
      <c r="Z388" s="7"/>
      <c r="AA388" s="8"/>
    </row>
    <row r="389" spans="4:27" ht="14.25" thickTop="1" thickBot="1">
      <c r="D389" s="66"/>
      <c r="E389" s="52" t="s">
        <v>990</v>
      </c>
      <c r="F389" s="7"/>
      <c r="G389" s="8"/>
      <c r="H389" s="7"/>
      <c r="I389" s="6"/>
      <c r="J389" s="7"/>
      <c r="K389" s="8"/>
      <c r="L389" s="7"/>
      <c r="M389" s="8"/>
      <c r="N389" s="7"/>
      <c r="O389" s="8"/>
      <c r="P389" s="7"/>
      <c r="Q389" s="7"/>
      <c r="R389" s="8"/>
      <c r="S389" s="7"/>
      <c r="T389" s="9"/>
      <c r="U389" s="7"/>
      <c r="V389" s="8"/>
      <c r="W389" s="7"/>
      <c r="X389" s="7"/>
      <c r="Y389" s="8"/>
      <c r="Z389" s="7"/>
      <c r="AA389" s="8"/>
    </row>
    <row r="390" spans="4:27" ht="14.25" thickTop="1" thickBot="1">
      <c r="D390" s="66"/>
      <c r="E390" s="52" t="s">
        <v>991</v>
      </c>
      <c r="F390" s="7"/>
      <c r="G390" s="8"/>
      <c r="H390" s="7"/>
      <c r="I390" s="6"/>
      <c r="J390" s="7"/>
      <c r="K390" s="8"/>
      <c r="L390" s="7"/>
      <c r="M390" s="8"/>
      <c r="N390" s="7"/>
      <c r="O390" s="8"/>
      <c r="P390" s="7"/>
      <c r="Q390" s="7"/>
      <c r="R390" s="8"/>
      <c r="S390" s="7"/>
      <c r="T390" s="9"/>
      <c r="U390" s="7"/>
      <c r="V390" s="8"/>
      <c r="W390" s="7"/>
      <c r="X390" s="7"/>
      <c r="Y390" s="8"/>
      <c r="Z390" s="7"/>
      <c r="AA390" s="8"/>
    </row>
    <row r="391" spans="4:27" ht="14.25" thickTop="1" thickBot="1">
      <c r="D391" s="66"/>
      <c r="E391" s="52" t="s">
        <v>1286</v>
      </c>
      <c r="F391" s="7"/>
      <c r="G391" s="8"/>
      <c r="H391" s="7"/>
      <c r="I391" s="6"/>
      <c r="J391" s="7"/>
      <c r="K391" s="8"/>
      <c r="L391" s="7"/>
      <c r="M391" s="8"/>
      <c r="N391" s="7"/>
      <c r="O391" s="8"/>
      <c r="P391" s="7"/>
      <c r="Q391" s="7"/>
      <c r="R391" s="8"/>
      <c r="S391" s="7"/>
      <c r="T391" s="9"/>
      <c r="U391" s="7"/>
      <c r="V391" s="8"/>
      <c r="W391" s="7"/>
      <c r="X391" s="7"/>
      <c r="Y391" s="8"/>
      <c r="Z391" s="7"/>
      <c r="AA391" s="8"/>
    </row>
    <row r="392" spans="4:27" ht="14.25" thickTop="1" thickBot="1">
      <c r="D392" s="66"/>
      <c r="E392" s="52" t="s">
        <v>1054</v>
      </c>
      <c r="F392" s="7"/>
      <c r="G392" s="8"/>
      <c r="H392" s="7"/>
      <c r="I392" s="6"/>
      <c r="J392" s="7"/>
      <c r="K392" s="8"/>
      <c r="L392" s="7"/>
      <c r="M392" s="8"/>
      <c r="N392" s="7"/>
      <c r="O392" s="8"/>
      <c r="P392" s="7"/>
      <c r="Q392" s="7"/>
      <c r="R392" s="8"/>
      <c r="S392" s="7"/>
      <c r="T392" s="9"/>
      <c r="U392" s="7"/>
      <c r="V392" s="8"/>
      <c r="W392" s="7"/>
      <c r="X392" s="7"/>
      <c r="Y392" s="8"/>
      <c r="Z392" s="7"/>
      <c r="AA392" s="8"/>
    </row>
    <row r="393" spans="4:27" ht="14.25" thickTop="1" thickBot="1">
      <c r="D393" s="66"/>
      <c r="E393" s="52" t="s">
        <v>1052</v>
      </c>
      <c r="F393" s="7"/>
      <c r="G393" s="8"/>
      <c r="H393" s="7"/>
      <c r="I393" s="6"/>
      <c r="J393" s="7"/>
      <c r="K393" s="8"/>
      <c r="L393" s="7"/>
      <c r="M393" s="8"/>
      <c r="N393" s="7"/>
      <c r="O393" s="8"/>
      <c r="P393" s="7"/>
      <c r="Q393" s="7"/>
      <c r="R393" s="8"/>
      <c r="S393" s="7"/>
      <c r="T393" s="9"/>
      <c r="U393" s="7"/>
      <c r="V393" s="8"/>
      <c r="W393" s="7"/>
      <c r="X393" s="7"/>
      <c r="Y393" s="8"/>
      <c r="Z393" s="7"/>
      <c r="AA393" s="8"/>
    </row>
    <row r="394" spans="4:27" ht="14.25" thickTop="1" thickBot="1">
      <c r="D394" s="66"/>
      <c r="E394" s="52" t="s">
        <v>1053</v>
      </c>
      <c r="F394" s="7"/>
      <c r="G394" s="8"/>
      <c r="H394" s="7"/>
      <c r="I394" s="6"/>
      <c r="J394" s="7"/>
      <c r="K394" s="8"/>
      <c r="L394" s="7"/>
      <c r="M394" s="8"/>
      <c r="N394" s="7"/>
      <c r="O394" s="8"/>
      <c r="P394" s="7"/>
      <c r="Q394" s="7"/>
      <c r="R394" s="8"/>
      <c r="S394" s="7"/>
      <c r="T394" s="9"/>
      <c r="U394" s="7"/>
      <c r="V394" s="8"/>
      <c r="W394" s="7"/>
      <c r="X394" s="7"/>
      <c r="Y394" s="8"/>
      <c r="Z394" s="7"/>
      <c r="AA394" s="8"/>
    </row>
    <row r="395" spans="4:27" ht="14.25" thickTop="1" thickBot="1">
      <c r="D395" s="66"/>
      <c r="E395" s="52" t="s">
        <v>155</v>
      </c>
      <c r="F395" s="7"/>
      <c r="G395" s="8"/>
      <c r="H395" s="7"/>
      <c r="I395" s="6"/>
      <c r="J395" s="7"/>
      <c r="K395" s="8"/>
      <c r="L395" s="7"/>
      <c r="M395" s="8"/>
      <c r="N395" s="7"/>
      <c r="O395" s="8"/>
      <c r="P395" s="7"/>
      <c r="Q395" s="7"/>
      <c r="R395" s="8"/>
      <c r="S395" s="7"/>
      <c r="T395" s="9"/>
      <c r="U395" s="7"/>
      <c r="V395" s="8"/>
      <c r="W395" s="7"/>
      <c r="X395" s="7"/>
      <c r="Y395" s="8"/>
      <c r="Z395" s="7"/>
      <c r="AA395" s="8"/>
    </row>
    <row r="396" spans="4:27" ht="14.25" thickTop="1" thickBot="1">
      <c r="D396" s="66"/>
      <c r="E396" s="52" t="s">
        <v>227</v>
      </c>
      <c r="F396" s="7"/>
      <c r="G396" s="8"/>
      <c r="H396" s="7"/>
      <c r="I396" s="6"/>
      <c r="J396" s="7"/>
      <c r="K396" s="8"/>
      <c r="L396" s="7"/>
      <c r="M396" s="8"/>
      <c r="N396" s="7"/>
      <c r="O396" s="8"/>
      <c r="P396" s="7"/>
      <c r="Q396" s="7"/>
      <c r="R396" s="8"/>
      <c r="S396" s="7"/>
      <c r="T396" s="9"/>
      <c r="U396" s="7"/>
      <c r="V396" s="8"/>
      <c r="W396" s="7"/>
      <c r="X396" s="7"/>
      <c r="Y396" s="8"/>
      <c r="Z396" s="7"/>
      <c r="AA396" s="8"/>
    </row>
    <row r="397" spans="4:27" ht="14.25" thickTop="1" thickBot="1">
      <c r="D397" s="66"/>
      <c r="E397" s="52" t="s">
        <v>156</v>
      </c>
      <c r="F397" s="7"/>
      <c r="G397" s="8"/>
      <c r="H397" s="7"/>
      <c r="I397" s="6"/>
      <c r="J397" s="7"/>
      <c r="K397" s="8"/>
      <c r="L397" s="7"/>
      <c r="M397" s="8"/>
      <c r="N397" s="7"/>
      <c r="O397" s="8"/>
      <c r="P397" s="7"/>
      <c r="Q397" s="7"/>
      <c r="R397" s="8"/>
      <c r="S397" s="7"/>
      <c r="T397" s="9"/>
      <c r="U397" s="7"/>
      <c r="V397" s="8"/>
      <c r="W397" s="7"/>
      <c r="X397" s="7"/>
      <c r="Y397" s="8"/>
      <c r="Z397" s="7"/>
      <c r="AA397" s="8"/>
    </row>
    <row r="398" spans="4:27" ht="14.25" thickTop="1" thickBot="1">
      <c r="D398" s="66"/>
      <c r="E398" s="52" t="s">
        <v>157</v>
      </c>
      <c r="F398" s="7"/>
      <c r="G398" s="8"/>
      <c r="H398" s="7"/>
      <c r="I398" s="6"/>
      <c r="J398" s="7"/>
      <c r="K398" s="8"/>
      <c r="L398" s="7"/>
      <c r="M398" s="8"/>
      <c r="N398" s="7"/>
      <c r="O398" s="8"/>
      <c r="P398" s="7"/>
      <c r="Q398" s="7"/>
      <c r="R398" s="8"/>
      <c r="S398" s="7"/>
      <c r="T398" s="9"/>
      <c r="U398" s="7"/>
      <c r="V398" s="8"/>
      <c r="W398" s="7"/>
      <c r="X398" s="7"/>
      <c r="Y398" s="8"/>
      <c r="Z398" s="7"/>
      <c r="AA398" s="8"/>
    </row>
    <row r="399" spans="4:27" ht="14.25" thickTop="1" thickBot="1">
      <c r="D399" s="66"/>
      <c r="E399" s="52" t="s">
        <v>158</v>
      </c>
      <c r="F399" s="7"/>
      <c r="G399" s="8"/>
      <c r="H399" s="7"/>
      <c r="I399" s="6"/>
      <c r="J399" s="7"/>
      <c r="K399" s="8"/>
      <c r="L399" s="7"/>
      <c r="M399" s="8"/>
      <c r="N399" s="7"/>
      <c r="O399" s="8"/>
      <c r="P399" s="7"/>
      <c r="Q399" s="7"/>
      <c r="R399" s="8"/>
      <c r="S399" s="7"/>
      <c r="T399" s="9"/>
      <c r="U399" s="7"/>
      <c r="V399" s="8"/>
      <c r="W399" s="7"/>
      <c r="X399" s="7"/>
      <c r="Y399" s="8"/>
      <c r="Z399" s="7"/>
      <c r="AA399" s="8"/>
    </row>
    <row r="400" spans="4:27" ht="14.25" thickTop="1" thickBot="1">
      <c r="D400" s="66"/>
      <c r="E400" s="52" t="s">
        <v>159</v>
      </c>
      <c r="F400" s="7"/>
      <c r="G400" s="8"/>
      <c r="H400" s="7"/>
      <c r="I400" s="6"/>
      <c r="J400" s="7"/>
      <c r="K400" s="8"/>
      <c r="L400" s="7"/>
      <c r="M400" s="8"/>
      <c r="N400" s="7"/>
      <c r="O400" s="8"/>
      <c r="P400" s="7"/>
      <c r="Q400" s="7"/>
      <c r="R400" s="8"/>
      <c r="S400" s="7"/>
      <c r="T400" s="9"/>
      <c r="U400" s="7"/>
      <c r="V400" s="8"/>
      <c r="W400" s="7"/>
      <c r="X400" s="7"/>
      <c r="Y400" s="8"/>
      <c r="Z400" s="7"/>
      <c r="AA400" s="8"/>
    </row>
    <row r="401" spans="4:27" ht="14.25" thickTop="1" thickBot="1">
      <c r="D401" s="66"/>
      <c r="E401" s="52" t="s">
        <v>160</v>
      </c>
      <c r="F401" s="7"/>
      <c r="G401" s="8"/>
      <c r="H401" s="7"/>
      <c r="I401" s="6"/>
      <c r="J401" s="7"/>
      <c r="K401" s="8"/>
      <c r="L401" s="7"/>
      <c r="M401" s="8"/>
      <c r="N401" s="7"/>
      <c r="O401" s="8"/>
      <c r="P401" s="7"/>
      <c r="Q401" s="7"/>
      <c r="R401" s="8"/>
      <c r="S401" s="7"/>
      <c r="T401" s="9"/>
      <c r="U401" s="7"/>
      <c r="V401" s="8"/>
      <c r="W401" s="7"/>
      <c r="X401" s="7"/>
      <c r="Y401" s="8"/>
      <c r="Z401" s="7"/>
      <c r="AA401" s="8"/>
    </row>
    <row r="402" spans="4:27" ht="14.25" thickTop="1" thickBot="1">
      <c r="D402" s="66"/>
      <c r="E402" s="52" t="s">
        <v>257</v>
      </c>
      <c r="F402" s="7"/>
      <c r="G402" s="8"/>
      <c r="H402" s="7"/>
      <c r="I402" s="6"/>
      <c r="J402" s="7"/>
      <c r="K402" s="8"/>
      <c r="L402" s="7"/>
      <c r="M402" s="8"/>
      <c r="N402" s="7"/>
      <c r="O402" s="8"/>
      <c r="P402" s="7"/>
      <c r="Q402" s="7"/>
      <c r="R402" s="8"/>
      <c r="S402" s="7"/>
      <c r="T402" s="9"/>
      <c r="U402" s="7"/>
      <c r="V402" s="8"/>
      <c r="W402" s="7"/>
      <c r="X402" s="7"/>
      <c r="Y402" s="8"/>
      <c r="Z402" s="7"/>
      <c r="AA402" s="8"/>
    </row>
    <row r="403" spans="4:27" ht="14.25" thickTop="1" thickBot="1">
      <c r="D403" s="66"/>
      <c r="E403" s="52" t="s">
        <v>258</v>
      </c>
      <c r="F403" s="7"/>
      <c r="G403" s="8"/>
      <c r="H403" s="7"/>
      <c r="I403" s="6"/>
      <c r="J403" s="7"/>
      <c r="K403" s="8"/>
      <c r="L403" s="7"/>
      <c r="M403" s="8"/>
      <c r="N403" s="7"/>
      <c r="O403" s="8"/>
      <c r="P403" s="7"/>
      <c r="Q403" s="7"/>
      <c r="R403" s="8"/>
      <c r="S403" s="7"/>
      <c r="T403" s="9"/>
      <c r="U403" s="7"/>
      <c r="V403" s="8"/>
      <c r="W403" s="7"/>
      <c r="X403" s="7"/>
      <c r="Y403" s="8"/>
      <c r="Z403" s="7"/>
      <c r="AA403" s="8"/>
    </row>
    <row r="404" spans="4:27" ht="14.25" thickTop="1" thickBot="1">
      <c r="D404" s="66"/>
      <c r="E404" s="52" t="s">
        <v>228</v>
      </c>
      <c r="F404" s="7"/>
      <c r="G404" s="8"/>
      <c r="H404" s="7"/>
      <c r="I404" s="6"/>
      <c r="J404" s="7"/>
      <c r="K404" s="8"/>
      <c r="L404" s="7"/>
      <c r="M404" s="8"/>
      <c r="N404" s="7"/>
      <c r="O404" s="8"/>
      <c r="P404" s="7"/>
      <c r="Q404" s="7"/>
      <c r="R404" s="8"/>
      <c r="S404" s="7"/>
      <c r="T404" s="9"/>
      <c r="U404" s="7"/>
      <c r="V404" s="8"/>
      <c r="W404" s="7"/>
      <c r="X404" s="7"/>
      <c r="Y404" s="8"/>
      <c r="Z404" s="7"/>
      <c r="AA404" s="8"/>
    </row>
    <row r="405" spans="4:27" ht="14.25" thickTop="1" thickBot="1">
      <c r="D405" s="66"/>
      <c r="E405" s="52" t="s">
        <v>161</v>
      </c>
      <c r="F405" s="7"/>
      <c r="G405" s="8"/>
      <c r="H405" s="7"/>
      <c r="I405" s="6"/>
      <c r="J405" s="7"/>
      <c r="K405" s="8"/>
      <c r="L405" s="7"/>
      <c r="M405" s="8"/>
      <c r="N405" s="7"/>
      <c r="O405" s="8"/>
      <c r="P405" s="7"/>
      <c r="Q405" s="7"/>
      <c r="R405" s="8"/>
      <c r="S405" s="7"/>
      <c r="T405" s="9"/>
      <c r="U405" s="7"/>
      <c r="V405" s="8"/>
      <c r="W405" s="7"/>
      <c r="X405" s="7"/>
      <c r="Y405" s="8"/>
      <c r="Z405" s="7"/>
      <c r="AA405" s="8"/>
    </row>
    <row r="406" spans="4:27" ht="14.25" thickTop="1" thickBot="1">
      <c r="D406" s="66"/>
      <c r="E406" s="52" t="s">
        <v>229</v>
      </c>
      <c r="F406" s="7"/>
      <c r="G406" s="8"/>
      <c r="H406" s="7"/>
      <c r="I406" s="6"/>
      <c r="J406" s="7"/>
      <c r="K406" s="8"/>
      <c r="L406" s="7"/>
      <c r="M406" s="8"/>
      <c r="N406" s="7"/>
      <c r="O406" s="8"/>
      <c r="P406" s="7"/>
      <c r="Q406" s="7"/>
      <c r="R406" s="8"/>
      <c r="S406" s="7"/>
      <c r="T406" s="9"/>
      <c r="U406" s="7"/>
      <c r="V406" s="8"/>
      <c r="W406" s="7"/>
      <c r="X406" s="7"/>
      <c r="Y406" s="8"/>
      <c r="Z406" s="7"/>
      <c r="AA406" s="8"/>
    </row>
    <row r="407" spans="4:27" ht="14.25" thickTop="1" thickBot="1">
      <c r="D407" s="66"/>
      <c r="E407" s="52" t="s">
        <v>162</v>
      </c>
      <c r="F407" s="7"/>
      <c r="G407" s="8"/>
      <c r="H407" s="7"/>
      <c r="I407" s="6"/>
      <c r="J407" s="7"/>
      <c r="K407" s="8"/>
      <c r="L407" s="7"/>
      <c r="M407" s="8"/>
      <c r="N407" s="7"/>
      <c r="O407" s="8"/>
      <c r="P407" s="7"/>
      <c r="Q407" s="7"/>
      <c r="R407" s="8"/>
      <c r="S407" s="7"/>
      <c r="T407" s="9"/>
      <c r="U407" s="7"/>
      <c r="V407" s="8"/>
      <c r="W407" s="7"/>
      <c r="X407" s="7"/>
      <c r="Y407" s="8"/>
      <c r="Z407" s="7"/>
      <c r="AA407" s="8"/>
    </row>
    <row r="408" spans="4:27" ht="14.25" thickTop="1" thickBot="1">
      <c r="D408" s="66"/>
      <c r="E408" s="52" t="s">
        <v>259</v>
      </c>
      <c r="F408" s="7"/>
      <c r="G408" s="8"/>
      <c r="H408" s="7"/>
      <c r="I408" s="6"/>
      <c r="J408" s="7"/>
      <c r="K408" s="8"/>
      <c r="L408" s="7"/>
      <c r="M408" s="8"/>
      <c r="N408" s="7"/>
      <c r="O408" s="8"/>
      <c r="P408" s="7"/>
      <c r="Q408" s="7"/>
      <c r="R408" s="8"/>
      <c r="S408" s="7"/>
      <c r="T408" s="9"/>
      <c r="U408" s="7"/>
      <c r="V408" s="8"/>
      <c r="W408" s="7"/>
      <c r="X408" s="7"/>
      <c r="Y408" s="8"/>
      <c r="Z408" s="7"/>
      <c r="AA408" s="8"/>
    </row>
    <row r="409" spans="4:27" ht="14.25" thickTop="1" thickBot="1">
      <c r="D409" s="66"/>
      <c r="E409" s="52" t="s">
        <v>163</v>
      </c>
      <c r="F409" s="7"/>
      <c r="G409" s="8"/>
      <c r="H409" s="7"/>
      <c r="I409" s="6"/>
      <c r="J409" s="7"/>
      <c r="K409" s="8"/>
      <c r="L409" s="7"/>
      <c r="M409" s="8"/>
      <c r="N409" s="7"/>
      <c r="O409" s="8"/>
      <c r="P409" s="7"/>
      <c r="Q409" s="7"/>
      <c r="R409" s="8"/>
      <c r="S409" s="7"/>
      <c r="T409" s="9"/>
      <c r="U409" s="7"/>
      <c r="V409" s="8"/>
      <c r="W409" s="7"/>
      <c r="X409" s="7"/>
      <c r="Y409" s="8"/>
      <c r="Z409" s="7"/>
      <c r="AA409" s="8"/>
    </row>
    <row r="410" spans="4:27" ht="14.25" thickTop="1" thickBot="1">
      <c r="D410" s="66"/>
      <c r="E410" s="52" t="s">
        <v>1144</v>
      </c>
      <c r="F410" s="7"/>
      <c r="G410" s="8"/>
      <c r="H410" s="7"/>
      <c r="I410" s="6"/>
      <c r="J410" s="7"/>
      <c r="K410" s="8"/>
      <c r="L410" s="7"/>
      <c r="M410" s="8"/>
      <c r="N410" s="7"/>
      <c r="O410" s="8"/>
      <c r="P410" s="7"/>
      <c r="Q410" s="7"/>
      <c r="R410" s="8"/>
      <c r="S410" s="7"/>
      <c r="T410" s="9"/>
      <c r="U410" s="7"/>
      <c r="V410" s="8"/>
      <c r="W410" s="7"/>
      <c r="X410" s="7"/>
      <c r="Y410" s="8"/>
      <c r="Z410" s="7"/>
      <c r="AA410" s="8"/>
    </row>
    <row r="411" spans="4:27" ht="14.25" thickTop="1" thickBot="1">
      <c r="D411" s="66"/>
      <c r="E411" s="52" t="s">
        <v>164</v>
      </c>
      <c r="F411" s="7"/>
      <c r="G411" s="8"/>
      <c r="H411" s="7"/>
      <c r="I411" s="6"/>
      <c r="J411" s="7"/>
      <c r="K411" s="8"/>
      <c r="L411" s="7"/>
      <c r="M411" s="8"/>
      <c r="N411" s="7"/>
      <c r="O411" s="8"/>
      <c r="P411" s="7"/>
      <c r="Q411" s="7"/>
      <c r="R411" s="8"/>
      <c r="S411" s="7"/>
      <c r="T411" s="9"/>
      <c r="U411" s="7"/>
      <c r="V411" s="8"/>
      <c r="W411" s="7"/>
      <c r="X411" s="7"/>
      <c r="Y411" s="8"/>
      <c r="Z411" s="7"/>
      <c r="AA411" s="8"/>
    </row>
    <row r="412" spans="4:27" ht="14.25" thickTop="1" thickBot="1">
      <c r="D412" s="66"/>
      <c r="E412" s="52" t="s">
        <v>261</v>
      </c>
      <c r="F412" s="7"/>
      <c r="G412" s="8"/>
      <c r="H412" s="7"/>
      <c r="I412" s="6"/>
      <c r="J412" s="7"/>
      <c r="K412" s="8"/>
      <c r="L412" s="7"/>
      <c r="M412" s="8"/>
      <c r="N412" s="7"/>
      <c r="O412" s="8"/>
      <c r="P412" s="7"/>
      <c r="Q412" s="7"/>
      <c r="R412" s="8"/>
      <c r="S412" s="7"/>
      <c r="T412" s="9"/>
      <c r="U412" s="7"/>
      <c r="V412" s="8"/>
      <c r="W412" s="7"/>
      <c r="X412" s="7"/>
      <c r="Y412" s="8"/>
      <c r="Z412" s="7"/>
      <c r="AA412" s="8"/>
    </row>
    <row r="413" spans="4:27" ht="14.25" thickTop="1" thickBot="1">
      <c r="D413" s="66"/>
      <c r="E413" s="52" t="s">
        <v>165</v>
      </c>
      <c r="F413" s="7"/>
      <c r="G413" s="8"/>
      <c r="H413" s="7"/>
      <c r="I413" s="6"/>
      <c r="J413" s="7"/>
      <c r="K413" s="8"/>
      <c r="L413" s="7"/>
      <c r="M413" s="8"/>
      <c r="N413" s="7"/>
      <c r="O413" s="8"/>
      <c r="P413" s="7"/>
      <c r="Q413" s="7"/>
      <c r="R413" s="8"/>
      <c r="S413" s="7"/>
      <c r="T413" s="9"/>
      <c r="U413" s="7"/>
      <c r="V413" s="8"/>
      <c r="W413" s="7"/>
      <c r="X413" s="7"/>
      <c r="Y413" s="8"/>
      <c r="Z413" s="7"/>
      <c r="AA413" s="8"/>
    </row>
    <row r="414" spans="4:27" ht="14.25" thickTop="1" thickBot="1">
      <c r="D414" s="66"/>
      <c r="E414" s="52" t="s">
        <v>166</v>
      </c>
      <c r="F414" s="7"/>
      <c r="G414" s="8"/>
      <c r="H414" s="7"/>
      <c r="I414" s="6"/>
      <c r="J414" s="7"/>
      <c r="K414" s="8"/>
      <c r="L414" s="7"/>
      <c r="M414" s="8"/>
      <c r="N414" s="7"/>
      <c r="O414" s="8"/>
      <c r="P414" s="7"/>
      <c r="Q414" s="7"/>
      <c r="R414" s="8"/>
      <c r="S414" s="7"/>
      <c r="T414" s="9"/>
      <c r="U414" s="7"/>
      <c r="V414" s="8"/>
      <c r="W414" s="7"/>
      <c r="X414" s="7"/>
      <c r="Y414" s="8"/>
      <c r="Z414" s="7"/>
      <c r="AA414" s="8"/>
    </row>
    <row r="415" spans="4:27" ht="14.25" thickTop="1" thickBot="1">
      <c r="D415" s="66"/>
      <c r="E415" s="52" t="s">
        <v>1047</v>
      </c>
      <c r="F415" s="7"/>
      <c r="G415" s="8"/>
      <c r="H415" s="7"/>
      <c r="I415" s="6"/>
      <c r="J415" s="7"/>
      <c r="K415" s="8"/>
      <c r="L415" s="7"/>
      <c r="M415" s="8"/>
      <c r="N415" s="7"/>
      <c r="O415" s="8"/>
      <c r="P415" s="7"/>
      <c r="Q415" s="7"/>
      <c r="R415" s="8"/>
      <c r="S415" s="7"/>
      <c r="T415" s="9"/>
      <c r="U415" s="7"/>
      <c r="V415" s="8"/>
      <c r="W415" s="7"/>
      <c r="X415" s="7"/>
      <c r="Y415" s="8"/>
      <c r="Z415" s="7"/>
      <c r="AA415" s="8"/>
    </row>
    <row r="416" spans="4:27" ht="14.25" thickTop="1" thickBot="1">
      <c r="D416" s="66"/>
      <c r="E416" s="52" t="s">
        <v>980</v>
      </c>
      <c r="F416" s="7"/>
      <c r="G416" s="8"/>
      <c r="H416" s="7"/>
      <c r="I416" s="6"/>
      <c r="J416" s="7"/>
      <c r="K416" s="8"/>
      <c r="L416" s="7"/>
      <c r="M416" s="8"/>
      <c r="N416" s="7"/>
      <c r="O416" s="8"/>
      <c r="P416" s="7"/>
      <c r="Q416" s="7"/>
      <c r="R416" s="8"/>
      <c r="S416" s="7"/>
      <c r="T416" s="9"/>
      <c r="U416" s="7"/>
      <c r="V416" s="8"/>
      <c r="W416" s="7"/>
      <c r="X416" s="7"/>
      <c r="Y416" s="8"/>
      <c r="Z416" s="7"/>
      <c r="AA416" s="8"/>
    </row>
    <row r="417" spans="4:27" ht="14.25" thickTop="1" thickBot="1">
      <c r="D417" s="66"/>
      <c r="E417" s="52" t="s">
        <v>981</v>
      </c>
      <c r="F417" s="7"/>
      <c r="G417" s="8"/>
      <c r="H417" s="7"/>
      <c r="I417" s="6"/>
      <c r="J417" s="7"/>
      <c r="K417" s="8"/>
      <c r="L417" s="7"/>
      <c r="M417" s="8"/>
      <c r="N417" s="7"/>
      <c r="O417" s="8"/>
      <c r="P417" s="7"/>
      <c r="Q417" s="7"/>
      <c r="R417" s="8"/>
      <c r="S417" s="7"/>
      <c r="T417" s="9"/>
      <c r="U417" s="7"/>
      <c r="V417" s="8"/>
      <c r="W417" s="7"/>
      <c r="X417" s="7"/>
      <c r="Y417" s="8"/>
      <c r="Z417" s="7"/>
      <c r="AA417" s="8"/>
    </row>
    <row r="418" spans="4:27" ht="14.25" thickTop="1" thickBot="1">
      <c r="D418" s="66"/>
      <c r="E418" s="52" t="s">
        <v>714</v>
      </c>
      <c r="F418" s="7"/>
      <c r="G418" s="8"/>
      <c r="H418" s="7"/>
      <c r="I418" s="6"/>
      <c r="J418" s="7"/>
      <c r="K418" s="8"/>
      <c r="L418" s="7"/>
      <c r="M418" s="8"/>
      <c r="N418" s="7"/>
      <c r="O418" s="8"/>
      <c r="P418" s="7"/>
      <c r="Q418" s="7"/>
      <c r="R418" s="8"/>
      <c r="S418" s="7"/>
      <c r="T418" s="9"/>
      <c r="U418" s="7"/>
      <c r="V418" s="8"/>
      <c r="W418" s="7"/>
      <c r="X418" s="7"/>
      <c r="Y418" s="8"/>
      <c r="Z418" s="7"/>
      <c r="AA418" s="8"/>
    </row>
    <row r="419" spans="4:27" ht="14.25" thickTop="1" thickBot="1">
      <c r="D419" s="66"/>
      <c r="E419" s="52" t="s">
        <v>750</v>
      </c>
      <c r="F419" s="7"/>
      <c r="G419" s="8"/>
      <c r="H419" s="7"/>
      <c r="I419" s="6"/>
      <c r="J419" s="7"/>
      <c r="K419" s="8"/>
      <c r="L419" s="7"/>
      <c r="M419" s="8"/>
      <c r="N419" s="7"/>
      <c r="O419" s="8"/>
      <c r="P419" s="7"/>
      <c r="Q419" s="7"/>
      <c r="R419" s="8"/>
      <c r="S419" s="7"/>
      <c r="T419" s="9"/>
      <c r="U419" s="7"/>
      <c r="V419" s="8"/>
      <c r="W419" s="7"/>
      <c r="X419" s="7"/>
      <c r="Y419" s="8"/>
      <c r="Z419" s="7"/>
      <c r="AA419" s="8"/>
    </row>
    <row r="420" spans="4:27" ht="14.25" thickTop="1" thickBot="1">
      <c r="D420" s="66"/>
      <c r="E420" s="52" t="s">
        <v>704</v>
      </c>
      <c r="F420" s="7"/>
      <c r="G420" s="8"/>
      <c r="H420" s="7"/>
      <c r="I420" s="6"/>
      <c r="J420" s="7"/>
      <c r="K420" s="8"/>
      <c r="L420" s="7"/>
      <c r="M420" s="8"/>
      <c r="N420" s="7"/>
      <c r="O420" s="8"/>
      <c r="P420" s="7"/>
      <c r="Q420" s="7"/>
      <c r="R420" s="8"/>
      <c r="S420" s="7"/>
      <c r="T420" s="9"/>
      <c r="U420" s="7"/>
      <c r="V420" s="8"/>
      <c r="W420" s="7"/>
      <c r="X420" s="7"/>
      <c r="Y420" s="8"/>
      <c r="Z420" s="7"/>
      <c r="AA420" s="8"/>
    </row>
    <row r="421" spans="4:27" ht="14.25" thickTop="1" thickBot="1">
      <c r="D421" s="66"/>
      <c r="E421" s="52" t="s">
        <v>965</v>
      </c>
      <c r="F421" s="7"/>
      <c r="G421" s="8"/>
      <c r="H421" s="7"/>
      <c r="I421" s="6"/>
      <c r="J421" s="7"/>
      <c r="K421" s="8"/>
      <c r="L421" s="7"/>
      <c r="M421" s="8"/>
      <c r="N421" s="7"/>
      <c r="O421" s="8"/>
      <c r="P421" s="7"/>
      <c r="Q421" s="7"/>
      <c r="R421" s="8"/>
      <c r="S421" s="7"/>
      <c r="T421" s="9"/>
      <c r="U421" s="7"/>
      <c r="V421" s="8"/>
      <c r="W421" s="7"/>
      <c r="X421" s="7"/>
      <c r="Y421" s="8"/>
      <c r="Z421" s="7"/>
      <c r="AA421" s="8"/>
    </row>
    <row r="422" spans="4:27" ht="14.25" thickTop="1" thickBot="1">
      <c r="D422" s="66"/>
      <c r="E422" s="52" t="s">
        <v>1287</v>
      </c>
      <c r="F422" s="7"/>
      <c r="G422" s="8"/>
      <c r="H422" s="7"/>
      <c r="I422" s="6"/>
      <c r="J422" s="7"/>
      <c r="K422" s="8"/>
      <c r="L422" s="7"/>
      <c r="M422" s="8"/>
      <c r="N422" s="7"/>
      <c r="O422" s="8"/>
      <c r="P422" s="7"/>
      <c r="Q422" s="7"/>
      <c r="R422" s="8"/>
      <c r="S422" s="7"/>
      <c r="T422" s="9"/>
      <c r="U422" s="7"/>
      <c r="V422" s="8"/>
      <c r="W422" s="7"/>
      <c r="X422" s="7"/>
      <c r="Y422" s="8"/>
      <c r="Z422" s="7"/>
      <c r="AA422" s="8"/>
    </row>
    <row r="423" spans="4:27" ht="14.25" thickTop="1" thickBot="1">
      <c r="D423" s="66"/>
      <c r="E423" s="52" t="s">
        <v>1100</v>
      </c>
      <c r="F423" s="7"/>
      <c r="G423" s="8"/>
      <c r="H423" s="7"/>
      <c r="I423" s="6"/>
      <c r="J423" s="7"/>
      <c r="K423" s="8"/>
      <c r="L423" s="7"/>
      <c r="M423" s="8"/>
      <c r="N423" s="7"/>
      <c r="O423" s="8"/>
      <c r="P423" s="7"/>
      <c r="Q423" s="7"/>
      <c r="R423" s="8"/>
      <c r="S423" s="7"/>
      <c r="T423" s="9"/>
      <c r="U423" s="7"/>
      <c r="V423" s="8"/>
      <c r="W423" s="7"/>
      <c r="X423" s="7"/>
      <c r="Y423" s="8"/>
      <c r="Z423" s="7"/>
      <c r="AA423" s="8"/>
    </row>
    <row r="424" spans="4:27" ht="14.25" thickTop="1" thickBot="1">
      <c r="D424" s="66"/>
      <c r="E424" s="52" t="s">
        <v>168</v>
      </c>
      <c r="F424" s="7"/>
      <c r="G424" s="8"/>
      <c r="H424" s="7"/>
      <c r="I424" s="6"/>
      <c r="J424" s="7"/>
      <c r="K424" s="8"/>
      <c r="L424" s="7"/>
      <c r="M424" s="8"/>
      <c r="N424" s="7"/>
      <c r="O424" s="8"/>
      <c r="P424" s="7"/>
      <c r="Q424" s="7"/>
      <c r="R424" s="8"/>
      <c r="S424" s="7"/>
      <c r="T424" s="9"/>
      <c r="U424" s="7"/>
      <c r="V424" s="8"/>
      <c r="W424" s="7"/>
      <c r="X424" s="7"/>
      <c r="Y424" s="8"/>
      <c r="Z424" s="7"/>
      <c r="AA424" s="8"/>
    </row>
    <row r="425" spans="4:27" ht="14.25" thickTop="1" thickBot="1">
      <c r="D425" s="66"/>
      <c r="E425" s="52" t="s">
        <v>1125</v>
      </c>
      <c r="F425" s="7"/>
      <c r="G425" s="8"/>
      <c r="H425" s="7"/>
      <c r="I425" s="6"/>
      <c r="J425" s="7"/>
      <c r="K425" s="8"/>
      <c r="L425" s="7"/>
      <c r="M425" s="8"/>
      <c r="N425" s="7"/>
      <c r="O425" s="8"/>
      <c r="P425" s="7"/>
      <c r="Q425" s="7"/>
      <c r="R425" s="8"/>
      <c r="S425" s="7"/>
      <c r="T425" s="9"/>
      <c r="U425" s="7"/>
      <c r="V425" s="8"/>
      <c r="W425" s="7"/>
      <c r="X425" s="7"/>
      <c r="Y425" s="8"/>
      <c r="Z425" s="7"/>
      <c r="AA425" s="8"/>
    </row>
    <row r="426" spans="4:27" ht="14.25" thickTop="1" thickBot="1">
      <c r="D426" s="66"/>
      <c r="E426" s="52" t="s">
        <v>771</v>
      </c>
      <c r="F426" s="7"/>
      <c r="G426" s="8"/>
      <c r="H426" s="7"/>
      <c r="I426" s="6"/>
      <c r="J426" s="7"/>
      <c r="K426" s="8"/>
      <c r="L426" s="7"/>
      <c r="M426" s="8"/>
      <c r="N426" s="7"/>
      <c r="O426" s="8"/>
      <c r="P426" s="7"/>
      <c r="Q426" s="7"/>
      <c r="R426" s="8"/>
      <c r="S426" s="7"/>
      <c r="T426" s="9"/>
      <c r="U426" s="7"/>
      <c r="V426" s="8"/>
      <c r="W426" s="7"/>
      <c r="X426" s="7"/>
      <c r="Y426" s="8"/>
      <c r="Z426" s="7"/>
      <c r="AA426" s="8"/>
    </row>
    <row r="427" spans="4:27" ht="14.25" thickTop="1" thickBot="1">
      <c r="D427" s="66"/>
      <c r="E427" s="52" t="s">
        <v>209</v>
      </c>
      <c r="F427" s="7"/>
      <c r="G427" s="8"/>
      <c r="H427" s="7"/>
      <c r="I427" s="6"/>
      <c r="J427" s="7"/>
      <c r="K427" s="8"/>
      <c r="L427" s="7"/>
      <c r="M427" s="8"/>
      <c r="N427" s="7"/>
      <c r="O427" s="8"/>
      <c r="P427" s="7"/>
      <c r="Q427" s="7"/>
      <c r="R427" s="8"/>
      <c r="S427" s="7"/>
      <c r="T427" s="9"/>
      <c r="U427" s="7"/>
      <c r="V427" s="8"/>
      <c r="W427" s="7"/>
      <c r="X427" s="7"/>
      <c r="Y427" s="8"/>
      <c r="Z427" s="7"/>
      <c r="AA427" s="8"/>
    </row>
    <row r="428" spans="4:27" ht="14.25" thickTop="1" thickBot="1">
      <c r="D428" s="66"/>
      <c r="E428" s="52" t="s">
        <v>210</v>
      </c>
      <c r="F428" s="7"/>
      <c r="G428" s="8"/>
      <c r="H428" s="7"/>
      <c r="I428" s="6"/>
      <c r="J428" s="7"/>
      <c r="K428" s="8"/>
      <c r="L428" s="7"/>
      <c r="M428" s="8"/>
      <c r="N428" s="7"/>
      <c r="O428" s="8"/>
      <c r="P428" s="7"/>
      <c r="Q428" s="7"/>
      <c r="R428" s="8"/>
      <c r="S428" s="7"/>
      <c r="T428" s="9"/>
      <c r="U428" s="7"/>
      <c r="V428" s="8"/>
      <c r="W428" s="7"/>
      <c r="X428" s="7"/>
      <c r="Y428" s="8"/>
      <c r="Z428" s="7"/>
      <c r="AA428" s="8"/>
    </row>
    <row r="429" spans="4:27" ht="14.25" thickTop="1" thickBot="1">
      <c r="D429" s="66"/>
      <c r="E429" s="52" t="s">
        <v>1138</v>
      </c>
      <c r="F429" s="7"/>
      <c r="G429" s="8"/>
      <c r="H429" s="7"/>
      <c r="I429" s="6"/>
      <c r="J429" s="7"/>
      <c r="K429" s="8"/>
      <c r="L429" s="7"/>
      <c r="M429" s="8"/>
      <c r="N429" s="7"/>
      <c r="O429" s="8"/>
      <c r="P429" s="7"/>
      <c r="Q429" s="7"/>
      <c r="R429" s="8"/>
      <c r="S429" s="7"/>
      <c r="T429" s="9"/>
      <c r="U429" s="7"/>
      <c r="V429" s="8"/>
      <c r="W429" s="7"/>
      <c r="X429" s="7"/>
      <c r="Y429" s="8"/>
      <c r="Z429" s="7"/>
      <c r="AA429" s="8"/>
    </row>
    <row r="430" spans="4:27" ht="14.25" thickTop="1" thickBot="1">
      <c r="D430" s="66"/>
      <c r="E430" s="52" t="s">
        <v>1071</v>
      </c>
      <c r="F430" s="7"/>
      <c r="G430" s="8"/>
      <c r="H430" s="7"/>
      <c r="I430" s="6"/>
      <c r="J430" s="7"/>
      <c r="K430" s="8"/>
      <c r="L430" s="7"/>
      <c r="M430" s="8"/>
      <c r="N430" s="7"/>
      <c r="O430" s="8"/>
      <c r="P430" s="7"/>
      <c r="Q430" s="7"/>
      <c r="R430" s="8"/>
      <c r="S430" s="7"/>
      <c r="T430" s="9"/>
      <c r="U430" s="7"/>
      <c r="V430" s="8"/>
      <c r="W430" s="7"/>
      <c r="X430" s="7"/>
      <c r="Y430" s="8"/>
      <c r="Z430" s="7"/>
      <c r="AA430" s="8"/>
    </row>
    <row r="431" spans="4:27" ht="14.25" thickTop="1" thickBot="1">
      <c r="D431" s="66"/>
      <c r="E431" s="52" t="s">
        <v>1124</v>
      </c>
      <c r="F431" s="7"/>
      <c r="G431" s="8"/>
      <c r="H431" s="7"/>
      <c r="I431" s="6"/>
      <c r="J431" s="7"/>
      <c r="K431" s="8"/>
      <c r="L431" s="7"/>
      <c r="M431" s="8"/>
      <c r="N431" s="7"/>
      <c r="O431" s="8"/>
      <c r="P431" s="7"/>
      <c r="Q431" s="7"/>
      <c r="R431" s="8"/>
      <c r="S431" s="7"/>
      <c r="T431" s="9"/>
      <c r="U431" s="7"/>
      <c r="V431" s="8"/>
      <c r="W431" s="7"/>
      <c r="X431" s="7"/>
      <c r="Y431" s="8"/>
      <c r="Z431" s="7"/>
      <c r="AA431" s="8"/>
    </row>
    <row r="432" spans="4:27" ht="14.25" thickTop="1" thickBot="1">
      <c r="D432" s="66"/>
      <c r="E432" s="52" t="s">
        <v>230</v>
      </c>
      <c r="F432" s="7"/>
      <c r="G432" s="8"/>
      <c r="H432" s="7"/>
      <c r="I432" s="6"/>
      <c r="J432" s="7"/>
      <c r="K432" s="8"/>
      <c r="L432" s="7"/>
      <c r="M432" s="8"/>
      <c r="N432" s="7"/>
      <c r="O432" s="8"/>
      <c r="P432" s="7"/>
      <c r="Q432" s="7"/>
      <c r="R432" s="8"/>
      <c r="S432" s="7"/>
      <c r="T432" s="9"/>
      <c r="U432" s="7"/>
      <c r="V432" s="8"/>
      <c r="W432" s="7"/>
      <c r="X432" s="7"/>
      <c r="Y432" s="8"/>
      <c r="Z432" s="7"/>
      <c r="AA432" s="8"/>
    </row>
    <row r="433" spans="4:27" ht="14.25" thickTop="1" thickBot="1">
      <c r="D433" s="66"/>
      <c r="E433" s="52" t="s">
        <v>213</v>
      </c>
      <c r="F433" s="7"/>
      <c r="G433" s="8"/>
      <c r="H433" s="7"/>
      <c r="I433" s="6"/>
      <c r="J433" s="7"/>
      <c r="K433" s="8"/>
      <c r="L433" s="7"/>
      <c r="M433" s="8"/>
      <c r="N433" s="7"/>
      <c r="O433" s="8"/>
      <c r="P433" s="7"/>
      <c r="Q433" s="7"/>
      <c r="R433" s="8"/>
      <c r="S433" s="7"/>
      <c r="T433" s="9"/>
      <c r="U433" s="7"/>
      <c r="V433" s="8"/>
      <c r="W433" s="7"/>
      <c r="X433" s="7"/>
      <c r="Y433" s="8"/>
      <c r="Z433" s="7"/>
      <c r="AA433" s="8"/>
    </row>
    <row r="434" spans="4:27" ht="14.25" thickTop="1" thickBot="1">
      <c r="D434" s="66"/>
      <c r="E434" s="52" t="s">
        <v>214</v>
      </c>
      <c r="F434" s="7"/>
      <c r="G434" s="8"/>
      <c r="H434" s="7"/>
      <c r="I434" s="6"/>
      <c r="J434" s="7"/>
      <c r="K434" s="8"/>
      <c r="L434" s="7"/>
      <c r="M434" s="8"/>
      <c r="N434" s="7"/>
      <c r="O434" s="8"/>
      <c r="P434" s="7"/>
      <c r="Q434" s="7"/>
      <c r="R434" s="8"/>
      <c r="S434" s="7"/>
      <c r="T434" s="9"/>
      <c r="U434" s="7"/>
      <c r="V434" s="8"/>
      <c r="W434" s="7"/>
      <c r="X434" s="7"/>
      <c r="Y434" s="8"/>
      <c r="Z434" s="7"/>
      <c r="AA434" s="8"/>
    </row>
    <row r="435" spans="4:27" ht="14.25" thickTop="1" thickBot="1">
      <c r="D435" s="66"/>
      <c r="E435" s="52" t="s">
        <v>262</v>
      </c>
      <c r="F435" s="7"/>
      <c r="G435" s="8"/>
      <c r="H435" s="7"/>
      <c r="I435" s="6"/>
      <c r="J435" s="7"/>
      <c r="K435" s="8"/>
      <c r="L435" s="7"/>
      <c r="M435" s="8"/>
      <c r="N435" s="7"/>
      <c r="O435" s="8"/>
      <c r="P435" s="7"/>
      <c r="Q435" s="7"/>
      <c r="R435" s="8"/>
      <c r="S435" s="7"/>
      <c r="T435" s="9"/>
      <c r="U435" s="7"/>
      <c r="V435" s="8"/>
      <c r="W435" s="7"/>
      <c r="X435" s="7"/>
      <c r="Y435" s="8"/>
      <c r="Z435" s="7"/>
      <c r="AA435" s="8"/>
    </row>
    <row r="436" spans="4:27" ht="14.25" thickTop="1" thickBot="1">
      <c r="D436" s="66"/>
      <c r="E436" s="52" t="s">
        <v>169</v>
      </c>
      <c r="F436" s="7"/>
      <c r="G436" s="8"/>
      <c r="H436" s="7"/>
      <c r="I436" s="6"/>
      <c r="J436" s="7"/>
      <c r="K436" s="8"/>
      <c r="L436" s="7"/>
      <c r="M436" s="8"/>
      <c r="N436" s="7"/>
      <c r="O436" s="8"/>
      <c r="P436" s="7"/>
      <c r="Q436" s="7"/>
      <c r="R436" s="8"/>
      <c r="S436" s="7"/>
      <c r="T436" s="9"/>
      <c r="U436" s="7"/>
      <c r="V436" s="8"/>
      <c r="W436" s="7"/>
      <c r="X436" s="7"/>
      <c r="Y436" s="8"/>
      <c r="Z436" s="7"/>
      <c r="AA436" s="8"/>
    </row>
    <row r="437" spans="4:27" ht="14.25" thickTop="1" thickBot="1">
      <c r="D437" s="66"/>
      <c r="E437" s="52" t="s">
        <v>170</v>
      </c>
      <c r="F437" s="7"/>
      <c r="G437" s="8"/>
      <c r="H437" s="7"/>
      <c r="I437" s="6"/>
      <c r="J437" s="7"/>
      <c r="K437" s="8"/>
      <c r="L437" s="7"/>
      <c r="M437" s="8"/>
      <c r="N437" s="7"/>
      <c r="O437" s="8"/>
      <c r="P437" s="7"/>
      <c r="Q437" s="7"/>
      <c r="R437" s="8"/>
      <c r="S437" s="7"/>
      <c r="T437" s="9"/>
      <c r="U437" s="7"/>
      <c r="V437" s="8"/>
      <c r="W437" s="7"/>
      <c r="X437" s="7"/>
      <c r="Y437" s="8"/>
      <c r="Z437" s="7"/>
      <c r="AA437" s="8"/>
    </row>
    <row r="438" spans="4:27" ht="14.25" thickTop="1" thickBot="1">
      <c r="D438" s="66"/>
      <c r="E438" s="52" t="s">
        <v>171</v>
      </c>
      <c r="F438" s="7"/>
      <c r="G438" s="8"/>
      <c r="H438" s="7"/>
      <c r="I438" s="6"/>
      <c r="J438" s="7"/>
      <c r="K438" s="8"/>
      <c r="L438" s="7"/>
      <c r="M438" s="8"/>
      <c r="N438" s="7"/>
      <c r="O438" s="8"/>
      <c r="P438" s="7"/>
      <c r="Q438" s="7"/>
      <c r="R438" s="8"/>
      <c r="S438" s="7"/>
      <c r="T438" s="9"/>
      <c r="U438" s="7"/>
      <c r="V438" s="8"/>
      <c r="W438" s="7"/>
      <c r="X438" s="7"/>
      <c r="Y438" s="8"/>
      <c r="Z438" s="7"/>
      <c r="AA438" s="8"/>
    </row>
    <row r="439" spans="4:27" ht="14.25" thickTop="1" thickBot="1">
      <c r="D439" s="66"/>
      <c r="E439" s="52" t="s">
        <v>263</v>
      </c>
      <c r="F439" s="7"/>
      <c r="G439" s="8"/>
      <c r="H439" s="7"/>
      <c r="I439" s="6"/>
      <c r="J439" s="7"/>
      <c r="K439" s="8"/>
      <c r="L439" s="7"/>
      <c r="M439" s="8"/>
      <c r="N439" s="7"/>
      <c r="O439" s="8"/>
      <c r="P439" s="7"/>
      <c r="Q439" s="7"/>
      <c r="R439" s="8"/>
      <c r="S439" s="7"/>
      <c r="T439" s="9"/>
      <c r="U439" s="7"/>
      <c r="V439" s="8"/>
      <c r="W439" s="7"/>
      <c r="X439" s="7"/>
      <c r="Y439" s="8"/>
      <c r="Z439" s="7"/>
      <c r="AA439" s="8"/>
    </row>
    <row r="440" spans="4:27" ht="14.25" thickTop="1" thickBot="1">
      <c r="D440" s="66"/>
      <c r="E440" s="52" t="s">
        <v>231</v>
      </c>
      <c r="F440" s="7"/>
      <c r="G440" s="8"/>
      <c r="H440" s="7"/>
      <c r="I440" s="6"/>
      <c r="J440" s="7"/>
      <c r="K440" s="8"/>
      <c r="L440" s="7"/>
      <c r="M440" s="8"/>
      <c r="N440" s="7"/>
      <c r="O440" s="8"/>
      <c r="P440" s="7"/>
      <c r="Q440" s="7"/>
      <c r="R440" s="8"/>
      <c r="S440" s="7"/>
      <c r="T440" s="9"/>
      <c r="U440" s="7"/>
      <c r="V440" s="8"/>
      <c r="W440" s="7"/>
      <c r="X440" s="7"/>
      <c r="Y440" s="8"/>
      <c r="Z440" s="7"/>
      <c r="AA440" s="8"/>
    </row>
    <row r="441" spans="4:27" ht="14.25" thickTop="1" thickBot="1">
      <c r="D441" s="66"/>
      <c r="E441" s="52" t="s">
        <v>172</v>
      </c>
      <c r="F441" s="7"/>
      <c r="G441" s="8"/>
      <c r="H441" s="7"/>
      <c r="I441" s="6"/>
      <c r="J441" s="7"/>
      <c r="K441" s="8"/>
      <c r="L441" s="7"/>
      <c r="M441" s="8"/>
      <c r="N441" s="7"/>
      <c r="O441" s="8"/>
      <c r="P441" s="7"/>
      <c r="Q441" s="7"/>
      <c r="R441" s="8"/>
      <c r="S441" s="7"/>
      <c r="T441" s="9"/>
      <c r="U441" s="7"/>
      <c r="V441" s="8"/>
      <c r="W441" s="7"/>
      <c r="X441" s="7"/>
      <c r="Y441" s="8"/>
      <c r="Z441" s="7"/>
      <c r="AA441" s="8"/>
    </row>
    <row r="442" spans="4:27" ht="14.25" thickTop="1" thickBot="1">
      <c r="D442" s="66"/>
      <c r="E442" s="52" t="s">
        <v>173</v>
      </c>
      <c r="F442" s="7"/>
      <c r="G442" s="8"/>
      <c r="H442" s="7"/>
      <c r="I442" s="6"/>
      <c r="J442" s="7"/>
      <c r="K442" s="8"/>
      <c r="L442" s="7"/>
      <c r="M442" s="8"/>
      <c r="N442" s="7"/>
      <c r="O442" s="8"/>
      <c r="P442" s="7"/>
      <c r="Q442" s="7"/>
      <c r="R442" s="8"/>
      <c r="S442" s="7"/>
      <c r="T442" s="9"/>
      <c r="U442" s="7"/>
      <c r="V442" s="8"/>
      <c r="W442" s="7"/>
      <c r="X442" s="7"/>
      <c r="Y442" s="8"/>
      <c r="Z442" s="7"/>
      <c r="AA442" s="8"/>
    </row>
    <row r="443" spans="4:27" ht="14.25" thickTop="1" thickBot="1">
      <c r="D443" s="66"/>
      <c r="E443" s="52" t="s">
        <v>264</v>
      </c>
      <c r="F443" s="7"/>
      <c r="G443" s="8"/>
      <c r="H443" s="7"/>
      <c r="I443" s="6"/>
      <c r="J443" s="7"/>
      <c r="K443" s="8"/>
      <c r="L443" s="7"/>
      <c r="M443" s="8"/>
      <c r="N443" s="7"/>
      <c r="O443" s="8"/>
      <c r="P443" s="7"/>
      <c r="Q443" s="7"/>
      <c r="R443" s="8"/>
      <c r="S443" s="7"/>
      <c r="T443" s="9"/>
      <c r="U443" s="7"/>
      <c r="V443" s="8"/>
      <c r="W443" s="7"/>
      <c r="X443" s="7"/>
      <c r="Y443" s="8"/>
      <c r="Z443" s="7"/>
      <c r="AA443" s="8"/>
    </row>
    <row r="444" spans="4:27" ht="14.25" thickTop="1" thickBot="1">
      <c r="D444" s="66"/>
      <c r="E444" s="52" t="s">
        <v>1033</v>
      </c>
      <c r="F444" s="7"/>
      <c r="G444" s="8"/>
      <c r="H444" s="7"/>
      <c r="I444" s="6"/>
      <c r="J444" s="7"/>
      <c r="K444" s="8"/>
      <c r="L444" s="7"/>
      <c r="M444" s="8"/>
      <c r="N444" s="7"/>
      <c r="O444" s="8"/>
      <c r="P444" s="7"/>
      <c r="Q444" s="7"/>
      <c r="R444" s="8"/>
      <c r="S444" s="7"/>
      <c r="T444" s="9"/>
      <c r="U444" s="7"/>
      <c r="V444" s="8"/>
      <c r="W444" s="7"/>
      <c r="X444" s="7"/>
      <c r="Y444" s="8"/>
      <c r="Z444" s="7"/>
      <c r="AA444" s="8"/>
    </row>
    <row r="445" spans="4:27" ht="14.25" thickTop="1" thickBot="1">
      <c r="D445" s="66"/>
      <c r="E445" s="52" t="s">
        <v>232</v>
      </c>
      <c r="F445" s="7"/>
      <c r="G445" s="8"/>
      <c r="H445" s="7"/>
      <c r="I445" s="6"/>
      <c r="J445" s="7"/>
      <c r="K445" s="8"/>
      <c r="L445" s="7"/>
      <c r="M445" s="8"/>
      <c r="N445" s="7"/>
      <c r="O445" s="8"/>
      <c r="P445" s="7"/>
      <c r="Q445" s="7"/>
      <c r="R445" s="8"/>
      <c r="S445" s="7"/>
      <c r="T445" s="9"/>
      <c r="U445" s="7"/>
      <c r="V445" s="8"/>
      <c r="W445" s="7"/>
      <c r="X445" s="7"/>
      <c r="Y445" s="8"/>
      <c r="Z445" s="7"/>
      <c r="AA445" s="8"/>
    </row>
    <row r="446" spans="4:27" ht="14.25" thickTop="1" thickBot="1">
      <c r="D446" s="66"/>
      <c r="E446" s="52" t="s">
        <v>265</v>
      </c>
      <c r="F446" s="7"/>
      <c r="G446" s="8"/>
      <c r="H446" s="7"/>
      <c r="I446" s="6"/>
      <c r="J446" s="7"/>
      <c r="K446" s="8"/>
      <c r="L446" s="7"/>
      <c r="M446" s="8"/>
      <c r="N446" s="7"/>
      <c r="O446" s="8"/>
      <c r="P446" s="7"/>
      <c r="Q446" s="7"/>
      <c r="R446" s="8"/>
      <c r="S446" s="7"/>
      <c r="T446" s="9"/>
      <c r="U446" s="7"/>
      <c r="V446" s="8"/>
      <c r="W446" s="7"/>
      <c r="X446" s="7"/>
      <c r="Y446" s="8"/>
      <c r="Z446" s="7"/>
      <c r="AA446" s="8"/>
    </row>
    <row r="447" spans="4:27" ht="14.25" thickTop="1" thickBot="1">
      <c r="D447" s="66"/>
      <c r="E447" s="52" t="s">
        <v>175</v>
      </c>
      <c r="F447" s="7"/>
      <c r="G447" s="8"/>
      <c r="H447" s="7"/>
      <c r="I447" s="6"/>
      <c r="J447" s="7"/>
      <c r="K447" s="8"/>
      <c r="L447" s="7"/>
      <c r="M447" s="8"/>
      <c r="N447" s="7"/>
      <c r="O447" s="8"/>
      <c r="P447" s="7"/>
      <c r="Q447" s="7"/>
      <c r="R447" s="8"/>
      <c r="S447" s="7"/>
      <c r="T447" s="9"/>
      <c r="U447" s="7"/>
      <c r="V447" s="8"/>
      <c r="W447" s="7"/>
      <c r="X447" s="7"/>
      <c r="Y447" s="8"/>
      <c r="Z447" s="7"/>
      <c r="AA447" s="8"/>
    </row>
    <row r="448" spans="4:27" ht="14.25" thickTop="1" thickBot="1">
      <c r="D448" s="66"/>
      <c r="E448" s="52" t="s">
        <v>266</v>
      </c>
      <c r="F448" s="7"/>
      <c r="G448" s="8"/>
      <c r="H448" s="7"/>
      <c r="I448" s="6"/>
      <c r="J448" s="7"/>
      <c r="K448" s="8"/>
      <c r="L448" s="7"/>
      <c r="M448" s="8"/>
      <c r="N448" s="7"/>
      <c r="O448" s="8"/>
      <c r="P448" s="7"/>
      <c r="Q448" s="7"/>
      <c r="R448" s="8"/>
      <c r="S448" s="7"/>
      <c r="T448" s="9"/>
      <c r="U448" s="7"/>
      <c r="V448" s="8"/>
      <c r="W448" s="7"/>
      <c r="X448" s="7"/>
      <c r="Y448" s="8"/>
      <c r="Z448" s="7"/>
      <c r="AA448" s="8"/>
    </row>
    <row r="449" spans="4:27" ht="14.25" thickTop="1" thickBot="1">
      <c r="D449" s="66"/>
      <c r="E449" s="52" t="s">
        <v>267</v>
      </c>
      <c r="F449" s="7"/>
      <c r="G449" s="8"/>
      <c r="H449" s="7"/>
      <c r="I449" s="6"/>
      <c r="J449" s="7"/>
      <c r="K449" s="8"/>
      <c r="L449" s="7"/>
      <c r="M449" s="8"/>
      <c r="N449" s="7"/>
      <c r="O449" s="8"/>
      <c r="P449" s="7"/>
      <c r="Q449" s="7"/>
      <c r="R449" s="8"/>
      <c r="S449" s="7"/>
      <c r="T449" s="9"/>
      <c r="U449" s="7"/>
      <c r="V449" s="8"/>
      <c r="W449" s="7"/>
      <c r="X449" s="7"/>
      <c r="Y449" s="8"/>
      <c r="Z449" s="7"/>
      <c r="AA449" s="8"/>
    </row>
    <row r="450" spans="4:27" ht="14.25" thickTop="1" thickBot="1">
      <c r="D450" s="66"/>
      <c r="E450" s="52" t="s">
        <v>176</v>
      </c>
      <c r="F450" s="7"/>
      <c r="G450" s="8"/>
      <c r="H450" s="7"/>
      <c r="I450" s="6"/>
      <c r="J450" s="7"/>
      <c r="K450" s="8"/>
      <c r="L450" s="7"/>
      <c r="M450" s="8"/>
      <c r="N450" s="7"/>
      <c r="O450" s="8"/>
      <c r="P450" s="7"/>
      <c r="Q450" s="7"/>
      <c r="R450" s="8"/>
      <c r="S450" s="7"/>
      <c r="T450" s="9"/>
      <c r="U450" s="7"/>
      <c r="V450" s="8"/>
      <c r="W450" s="7"/>
      <c r="X450" s="7"/>
      <c r="Y450" s="8"/>
      <c r="Z450" s="7"/>
      <c r="AA450" s="8"/>
    </row>
    <row r="451" spans="4:27" ht="14.25" thickTop="1" thickBot="1">
      <c r="D451" s="66"/>
      <c r="E451" s="52" t="s">
        <v>268</v>
      </c>
      <c r="F451" s="7"/>
      <c r="G451" s="8"/>
      <c r="H451" s="7"/>
      <c r="I451" s="6"/>
      <c r="J451" s="7"/>
      <c r="K451" s="8"/>
      <c r="L451" s="7"/>
      <c r="M451" s="8"/>
      <c r="N451" s="7"/>
      <c r="O451" s="8"/>
      <c r="P451" s="7"/>
      <c r="Q451" s="7"/>
      <c r="R451" s="8"/>
      <c r="S451" s="7"/>
      <c r="T451" s="9"/>
      <c r="U451" s="7"/>
      <c r="V451" s="8"/>
      <c r="W451" s="7"/>
      <c r="X451" s="7"/>
      <c r="Y451" s="8"/>
      <c r="Z451" s="7"/>
      <c r="AA451" s="8"/>
    </row>
    <row r="452" spans="4:27" ht="14.25" thickTop="1" thickBot="1">
      <c r="D452" s="66"/>
      <c r="E452" s="52" t="s">
        <v>269</v>
      </c>
      <c r="F452" s="7"/>
      <c r="G452" s="8"/>
      <c r="H452" s="7"/>
      <c r="I452" s="6"/>
      <c r="J452" s="7"/>
      <c r="K452" s="8"/>
      <c r="L452" s="7"/>
      <c r="M452" s="8"/>
      <c r="N452" s="7"/>
      <c r="O452" s="8"/>
      <c r="P452" s="7"/>
      <c r="Q452" s="7"/>
      <c r="R452" s="8"/>
      <c r="S452" s="7"/>
      <c r="T452" s="9"/>
      <c r="U452" s="7"/>
      <c r="V452" s="8"/>
      <c r="W452" s="7"/>
      <c r="X452" s="7"/>
      <c r="Y452" s="8"/>
      <c r="Z452" s="7"/>
      <c r="AA452" s="8"/>
    </row>
    <row r="453" spans="4:27" ht="14.25" thickTop="1" thickBot="1">
      <c r="D453" s="66"/>
      <c r="E453" s="52" t="s">
        <v>1045</v>
      </c>
      <c r="F453" s="7"/>
      <c r="G453" s="8"/>
      <c r="H453" s="7"/>
      <c r="I453" s="6"/>
      <c r="J453" s="7"/>
      <c r="K453" s="8"/>
      <c r="L453" s="7"/>
      <c r="M453" s="8"/>
      <c r="N453" s="7"/>
      <c r="O453" s="8"/>
      <c r="P453" s="7"/>
      <c r="Q453" s="7"/>
      <c r="R453" s="8"/>
      <c r="S453" s="7"/>
      <c r="T453" s="9"/>
      <c r="U453" s="7"/>
      <c r="V453" s="8"/>
      <c r="W453" s="7"/>
      <c r="X453" s="7"/>
      <c r="Y453" s="8"/>
      <c r="Z453" s="7"/>
      <c r="AA453" s="8"/>
    </row>
    <row r="454" spans="4:27" ht="14.25" thickTop="1" thickBot="1">
      <c r="D454" s="66"/>
      <c r="E454" s="52" t="s">
        <v>215</v>
      </c>
      <c r="F454" s="7"/>
      <c r="G454" s="8"/>
      <c r="H454" s="7"/>
      <c r="I454" s="6"/>
      <c r="J454" s="7"/>
      <c r="K454" s="8"/>
      <c r="L454" s="7"/>
      <c r="M454" s="8"/>
      <c r="N454" s="7"/>
      <c r="O454" s="8"/>
      <c r="P454" s="7"/>
      <c r="Q454" s="7"/>
      <c r="R454" s="8"/>
      <c r="S454" s="7"/>
      <c r="T454" s="9"/>
      <c r="U454" s="7"/>
      <c r="V454" s="8"/>
      <c r="W454" s="7"/>
      <c r="X454" s="7"/>
      <c r="Y454" s="8"/>
      <c r="Z454" s="7"/>
      <c r="AA454" s="8"/>
    </row>
    <row r="455" spans="4:27" ht="14.25" thickTop="1" thickBot="1">
      <c r="D455" s="66"/>
      <c r="E455" s="52" t="s">
        <v>1288</v>
      </c>
      <c r="F455" s="7"/>
      <c r="G455" s="8"/>
      <c r="H455" s="7"/>
      <c r="I455" s="6"/>
      <c r="J455" s="7"/>
      <c r="K455" s="8"/>
      <c r="L455" s="7"/>
      <c r="M455" s="8"/>
      <c r="N455" s="7"/>
      <c r="O455" s="8"/>
      <c r="P455" s="7"/>
      <c r="Q455" s="7"/>
      <c r="R455" s="8"/>
      <c r="S455" s="7"/>
      <c r="T455" s="9"/>
      <c r="U455" s="7"/>
      <c r="V455" s="8"/>
      <c r="W455" s="7"/>
      <c r="X455" s="7"/>
      <c r="Y455" s="8"/>
      <c r="Z455" s="7"/>
      <c r="AA455" s="8"/>
    </row>
    <row r="456" spans="4:27" ht="14.25" thickTop="1" thickBot="1">
      <c r="D456" s="66"/>
      <c r="E456" s="52" t="s">
        <v>217</v>
      </c>
      <c r="F456" s="7"/>
      <c r="G456" s="8"/>
      <c r="H456" s="7"/>
      <c r="I456" s="6"/>
      <c r="J456" s="7"/>
      <c r="K456" s="8"/>
      <c r="L456" s="7"/>
      <c r="M456" s="8"/>
      <c r="N456" s="7"/>
      <c r="O456" s="8"/>
      <c r="P456" s="7"/>
      <c r="Q456" s="7"/>
      <c r="R456" s="8"/>
      <c r="S456" s="7"/>
      <c r="T456" s="9"/>
      <c r="U456" s="7"/>
      <c r="V456" s="8"/>
      <c r="W456" s="7"/>
      <c r="X456" s="7"/>
      <c r="Y456" s="8"/>
      <c r="Z456" s="7"/>
      <c r="AA456" s="8"/>
    </row>
    <row r="457" spans="4:27" ht="14.25" thickTop="1" thickBot="1">
      <c r="D457" s="66"/>
      <c r="E457" s="52" t="s">
        <v>1038</v>
      </c>
      <c r="F457" s="7"/>
      <c r="G457" s="8"/>
      <c r="H457" s="7"/>
      <c r="I457" s="6"/>
      <c r="J457" s="7"/>
      <c r="K457" s="8"/>
      <c r="L457" s="7"/>
      <c r="M457" s="8"/>
      <c r="N457" s="7"/>
      <c r="O457" s="8"/>
      <c r="P457" s="7"/>
      <c r="Q457" s="7"/>
      <c r="R457" s="8"/>
      <c r="S457" s="7"/>
      <c r="T457" s="9"/>
      <c r="U457" s="7"/>
      <c r="V457" s="8"/>
      <c r="W457" s="7"/>
      <c r="X457" s="7"/>
      <c r="Y457" s="8"/>
      <c r="Z457" s="7"/>
      <c r="AA457" s="8"/>
    </row>
    <row r="458" spans="4:27" ht="14.25" thickTop="1" thickBot="1">
      <c r="D458" s="66"/>
      <c r="F458" s="7"/>
      <c r="G458" s="8"/>
      <c r="H458" s="7"/>
      <c r="I458" s="6"/>
      <c r="J458" s="7"/>
      <c r="K458" s="8"/>
      <c r="L458" s="7"/>
      <c r="M458" s="8"/>
      <c r="N458" s="7"/>
      <c r="O458" s="8"/>
      <c r="P458" s="7"/>
      <c r="Q458" s="7"/>
      <c r="R458" s="8"/>
      <c r="S458" s="7"/>
      <c r="T458" s="9"/>
      <c r="U458" s="7"/>
      <c r="V458" s="8"/>
      <c r="W458" s="7"/>
      <c r="X458" s="7"/>
      <c r="Y458" s="8"/>
      <c r="Z458" s="7"/>
      <c r="AA458" s="8"/>
    </row>
    <row r="459" spans="4:27" ht="14.25" thickTop="1" thickBot="1">
      <c r="D459" s="66"/>
      <c r="F459" s="7"/>
      <c r="G459" s="8"/>
      <c r="H459" s="7"/>
      <c r="I459" s="6"/>
      <c r="J459" s="7"/>
      <c r="K459" s="8"/>
      <c r="L459" s="7"/>
      <c r="M459" s="8"/>
      <c r="N459" s="7"/>
      <c r="O459" s="8"/>
      <c r="P459" s="7"/>
      <c r="Q459" s="7"/>
      <c r="R459" s="8"/>
      <c r="S459" s="7"/>
      <c r="T459" s="9"/>
      <c r="U459" s="7"/>
      <c r="V459" s="8"/>
      <c r="W459" s="7"/>
      <c r="X459" s="7"/>
      <c r="Y459" s="8"/>
      <c r="Z459" s="7"/>
      <c r="AA459" s="8"/>
    </row>
    <row r="460" spans="4:27" ht="14.25" thickTop="1" thickBot="1">
      <c r="D460" s="66"/>
      <c r="F460" s="7"/>
      <c r="G460" s="8"/>
      <c r="H460" s="7"/>
      <c r="I460" s="6"/>
      <c r="J460" s="7"/>
      <c r="K460" s="8"/>
      <c r="L460" s="7"/>
      <c r="M460" s="8"/>
      <c r="N460" s="7"/>
      <c r="O460" s="8"/>
      <c r="P460" s="7"/>
      <c r="Q460" s="7"/>
      <c r="R460" s="8"/>
      <c r="S460" s="7"/>
      <c r="T460" s="9"/>
      <c r="U460" s="7"/>
      <c r="V460" s="8"/>
      <c r="W460" s="7"/>
      <c r="X460" s="7"/>
      <c r="Y460" s="8"/>
      <c r="Z460" s="7"/>
      <c r="AA460" s="8"/>
    </row>
    <row r="461" spans="4:27" ht="14.25" thickTop="1" thickBot="1">
      <c r="D461" s="66"/>
      <c r="F461" s="7"/>
      <c r="G461" s="8"/>
      <c r="H461" s="7"/>
      <c r="I461" s="6"/>
      <c r="J461" s="7"/>
      <c r="K461" s="8"/>
      <c r="L461" s="7"/>
      <c r="M461" s="8"/>
      <c r="N461" s="7"/>
      <c r="O461" s="8"/>
      <c r="P461" s="7"/>
      <c r="Q461" s="7"/>
      <c r="R461" s="8"/>
      <c r="S461" s="7"/>
      <c r="T461" s="9"/>
      <c r="U461" s="7"/>
      <c r="V461" s="8"/>
      <c r="W461" s="7"/>
      <c r="X461" s="7"/>
      <c r="Y461" s="8"/>
      <c r="Z461" s="7"/>
      <c r="AA461" s="8"/>
    </row>
    <row r="462" spans="4:27" ht="14.25" thickTop="1" thickBot="1">
      <c r="D462" s="66"/>
      <c r="F462" s="7"/>
      <c r="G462" s="8"/>
      <c r="H462" s="7"/>
      <c r="I462" s="6"/>
      <c r="J462" s="7"/>
      <c r="K462" s="8"/>
      <c r="L462" s="7"/>
      <c r="M462" s="8"/>
      <c r="N462" s="7"/>
      <c r="O462" s="8"/>
      <c r="P462" s="7"/>
      <c r="Q462" s="7"/>
      <c r="R462" s="8"/>
      <c r="S462" s="7"/>
      <c r="T462" s="9"/>
      <c r="U462" s="7"/>
      <c r="V462" s="8"/>
      <c r="W462" s="7"/>
      <c r="X462" s="7"/>
      <c r="Y462" s="8"/>
      <c r="Z462" s="7"/>
      <c r="AA462" s="8"/>
    </row>
    <row r="463" spans="4:27" ht="14.25" thickTop="1" thickBot="1">
      <c r="D463" s="66"/>
      <c r="F463" s="7"/>
      <c r="G463" s="8"/>
      <c r="H463" s="7"/>
      <c r="I463" s="6"/>
      <c r="J463" s="7"/>
      <c r="K463" s="8"/>
      <c r="L463" s="7"/>
      <c r="M463" s="8"/>
      <c r="N463" s="7"/>
      <c r="O463" s="8"/>
      <c r="P463" s="7"/>
      <c r="Q463" s="7"/>
      <c r="R463" s="8"/>
      <c r="S463" s="7"/>
      <c r="T463" s="9"/>
      <c r="U463" s="7"/>
      <c r="V463" s="8"/>
      <c r="W463" s="7"/>
      <c r="X463" s="7"/>
      <c r="Y463" s="8"/>
      <c r="Z463" s="7"/>
      <c r="AA463" s="8"/>
    </row>
    <row r="464" spans="4:27" ht="14.25" thickTop="1" thickBot="1">
      <c r="D464" s="66"/>
      <c r="F464" s="7"/>
      <c r="G464" s="8"/>
      <c r="H464" s="7"/>
      <c r="I464" s="6"/>
      <c r="J464" s="7"/>
      <c r="K464" s="8"/>
      <c r="L464" s="7"/>
      <c r="M464" s="8"/>
      <c r="N464" s="7"/>
      <c r="O464" s="8"/>
      <c r="P464" s="7"/>
      <c r="Q464" s="7"/>
      <c r="R464" s="8"/>
      <c r="S464" s="7"/>
      <c r="T464" s="9"/>
      <c r="U464" s="7"/>
      <c r="V464" s="8"/>
      <c r="W464" s="7"/>
      <c r="X464" s="7"/>
      <c r="Y464" s="8"/>
      <c r="Z464" s="7"/>
      <c r="AA464" s="8"/>
    </row>
    <row r="465" spans="4:27" ht="14.25" thickTop="1" thickBot="1">
      <c r="D465" s="66"/>
      <c r="F465" s="7"/>
      <c r="G465" s="8"/>
      <c r="H465" s="7"/>
      <c r="I465" s="6"/>
      <c r="J465" s="7"/>
      <c r="K465" s="8"/>
      <c r="L465" s="7"/>
      <c r="M465" s="8"/>
      <c r="N465" s="7"/>
      <c r="O465" s="8"/>
      <c r="P465" s="7"/>
      <c r="Q465" s="7"/>
      <c r="R465" s="8"/>
      <c r="S465" s="7"/>
      <c r="T465" s="9"/>
      <c r="U465" s="7"/>
      <c r="V465" s="8"/>
      <c r="W465" s="7"/>
      <c r="X465" s="7"/>
      <c r="Y465" s="8"/>
      <c r="Z465" s="7"/>
      <c r="AA465" s="8"/>
    </row>
    <row r="466" spans="4:27" ht="14.25" thickTop="1" thickBot="1">
      <c r="D466" s="66"/>
      <c r="F466" s="7"/>
      <c r="G466" s="8"/>
      <c r="H466" s="7"/>
      <c r="I466" s="6"/>
      <c r="J466" s="7"/>
      <c r="K466" s="8"/>
      <c r="L466" s="7"/>
      <c r="M466" s="8"/>
      <c r="N466" s="7"/>
      <c r="O466" s="8"/>
      <c r="P466" s="7"/>
      <c r="Q466" s="7"/>
      <c r="R466" s="8"/>
      <c r="S466" s="7"/>
      <c r="T466" s="9"/>
      <c r="U466" s="7"/>
      <c r="V466" s="8"/>
      <c r="W466" s="7"/>
      <c r="X466" s="7"/>
      <c r="Y466" s="8"/>
      <c r="Z466" s="7"/>
      <c r="AA466" s="8"/>
    </row>
    <row r="467" spans="4:27" ht="14.25" thickTop="1" thickBot="1">
      <c r="D467" s="66"/>
      <c r="F467" s="7"/>
      <c r="G467" s="8"/>
      <c r="H467" s="7"/>
      <c r="I467" s="6"/>
      <c r="J467" s="7"/>
      <c r="K467" s="8"/>
      <c r="L467" s="7"/>
      <c r="M467" s="8"/>
      <c r="N467" s="7"/>
      <c r="O467" s="8"/>
      <c r="P467" s="7"/>
      <c r="Q467" s="7"/>
      <c r="R467" s="8"/>
      <c r="S467" s="7"/>
      <c r="T467" s="9"/>
      <c r="U467" s="7"/>
      <c r="V467" s="8"/>
      <c r="W467" s="7"/>
      <c r="X467" s="7"/>
      <c r="Y467" s="8"/>
      <c r="Z467" s="7"/>
      <c r="AA467" s="8"/>
    </row>
    <row r="468" spans="4:27" ht="14.25" thickTop="1" thickBot="1">
      <c r="D468" s="66"/>
      <c r="F468" s="7"/>
      <c r="G468" s="8"/>
      <c r="H468" s="7"/>
      <c r="I468" s="6"/>
      <c r="J468" s="7"/>
      <c r="K468" s="8"/>
      <c r="L468" s="7"/>
      <c r="M468" s="8"/>
      <c r="N468" s="7"/>
      <c r="O468" s="8"/>
      <c r="P468" s="7"/>
      <c r="Q468" s="7"/>
      <c r="R468" s="8"/>
      <c r="S468" s="7"/>
      <c r="T468" s="9"/>
      <c r="U468" s="7"/>
      <c r="V468" s="8"/>
      <c r="W468" s="7"/>
      <c r="X468" s="7"/>
      <c r="Y468" s="8"/>
      <c r="Z468" s="7"/>
      <c r="AA468" s="8"/>
    </row>
    <row r="469" spans="4:27" ht="14.25" thickTop="1" thickBot="1">
      <c r="D469" s="66"/>
      <c r="F469" s="7"/>
      <c r="G469" s="8"/>
      <c r="H469" s="7"/>
      <c r="I469" s="6"/>
      <c r="J469" s="7"/>
      <c r="K469" s="8"/>
      <c r="L469" s="7"/>
      <c r="M469" s="8"/>
      <c r="N469" s="7"/>
      <c r="O469" s="8"/>
      <c r="P469" s="7"/>
      <c r="Q469" s="7"/>
      <c r="R469" s="8"/>
      <c r="S469" s="7"/>
      <c r="T469" s="9"/>
      <c r="U469" s="7"/>
      <c r="V469" s="8"/>
      <c r="W469" s="7"/>
      <c r="X469" s="7"/>
      <c r="Y469" s="8"/>
      <c r="Z469" s="7"/>
      <c r="AA469" s="8"/>
    </row>
    <row r="470" spans="4:27" ht="14.25" thickTop="1" thickBot="1">
      <c r="D470" s="66"/>
      <c r="F470" s="7"/>
      <c r="G470" s="8"/>
      <c r="H470" s="7"/>
      <c r="I470" s="6"/>
      <c r="J470" s="7"/>
      <c r="K470" s="8"/>
      <c r="L470" s="7"/>
      <c r="M470" s="8"/>
      <c r="N470" s="7"/>
      <c r="O470" s="8"/>
      <c r="P470" s="7"/>
      <c r="Q470" s="7"/>
      <c r="R470" s="8"/>
      <c r="S470" s="7"/>
      <c r="T470" s="9"/>
      <c r="U470" s="7"/>
      <c r="V470" s="8"/>
      <c r="W470" s="7"/>
      <c r="X470" s="7"/>
      <c r="Y470" s="8"/>
      <c r="Z470" s="7"/>
      <c r="AA470" s="8"/>
    </row>
    <row r="471" spans="4:27" ht="14.25" thickTop="1" thickBot="1">
      <c r="D471" s="66"/>
      <c r="F471" s="7"/>
      <c r="G471" s="8"/>
      <c r="H471" s="7"/>
      <c r="I471" s="6"/>
      <c r="J471" s="7"/>
      <c r="K471" s="8"/>
      <c r="L471" s="7"/>
      <c r="M471" s="8"/>
      <c r="N471" s="7"/>
      <c r="O471" s="8"/>
      <c r="P471" s="7"/>
      <c r="Q471" s="7"/>
      <c r="R471" s="8"/>
      <c r="S471" s="7"/>
      <c r="T471" s="9"/>
      <c r="U471" s="7"/>
      <c r="V471" s="8"/>
      <c r="W471" s="7"/>
      <c r="X471" s="7"/>
      <c r="Y471" s="8"/>
      <c r="Z471" s="7"/>
      <c r="AA471" s="8"/>
    </row>
    <row r="472" spans="4:27" ht="14.25" thickTop="1" thickBot="1">
      <c r="D472" s="66"/>
      <c r="F472" s="7"/>
      <c r="G472" s="8"/>
      <c r="H472" s="7"/>
      <c r="I472" s="6"/>
      <c r="J472" s="7"/>
      <c r="K472" s="8"/>
      <c r="L472" s="7"/>
      <c r="M472" s="8"/>
      <c r="N472" s="7"/>
      <c r="O472" s="8"/>
      <c r="P472" s="7"/>
      <c r="Q472" s="7"/>
      <c r="R472" s="8"/>
      <c r="S472" s="7"/>
      <c r="T472" s="9"/>
      <c r="U472" s="7"/>
      <c r="V472" s="8"/>
      <c r="W472" s="7"/>
      <c r="X472" s="7"/>
      <c r="Y472" s="8"/>
      <c r="Z472" s="7"/>
      <c r="AA472" s="8"/>
    </row>
    <row r="473" spans="4:27" ht="14.25" thickTop="1" thickBot="1">
      <c r="D473" s="66"/>
      <c r="F473" s="7"/>
      <c r="G473" s="8"/>
      <c r="H473" s="7"/>
      <c r="I473" s="6"/>
      <c r="J473" s="7"/>
      <c r="K473" s="8"/>
      <c r="L473" s="7"/>
      <c r="M473" s="8"/>
      <c r="N473" s="7"/>
      <c r="O473" s="8"/>
      <c r="P473" s="7"/>
      <c r="Q473" s="7"/>
      <c r="R473" s="8"/>
      <c r="S473" s="7"/>
      <c r="T473" s="9"/>
      <c r="U473" s="7"/>
      <c r="V473" s="8"/>
      <c r="W473" s="7"/>
      <c r="X473" s="7"/>
      <c r="Y473" s="8"/>
      <c r="Z473" s="7"/>
      <c r="AA473" s="8"/>
    </row>
    <row r="474" spans="4:27" ht="14.25" thickTop="1" thickBot="1">
      <c r="D474" s="66"/>
      <c r="F474" s="7"/>
      <c r="G474" s="8"/>
      <c r="H474" s="7"/>
      <c r="I474" s="6"/>
      <c r="J474" s="7"/>
      <c r="K474" s="8"/>
      <c r="L474" s="7"/>
      <c r="M474" s="8"/>
      <c r="N474" s="7"/>
      <c r="O474" s="8"/>
      <c r="P474" s="7"/>
      <c r="Q474" s="7"/>
      <c r="R474" s="8"/>
      <c r="S474" s="7"/>
      <c r="T474" s="9"/>
      <c r="U474" s="7"/>
      <c r="V474" s="8"/>
      <c r="W474" s="7"/>
      <c r="X474" s="7"/>
      <c r="Y474" s="8"/>
      <c r="Z474" s="7"/>
      <c r="AA474" s="8"/>
    </row>
    <row r="475" spans="4:27" ht="14.25" thickTop="1" thickBot="1">
      <c r="D475" s="66"/>
      <c r="F475" s="7"/>
      <c r="G475" s="8"/>
      <c r="H475" s="7"/>
      <c r="I475" s="6"/>
      <c r="J475" s="7"/>
      <c r="K475" s="8"/>
      <c r="L475" s="7"/>
      <c r="M475" s="8"/>
      <c r="N475" s="7"/>
      <c r="O475" s="8"/>
      <c r="P475" s="7"/>
      <c r="Q475" s="7"/>
      <c r="R475" s="8"/>
      <c r="S475" s="7"/>
      <c r="T475" s="9"/>
      <c r="U475" s="7"/>
      <c r="V475" s="8"/>
      <c r="W475" s="7"/>
      <c r="X475" s="7"/>
      <c r="Y475" s="8"/>
      <c r="Z475" s="7"/>
      <c r="AA475" s="8"/>
    </row>
    <row r="476" spans="4:27" ht="14.25" thickTop="1" thickBot="1">
      <c r="D476" s="66"/>
      <c r="F476" s="7"/>
      <c r="G476" s="8"/>
      <c r="H476" s="7"/>
      <c r="I476" s="6"/>
      <c r="J476" s="7"/>
      <c r="K476" s="8"/>
      <c r="L476" s="7"/>
      <c r="M476" s="8"/>
      <c r="N476" s="7"/>
      <c r="O476" s="8"/>
      <c r="P476" s="7"/>
      <c r="Q476" s="7"/>
      <c r="R476" s="8"/>
      <c r="S476" s="7"/>
      <c r="T476" s="9"/>
      <c r="U476" s="7"/>
      <c r="V476" s="8"/>
      <c r="W476" s="7"/>
      <c r="X476" s="7"/>
      <c r="Y476" s="8"/>
      <c r="Z476" s="7"/>
      <c r="AA476" s="8"/>
    </row>
    <row r="477" spans="4:27" ht="14.25" thickTop="1" thickBot="1">
      <c r="D477" s="66"/>
      <c r="F477" s="7"/>
      <c r="G477" s="8"/>
      <c r="H477" s="7"/>
      <c r="I477" s="6"/>
      <c r="J477" s="7"/>
      <c r="K477" s="8"/>
      <c r="L477" s="7"/>
      <c r="M477" s="8"/>
      <c r="N477" s="7"/>
      <c r="O477" s="8"/>
      <c r="P477" s="7"/>
      <c r="Q477" s="7"/>
      <c r="R477" s="8"/>
      <c r="S477" s="7"/>
      <c r="T477" s="9"/>
      <c r="U477" s="7"/>
      <c r="V477" s="8"/>
      <c r="W477" s="7"/>
      <c r="X477" s="7"/>
      <c r="Y477" s="8"/>
      <c r="Z477" s="7"/>
      <c r="AA477" s="8"/>
    </row>
    <row r="478" spans="4:27" ht="14.25" thickTop="1" thickBot="1">
      <c r="D478" s="66"/>
      <c r="F478" s="7"/>
      <c r="G478" s="8"/>
      <c r="H478" s="7"/>
      <c r="I478" s="6"/>
      <c r="J478" s="7"/>
      <c r="K478" s="8"/>
      <c r="L478" s="7"/>
      <c r="M478" s="8"/>
      <c r="N478" s="7"/>
      <c r="O478" s="8"/>
      <c r="P478" s="7"/>
      <c r="Q478" s="7"/>
      <c r="R478" s="8"/>
      <c r="S478" s="7"/>
      <c r="T478" s="9"/>
      <c r="U478" s="7"/>
      <c r="V478" s="8"/>
      <c r="W478" s="7"/>
      <c r="X478" s="7"/>
      <c r="Y478" s="8"/>
      <c r="Z478" s="7"/>
      <c r="AA478" s="8"/>
    </row>
    <row r="479" spans="4:27" ht="14.25" thickTop="1" thickBot="1">
      <c r="D479" s="66"/>
      <c r="F479" s="7"/>
      <c r="G479" s="8"/>
      <c r="H479" s="7"/>
      <c r="I479" s="6"/>
      <c r="J479" s="7"/>
      <c r="K479" s="8"/>
      <c r="L479" s="7"/>
      <c r="M479" s="8"/>
      <c r="N479" s="7"/>
      <c r="O479" s="8"/>
      <c r="P479" s="7"/>
      <c r="Q479" s="7"/>
      <c r="R479" s="8"/>
      <c r="S479" s="7"/>
      <c r="T479" s="9"/>
      <c r="U479" s="7"/>
      <c r="V479" s="8"/>
      <c r="W479" s="7"/>
      <c r="X479" s="7"/>
      <c r="Y479" s="8"/>
      <c r="Z479" s="7"/>
      <c r="AA479" s="8"/>
    </row>
    <row r="480" spans="4:27" ht="14.25" thickTop="1" thickBot="1">
      <c r="D480" s="66"/>
      <c r="F480" s="7"/>
      <c r="G480" s="8"/>
      <c r="H480" s="7"/>
      <c r="I480" s="6"/>
      <c r="J480" s="7"/>
      <c r="K480" s="8"/>
      <c r="L480" s="7"/>
      <c r="M480" s="8"/>
      <c r="N480" s="7"/>
      <c r="O480" s="8"/>
      <c r="P480" s="7"/>
      <c r="Q480" s="7"/>
      <c r="R480" s="8"/>
      <c r="S480" s="7"/>
      <c r="T480" s="9"/>
      <c r="U480" s="7"/>
      <c r="V480" s="8"/>
      <c r="W480" s="7"/>
      <c r="X480" s="7"/>
      <c r="Y480" s="8"/>
      <c r="Z480" s="7"/>
      <c r="AA480" s="8"/>
    </row>
    <row r="481" spans="4:27" ht="14.25" thickTop="1" thickBot="1">
      <c r="D481" s="66"/>
      <c r="F481" s="7"/>
      <c r="G481" s="8"/>
      <c r="H481" s="7"/>
      <c r="I481" s="6"/>
      <c r="J481" s="7"/>
      <c r="K481" s="8"/>
      <c r="L481" s="7"/>
      <c r="M481" s="8"/>
      <c r="N481" s="7"/>
      <c r="O481" s="8"/>
      <c r="P481" s="7"/>
      <c r="Q481" s="7"/>
      <c r="R481" s="8"/>
      <c r="S481" s="7"/>
      <c r="T481" s="9"/>
      <c r="U481" s="7"/>
      <c r="V481" s="8"/>
      <c r="W481" s="7"/>
      <c r="X481" s="7"/>
      <c r="Y481" s="8"/>
      <c r="Z481" s="7"/>
      <c r="AA481" s="8"/>
    </row>
    <row r="482" spans="4:27" ht="14.25" thickTop="1" thickBot="1">
      <c r="D482" s="66"/>
      <c r="F482" s="7"/>
      <c r="G482" s="8"/>
      <c r="H482" s="7"/>
      <c r="I482" s="6"/>
      <c r="J482" s="7"/>
      <c r="K482" s="8"/>
      <c r="L482" s="7"/>
      <c r="M482" s="8"/>
      <c r="N482" s="7"/>
      <c r="O482" s="8"/>
      <c r="P482" s="7"/>
      <c r="Q482" s="7"/>
      <c r="R482" s="8"/>
      <c r="S482" s="7"/>
      <c r="T482" s="9"/>
      <c r="U482" s="7"/>
      <c r="V482" s="8"/>
      <c r="W482" s="7"/>
      <c r="X482" s="7"/>
      <c r="Y482" s="8"/>
      <c r="Z482" s="7"/>
      <c r="AA482" s="8"/>
    </row>
    <row r="483" spans="4:27" ht="14.25" thickTop="1" thickBot="1">
      <c r="D483" s="66"/>
      <c r="F483" s="7"/>
      <c r="G483" s="8"/>
      <c r="H483" s="7"/>
      <c r="I483" s="6"/>
      <c r="J483" s="7"/>
      <c r="K483" s="8"/>
      <c r="L483" s="7"/>
      <c r="M483" s="8"/>
      <c r="N483" s="7"/>
      <c r="O483" s="8"/>
      <c r="P483" s="7"/>
      <c r="Q483" s="7"/>
      <c r="R483" s="8"/>
      <c r="S483" s="7"/>
      <c r="T483" s="9"/>
      <c r="U483" s="7"/>
      <c r="V483" s="8"/>
      <c r="W483" s="7"/>
      <c r="X483" s="7"/>
      <c r="Y483" s="8"/>
      <c r="Z483" s="7"/>
      <c r="AA483" s="8"/>
    </row>
    <row r="484" spans="4:27" ht="13.5" thickBot="1">
      <c r="D484" s="66"/>
      <c r="U484" s="7"/>
      <c r="V484" s="8"/>
    </row>
    <row r="485" spans="4:27">
      <c r="D485" s="66"/>
    </row>
    <row r="486" spans="4:27">
      <c r="D486" s="66"/>
    </row>
    <row r="487" spans="4:27">
      <c r="D487" s="66"/>
    </row>
    <row r="488" spans="4:27">
      <c r="D488" s="66"/>
    </row>
    <row r="489" spans="4:27">
      <c r="D489" s="66"/>
    </row>
    <row r="490" spans="4:27">
      <c r="D490" s="66"/>
    </row>
    <row r="491" spans="4:27">
      <c r="D491" s="66"/>
    </row>
    <row r="492" spans="4:27">
      <c r="D492" s="66"/>
    </row>
    <row r="493" spans="4:27">
      <c r="D493" s="66"/>
    </row>
    <row r="494" spans="4:27">
      <c r="D494" s="66"/>
    </row>
    <row r="495" spans="4:27">
      <c r="D495" s="66"/>
    </row>
    <row r="496" spans="4:27">
      <c r="D496" s="66"/>
    </row>
    <row r="497" spans="4:4">
      <c r="D497" s="66"/>
    </row>
    <row r="498" spans="4:4">
      <c r="D498" s="66"/>
    </row>
    <row r="499" spans="4:4">
      <c r="D499" s="66"/>
    </row>
    <row r="500" spans="4:4">
      <c r="D500" s="66"/>
    </row>
    <row r="501" spans="4:4">
      <c r="D501" s="66"/>
    </row>
    <row r="502" spans="4:4">
      <c r="D502" s="66"/>
    </row>
    <row r="503" spans="4:4">
      <c r="D503" s="66"/>
    </row>
    <row r="504" spans="4:4">
      <c r="D504" s="66"/>
    </row>
    <row r="505" spans="4:4">
      <c r="D505" s="66"/>
    </row>
    <row r="506" spans="4:4">
      <c r="D506" s="66"/>
    </row>
    <row r="507" spans="4:4">
      <c r="D507" s="66"/>
    </row>
    <row r="508" spans="4:4">
      <c r="D508" s="66"/>
    </row>
    <row r="509" spans="4:4">
      <c r="D509" s="66"/>
    </row>
    <row r="510" spans="4:4">
      <c r="D510" s="66"/>
    </row>
    <row r="511" spans="4:4">
      <c r="D511" s="66"/>
    </row>
    <row r="512" spans="4:4">
      <c r="D512" s="66"/>
    </row>
    <row r="513" spans="4:4">
      <c r="D513" s="66"/>
    </row>
    <row r="514" spans="4:4">
      <c r="D514" s="66"/>
    </row>
    <row r="515" spans="4:4">
      <c r="D515" s="66"/>
    </row>
    <row r="516" spans="4:4">
      <c r="D516" s="66"/>
    </row>
    <row r="517" spans="4:4">
      <c r="D517" s="66"/>
    </row>
    <row r="518" spans="4:4">
      <c r="D518" s="66"/>
    </row>
    <row r="519" spans="4:4">
      <c r="D519" s="66"/>
    </row>
    <row r="520" spans="4:4">
      <c r="D520" s="66"/>
    </row>
    <row r="521" spans="4:4">
      <c r="D521" s="66"/>
    </row>
    <row r="522" spans="4:4">
      <c r="D522" s="66"/>
    </row>
    <row r="523" spans="4:4">
      <c r="D523" s="66"/>
    </row>
    <row r="524" spans="4:4">
      <c r="D524" s="66"/>
    </row>
    <row r="525" spans="4:4">
      <c r="D525" s="66"/>
    </row>
    <row r="526" spans="4:4">
      <c r="D526" s="66"/>
    </row>
    <row r="527" spans="4:4">
      <c r="D527" s="66"/>
    </row>
    <row r="528" spans="4:4">
      <c r="D528" s="66"/>
    </row>
    <row r="529" spans="4:4">
      <c r="D529" s="66"/>
    </row>
    <row r="530" spans="4:4">
      <c r="D530" s="66"/>
    </row>
    <row r="531" spans="4:4">
      <c r="D531" s="66"/>
    </row>
    <row r="532" spans="4:4">
      <c r="D532" s="66"/>
    </row>
    <row r="533" spans="4:4">
      <c r="D533" s="66"/>
    </row>
    <row r="534" spans="4:4">
      <c r="D534" s="66"/>
    </row>
    <row r="535" spans="4:4">
      <c r="D535" s="66"/>
    </row>
    <row r="536" spans="4:4">
      <c r="D536" s="66"/>
    </row>
    <row r="537" spans="4:4">
      <c r="D537" s="66"/>
    </row>
    <row r="538" spans="4:4">
      <c r="D538" s="66"/>
    </row>
    <row r="539" spans="4:4">
      <c r="D539" s="66"/>
    </row>
    <row r="540" spans="4:4">
      <c r="D540" s="66"/>
    </row>
    <row r="541" spans="4:4">
      <c r="D541" s="66"/>
    </row>
    <row r="542" spans="4:4">
      <c r="D542" s="66"/>
    </row>
    <row r="543" spans="4:4">
      <c r="D543" s="66"/>
    </row>
    <row r="544" spans="4:4">
      <c r="D544" s="66"/>
    </row>
    <row r="545" spans="4:4">
      <c r="D545" s="66"/>
    </row>
    <row r="546" spans="4:4">
      <c r="D546" s="66"/>
    </row>
    <row r="547" spans="4:4">
      <c r="D547" s="66"/>
    </row>
    <row r="548" spans="4:4">
      <c r="D548" s="66"/>
    </row>
    <row r="549" spans="4:4">
      <c r="D549" s="66"/>
    </row>
    <row r="550" spans="4:4">
      <c r="D550" s="66"/>
    </row>
    <row r="551" spans="4:4">
      <c r="D551" s="66"/>
    </row>
    <row r="552" spans="4:4">
      <c r="D552" s="66"/>
    </row>
    <row r="553" spans="4:4">
      <c r="D553" s="66"/>
    </row>
    <row r="554" spans="4:4">
      <c r="D554" s="66"/>
    </row>
    <row r="555" spans="4:4">
      <c r="D555" s="66"/>
    </row>
    <row r="556" spans="4:4">
      <c r="D556" s="66"/>
    </row>
    <row r="557" spans="4:4">
      <c r="D557" s="66"/>
    </row>
    <row r="558" spans="4:4">
      <c r="D558" s="66"/>
    </row>
    <row r="559" spans="4:4">
      <c r="D559" s="66"/>
    </row>
    <row r="560" spans="4:4">
      <c r="D560" s="66"/>
    </row>
    <row r="561" spans="4:4">
      <c r="D561" s="66"/>
    </row>
    <row r="562" spans="4:4">
      <c r="D562" s="66"/>
    </row>
    <row r="563" spans="4:4">
      <c r="D563" s="66"/>
    </row>
    <row r="564" spans="4:4">
      <c r="D564" s="66"/>
    </row>
    <row r="565" spans="4:4">
      <c r="D565" s="66"/>
    </row>
    <row r="566" spans="4:4">
      <c r="D566" s="66"/>
    </row>
    <row r="567" spans="4:4">
      <c r="D567" s="66"/>
    </row>
    <row r="568" spans="4:4">
      <c r="D568" s="66"/>
    </row>
    <row r="569" spans="4:4">
      <c r="D569" s="66"/>
    </row>
    <row r="570" spans="4:4">
      <c r="D570" s="66"/>
    </row>
    <row r="571" spans="4:4">
      <c r="D571" s="66"/>
    </row>
    <row r="572" spans="4:4">
      <c r="D572" s="66"/>
    </row>
    <row r="573" spans="4:4">
      <c r="D573" s="66"/>
    </row>
    <row r="574" spans="4:4">
      <c r="D574" s="66"/>
    </row>
    <row r="575" spans="4:4">
      <c r="D575" s="66"/>
    </row>
    <row r="576" spans="4:4">
      <c r="D576" s="66"/>
    </row>
    <row r="577" spans="4:4">
      <c r="D577" s="66"/>
    </row>
    <row r="578" spans="4:4">
      <c r="D578" s="66"/>
    </row>
    <row r="579" spans="4:4">
      <c r="D579" s="66"/>
    </row>
    <row r="580" spans="4:4">
      <c r="D580" s="66"/>
    </row>
    <row r="581" spans="4:4">
      <c r="D581" s="66"/>
    </row>
    <row r="582" spans="4:4">
      <c r="D582" s="66"/>
    </row>
    <row r="583" spans="4:4">
      <c r="D583" s="66"/>
    </row>
    <row r="584" spans="4:4">
      <c r="D584" s="66"/>
    </row>
    <row r="585" spans="4:4">
      <c r="D585" s="66"/>
    </row>
    <row r="586" spans="4:4">
      <c r="D586" s="66"/>
    </row>
    <row r="587" spans="4:4">
      <c r="D587" s="66"/>
    </row>
    <row r="588" spans="4:4">
      <c r="D588" s="66"/>
    </row>
    <row r="589" spans="4:4">
      <c r="D589" s="66"/>
    </row>
    <row r="590" spans="4:4">
      <c r="D590" s="66"/>
    </row>
    <row r="591" spans="4:4">
      <c r="D591" s="66"/>
    </row>
    <row r="592" spans="4:4">
      <c r="D592" s="66"/>
    </row>
    <row r="593" spans="4:4">
      <c r="D593" s="66"/>
    </row>
    <row r="594" spans="4:4">
      <c r="D594" s="66"/>
    </row>
    <row r="595" spans="4:4">
      <c r="D595" s="66"/>
    </row>
    <row r="596" spans="4:4">
      <c r="D596" s="66"/>
    </row>
    <row r="597" spans="4:4">
      <c r="D597" s="66"/>
    </row>
    <row r="598" spans="4:4">
      <c r="D598" s="66"/>
    </row>
    <row r="599" spans="4:4">
      <c r="D599" s="66"/>
    </row>
    <row r="600" spans="4:4">
      <c r="D600" s="66"/>
    </row>
    <row r="601" spans="4:4">
      <c r="D601" s="66"/>
    </row>
    <row r="602" spans="4:4">
      <c r="D602" s="66"/>
    </row>
    <row r="603" spans="4:4">
      <c r="D603" s="66"/>
    </row>
    <row r="604" spans="4:4">
      <c r="D604" s="66"/>
    </row>
    <row r="605" spans="4:4">
      <c r="D605" s="66"/>
    </row>
    <row r="606" spans="4:4">
      <c r="D606" s="66"/>
    </row>
    <row r="607" spans="4:4">
      <c r="D607" s="66"/>
    </row>
    <row r="608" spans="4:4">
      <c r="D608" s="66"/>
    </row>
    <row r="609" spans="4:4">
      <c r="D609" s="66"/>
    </row>
    <row r="610" spans="4:4">
      <c r="D610" s="66"/>
    </row>
    <row r="611" spans="4:4">
      <c r="D611" s="66"/>
    </row>
    <row r="612" spans="4:4">
      <c r="D612" s="66"/>
    </row>
    <row r="613" spans="4:4">
      <c r="D613" s="66"/>
    </row>
    <row r="614" spans="4:4">
      <c r="D614" s="66"/>
    </row>
    <row r="615" spans="4:4">
      <c r="D615" s="66"/>
    </row>
    <row r="616" spans="4:4">
      <c r="D616" s="66"/>
    </row>
    <row r="617" spans="4:4">
      <c r="D617" s="66"/>
    </row>
    <row r="618" spans="4:4">
      <c r="D618" s="66"/>
    </row>
    <row r="619" spans="4:4">
      <c r="D619" s="66"/>
    </row>
    <row r="620" spans="4:4">
      <c r="D620" s="66"/>
    </row>
    <row r="621" spans="4:4">
      <c r="D621" s="66"/>
    </row>
    <row r="622" spans="4:4">
      <c r="D622" s="66"/>
    </row>
    <row r="623" spans="4:4">
      <c r="D623" s="66"/>
    </row>
    <row r="624" spans="4:4">
      <c r="D624" s="66"/>
    </row>
    <row r="625" spans="4:4">
      <c r="D625" s="66"/>
    </row>
    <row r="626" spans="4:4">
      <c r="D626" s="66"/>
    </row>
    <row r="627" spans="4:4">
      <c r="D627" s="66"/>
    </row>
    <row r="628" spans="4:4">
      <c r="D628" s="66"/>
    </row>
    <row r="629" spans="4:4">
      <c r="D629" s="66"/>
    </row>
    <row r="630" spans="4:4">
      <c r="D630" s="66"/>
    </row>
    <row r="631" spans="4:4">
      <c r="D631" s="66"/>
    </row>
    <row r="632" spans="4:4">
      <c r="D632" s="66"/>
    </row>
    <row r="633" spans="4:4">
      <c r="D633" s="66"/>
    </row>
    <row r="634" spans="4:4">
      <c r="D634" s="66"/>
    </row>
    <row r="635" spans="4:4">
      <c r="D635" s="66"/>
    </row>
    <row r="636" spans="4:4">
      <c r="D636" s="66"/>
    </row>
    <row r="637" spans="4:4">
      <c r="D637" s="66"/>
    </row>
    <row r="638" spans="4:4">
      <c r="D638" s="66"/>
    </row>
    <row r="639" spans="4:4">
      <c r="D639" s="66"/>
    </row>
    <row r="640" spans="4:4">
      <c r="D640" s="66"/>
    </row>
    <row r="641" spans="4:4">
      <c r="D641" s="66"/>
    </row>
    <row r="642" spans="4:4">
      <c r="D642" s="66"/>
    </row>
    <row r="643" spans="4:4">
      <c r="D643" s="66"/>
    </row>
    <row r="644" spans="4:4">
      <c r="D644" s="66"/>
    </row>
    <row r="645" spans="4:4">
      <c r="D645" s="66"/>
    </row>
    <row r="646" spans="4:4">
      <c r="D646" s="66"/>
    </row>
    <row r="647" spans="4:4">
      <c r="D647" s="66"/>
    </row>
    <row r="648" spans="4:4">
      <c r="D648" s="66"/>
    </row>
    <row r="649" spans="4:4">
      <c r="D649" s="66"/>
    </row>
    <row r="650" spans="4:4">
      <c r="D650" s="66"/>
    </row>
    <row r="651" spans="4:4">
      <c r="D651" s="66"/>
    </row>
    <row r="652" spans="4:4">
      <c r="D652" s="66"/>
    </row>
    <row r="653" spans="4:4">
      <c r="D653" s="66"/>
    </row>
    <row r="654" spans="4:4">
      <c r="D654" s="66"/>
    </row>
    <row r="655" spans="4:4">
      <c r="D655" s="66"/>
    </row>
    <row r="656" spans="4:4">
      <c r="D656" s="66"/>
    </row>
    <row r="657" spans="4:4">
      <c r="D657" s="66"/>
    </row>
    <row r="658" spans="4:4">
      <c r="D658" s="66"/>
    </row>
    <row r="659" spans="4:4">
      <c r="D659" s="66"/>
    </row>
    <row r="660" spans="4:4">
      <c r="D660" s="66"/>
    </row>
    <row r="661" spans="4:4">
      <c r="D661" s="66"/>
    </row>
    <row r="662" spans="4:4">
      <c r="D662" s="66"/>
    </row>
    <row r="663" spans="4:4">
      <c r="D663" s="66"/>
    </row>
    <row r="664" spans="4:4">
      <c r="D664" s="66"/>
    </row>
    <row r="665" spans="4:4">
      <c r="D665" s="66"/>
    </row>
    <row r="666" spans="4:4">
      <c r="D666" s="66"/>
    </row>
    <row r="667" spans="4:4">
      <c r="D667" s="66"/>
    </row>
    <row r="668" spans="4:4">
      <c r="D668" s="66"/>
    </row>
    <row r="669" spans="4:4">
      <c r="D669" s="66"/>
    </row>
    <row r="670" spans="4:4">
      <c r="D670" s="66"/>
    </row>
    <row r="671" spans="4:4">
      <c r="D671" s="66"/>
    </row>
    <row r="672" spans="4:4">
      <c r="D672" s="66"/>
    </row>
    <row r="673" spans="4:4">
      <c r="D673" s="66"/>
    </row>
    <row r="674" spans="4:4">
      <c r="D674" s="66"/>
    </row>
    <row r="675" spans="4:4">
      <c r="D675" s="66"/>
    </row>
    <row r="676" spans="4:4">
      <c r="D676" s="66"/>
    </row>
    <row r="677" spans="4:4">
      <c r="D677" s="66"/>
    </row>
    <row r="678" spans="4:4">
      <c r="D678" s="66"/>
    </row>
    <row r="679" spans="4:4">
      <c r="D679" s="66"/>
    </row>
    <row r="680" spans="4:4">
      <c r="D680" s="66"/>
    </row>
    <row r="681" spans="4:4">
      <c r="D681" s="66"/>
    </row>
    <row r="682" spans="4:4">
      <c r="D682" s="66"/>
    </row>
    <row r="683" spans="4:4">
      <c r="D683" s="66"/>
    </row>
    <row r="684" spans="4:4">
      <c r="D684" s="66"/>
    </row>
    <row r="685" spans="4:4">
      <c r="D685" s="66"/>
    </row>
    <row r="686" spans="4:4">
      <c r="D686" s="66"/>
    </row>
    <row r="687" spans="4:4">
      <c r="D687" s="66"/>
    </row>
    <row r="688" spans="4:4">
      <c r="D688" s="66"/>
    </row>
    <row r="689" spans="4:4">
      <c r="D689" s="66"/>
    </row>
    <row r="690" spans="4:4">
      <c r="D690" s="66"/>
    </row>
    <row r="691" spans="4:4">
      <c r="D691" s="66"/>
    </row>
    <row r="692" spans="4:4">
      <c r="D692" s="66"/>
    </row>
    <row r="693" spans="4:4">
      <c r="D693" s="66"/>
    </row>
    <row r="694" spans="4:4">
      <c r="D694" s="66"/>
    </row>
    <row r="695" spans="4:4">
      <c r="D695" s="66"/>
    </row>
    <row r="696" spans="4:4">
      <c r="D696" s="66"/>
    </row>
    <row r="697" spans="4:4">
      <c r="D697" s="66"/>
    </row>
    <row r="698" spans="4:4">
      <c r="D698" s="66"/>
    </row>
    <row r="699" spans="4:4">
      <c r="D699" s="66"/>
    </row>
    <row r="700" spans="4:4">
      <c r="D700" s="66"/>
    </row>
    <row r="701" spans="4:4">
      <c r="D701" s="66"/>
    </row>
    <row r="702" spans="4:4">
      <c r="D702" s="66"/>
    </row>
    <row r="703" spans="4:4">
      <c r="D703" s="66"/>
    </row>
    <row r="704" spans="4:4">
      <c r="D704" s="66"/>
    </row>
    <row r="705" spans="4:4">
      <c r="D705" s="66"/>
    </row>
    <row r="706" spans="4:4">
      <c r="D706" s="66"/>
    </row>
    <row r="707" spans="4:4">
      <c r="D707" s="66"/>
    </row>
    <row r="708" spans="4:4">
      <c r="D708" s="66"/>
    </row>
    <row r="709" spans="4:4">
      <c r="D709" s="66"/>
    </row>
    <row r="710" spans="4:4">
      <c r="D710" s="66"/>
    </row>
    <row r="711" spans="4:4">
      <c r="D711" s="66"/>
    </row>
    <row r="712" spans="4:4">
      <c r="D712" s="66"/>
    </row>
    <row r="713" spans="4:4">
      <c r="D713" s="66"/>
    </row>
    <row r="714" spans="4:4">
      <c r="D714" s="66"/>
    </row>
    <row r="715" spans="4:4">
      <c r="D715" s="66"/>
    </row>
    <row r="716" spans="4:4">
      <c r="D716" s="66"/>
    </row>
    <row r="717" spans="4:4">
      <c r="D717" s="66"/>
    </row>
    <row r="718" spans="4:4">
      <c r="D718" s="66"/>
    </row>
    <row r="719" spans="4:4">
      <c r="D719" s="66"/>
    </row>
    <row r="720" spans="4:4">
      <c r="D720" s="66"/>
    </row>
    <row r="721" spans="4:4">
      <c r="D721" s="66"/>
    </row>
    <row r="722" spans="4:4">
      <c r="D722" s="66"/>
    </row>
    <row r="723" spans="4:4">
      <c r="D723" s="66"/>
    </row>
    <row r="724" spans="4:4">
      <c r="D724" s="66"/>
    </row>
    <row r="725" spans="4:4">
      <c r="D725" s="66"/>
    </row>
    <row r="726" spans="4:4">
      <c r="D726" s="66"/>
    </row>
    <row r="727" spans="4:4">
      <c r="D727" s="66"/>
    </row>
    <row r="728" spans="4:4">
      <c r="D728" s="66"/>
    </row>
    <row r="729" spans="4:4">
      <c r="D729" s="66"/>
    </row>
    <row r="730" spans="4:4">
      <c r="D730" s="66"/>
    </row>
    <row r="731" spans="4:4">
      <c r="D731" s="66"/>
    </row>
    <row r="732" spans="4:4">
      <c r="D732" s="66"/>
    </row>
    <row r="733" spans="4:4">
      <c r="D733" s="66"/>
    </row>
    <row r="734" spans="4:4">
      <c r="D734" s="66"/>
    </row>
    <row r="735" spans="4:4">
      <c r="D735" s="66"/>
    </row>
    <row r="736" spans="4:4">
      <c r="D736" s="66"/>
    </row>
    <row r="737" spans="4:4">
      <c r="D737" s="66"/>
    </row>
    <row r="738" spans="4:4">
      <c r="D738" s="66"/>
    </row>
    <row r="739" spans="4:4">
      <c r="D739" s="66"/>
    </row>
    <row r="740" spans="4:4">
      <c r="D740" s="66"/>
    </row>
    <row r="741" spans="4:4">
      <c r="D741" s="66"/>
    </row>
    <row r="742" spans="4:4">
      <c r="D742" s="66"/>
    </row>
    <row r="743" spans="4:4">
      <c r="D743" s="66"/>
    </row>
    <row r="744" spans="4:4">
      <c r="D744" s="66"/>
    </row>
    <row r="745" spans="4:4">
      <c r="D745" s="66"/>
    </row>
    <row r="746" spans="4:4">
      <c r="D746" s="66"/>
    </row>
    <row r="747" spans="4:4">
      <c r="D747" s="66"/>
    </row>
    <row r="748" spans="4:4">
      <c r="D748" s="66"/>
    </row>
    <row r="749" spans="4:4">
      <c r="D749" s="66"/>
    </row>
    <row r="750" spans="4:4">
      <c r="D750" s="66"/>
    </row>
    <row r="751" spans="4:4">
      <c r="D751" s="66"/>
    </row>
    <row r="752" spans="4:4">
      <c r="D752" s="66"/>
    </row>
    <row r="753" spans="4:4">
      <c r="D753" s="66"/>
    </row>
    <row r="754" spans="4:4">
      <c r="D754" s="66"/>
    </row>
    <row r="755" spans="4:4">
      <c r="D755" s="66"/>
    </row>
    <row r="756" spans="4:4">
      <c r="D756" s="66"/>
    </row>
    <row r="757" spans="4:4">
      <c r="D757" s="66"/>
    </row>
    <row r="758" spans="4:4">
      <c r="D758" s="66"/>
    </row>
    <row r="759" spans="4:4">
      <c r="D759" s="66"/>
    </row>
    <row r="760" spans="4:4">
      <c r="D760" s="66"/>
    </row>
    <row r="761" spans="4:4">
      <c r="D761" s="66"/>
    </row>
    <row r="762" spans="4:4">
      <c r="D762" s="66"/>
    </row>
    <row r="763" spans="4:4">
      <c r="D763" s="66"/>
    </row>
    <row r="764" spans="4:4">
      <c r="D764" s="66"/>
    </row>
    <row r="765" spans="4:4">
      <c r="D765" s="66"/>
    </row>
    <row r="766" spans="4:4">
      <c r="D766" s="66"/>
    </row>
    <row r="767" spans="4:4">
      <c r="D767" s="66"/>
    </row>
    <row r="768" spans="4:4">
      <c r="D768" s="66"/>
    </row>
    <row r="769" spans="4:4">
      <c r="D769" s="66"/>
    </row>
    <row r="770" spans="4:4">
      <c r="D770" s="66"/>
    </row>
    <row r="771" spans="4:4">
      <c r="D771" s="66"/>
    </row>
    <row r="772" spans="4:4">
      <c r="D772" s="66"/>
    </row>
    <row r="773" spans="4:4">
      <c r="D773" s="66"/>
    </row>
    <row r="774" spans="4:4">
      <c r="D774" s="66"/>
    </row>
    <row r="775" spans="4:4">
      <c r="D775" s="66"/>
    </row>
    <row r="776" spans="4:4">
      <c r="D776" s="66"/>
    </row>
    <row r="777" spans="4:4">
      <c r="D777" s="66"/>
    </row>
    <row r="778" spans="4:4">
      <c r="D778" s="66"/>
    </row>
    <row r="779" spans="4:4">
      <c r="D779" s="66"/>
    </row>
    <row r="780" spans="4:4">
      <c r="D780" s="66"/>
    </row>
    <row r="781" spans="4:4">
      <c r="D781" s="66"/>
    </row>
    <row r="782" spans="4:4">
      <c r="D782" s="66"/>
    </row>
    <row r="783" spans="4:4">
      <c r="D783" s="66"/>
    </row>
    <row r="784" spans="4:4">
      <c r="D784" s="66"/>
    </row>
    <row r="785" spans="4:4">
      <c r="D785" s="66"/>
    </row>
    <row r="786" spans="4:4">
      <c r="D786" s="66"/>
    </row>
    <row r="787" spans="4:4">
      <c r="D787" s="66"/>
    </row>
    <row r="788" spans="4:4">
      <c r="D788" s="66"/>
    </row>
    <row r="789" spans="4:4">
      <c r="D789" s="66"/>
    </row>
    <row r="790" spans="4:4">
      <c r="D790" s="66"/>
    </row>
    <row r="791" spans="4:4">
      <c r="D791" s="66"/>
    </row>
    <row r="792" spans="4:4">
      <c r="D792" s="66"/>
    </row>
    <row r="793" spans="4:4">
      <c r="D793" s="66"/>
    </row>
    <row r="794" spans="4:4">
      <c r="D794" s="66"/>
    </row>
    <row r="795" spans="4:4">
      <c r="D795" s="66"/>
    </row>
    <row r="796" spans="4:4">
      <c r="D796" s="66"/>
    </row>
    <row r="797" spans="4:4">
      <c r="D797" s="66"/>
    </row>
    <row r="798" spans="4:4">
      <c r="D798" s="66"/>
    </row>
    <row r="799" spans="4:4">
      <c r="D799" s="66"/>
    </row>
    <row r="800" spans="4:4">
      <c r="D800" s="66"/>
    </row>
    <row r="801" spans="4:4">
      <c r="D801" s="66"/>
    </row>
    <row r="802" spans="4:4">
      <c r="D802" s="66"/>
    </row>
    <row r="803" spans="4:4">
      <c r="D803" s="66"/>
    </row>
    <row r="804" spans="4:4">
      <c r="D804" s="66"/>
    </row>
    <row r="805" spans="4:4">
      <c r="D805" s="66"/>
    </row>
    <row r="806" spans="4:4">
      <c r="D806" s="66"/>
    </row>
    <row r="807" spans="4:4">
      <c r="D807" s="66"/>
    </row>
    <row r="808" spans="4:4">
      <c r="D808" s="66"/>
    </row>
    <row r="809" spans="4:4">
      <c r="D809" s="66"/>
    </row>
    <row r="810" spans="4:4">
      <c r="D810" s="66"/>
    </row>
    <row r="811" spans="4:4">
      <c r="D811" s="66"/>
    </row>
    <row r="812" spans="4:4">
      <c r="D812" s="66"/>
    </row>
    <row r="813" spans="4:4">
      <c r="D813" s="66"/>
    </row>
    <row r="814" spans="4:4">
      <c r="D814" s="66"/>
    </row>
    <row r="815" spans="4:4">
      <c r="D815" s="66"/>
    </row>
    <row r="816" spans="4:4">
      <c r="D816" s="66"/>
    </row>
    <row r="817" spans="4:4">
      <c r="D817" s="66"/>
    </row>
    <row r="818" spans="4:4">
      <c r="D818" s="66"/>
    </row>
    <row r="819" spans="4:4">
      <c r="D819" s="66"/>
    </row>
    <row r="820" spans="4:4">
      <c r="D820" s="66"/>
    </row>
    <row r="821" spans="4:4">
      <c r="D821" s="66"/>
    </row>
    <row r="822" spans="4:4">
      <c r="D822" s="66"/>
    </row>
    <row r="823" spans="4:4">
      <c r="D823" s="66"/>
    </row>
    <row r="824" spans="4:4">
      <c r="D824" s="66"/>
    </row>
    <row r="825" spans="4:4">
      <c r="D825" s="66"/>
    </row>
    <row r="826" spans="4:4">
      <c r="D826" s="66"/>
    </row>
    <row r="827" spans="4:4">
      <c r="D827" s="66"/>
    </row>
    <row r="828" spans="4:4">
      <c r="D828" s="66"/>
    </row>
    <row r="829" spans="4:4">
      <c r="D829" s="66"/>
    </row>
    <row r="830" spans="4:4">
      <c r="D830" s="66"/>
    </row>
    <row r="831" spans="4:4">
      <c r="D831" s="66"/>
    </row>
    <row r="832" spans="4:4">
      <c r="D832" s="66"/>
    </row>
    <row r="833" spans="4:4">
      <c r="D833" s="66"/>
    </row>
    <row r="834" spans="4:4">
      <c r="D834" s="66"/>
    </row>
    <row r="835" spans="4:4">
      <c r="D835" s="66"/>
    </row>
    <row r="836" spans="4:4">
      <c r="D836" s="66"/>
    </row>
    <row r="837" spans="4:4">
      <c r="D837" s="66"/>
    </row>
    <row r="838" spans="4:4">
      <c r="D838" s="66"/>
    </row>
    <row r="839" spans="4:4">
      <c r="D839" s="66"/>
    </row>
    <row r="840" spans="4:4">
      <c r="D840" s="66"/>
    </row>
    <row r="841" spans="4:4">
      <c r="D841" s="66"/>
    </row>
    <row r="842" spans="4:4">
      <c r="D842" s="66"/>
    </row>
    <row r="843" spans="4:4">
      <c r="D843" s="66"/>
    </row>
    <row r="844" spans="4:4">
      <c r="D844" s="66"/>
    </row>
    <row r="845" spans="4:4">
      <c r="D845" s="66"/>
    </row>
    <row r="846" spans="4:4">
      <c r="D846" s="66"/>
    </row>
    <row r="847" spans="4:4">
      <c r="D847" s="66"/>
    </row>
    <row r="848" spans="4:4">
      <c r="D848" s="66"/>
    </row>
    <row r="849" spans="4:4">
      <c r="D849" s="66"/>
    </row>
    <row r="850" spans="4:4">
      <c r="D850" s="66"/>
    </row>
    <row r="851" spans="4:4">
      <c r="D851" s="66"/>
    </row>
    <row r="852" spans="4:4">
      <c r="D852" s="66"/>
    </row>
    <row r="853" spans="4:4">
      <c r="D853" s="66"/>
    </row>
    <row r="854" spans="4:4">
      <c r="D854" s="66"/>
    </row>
    <row r="855" spans="4:4">
      <c r="D855" s="66"/>
    </row>
    <row r="856" spans="4:4">
      <c r="D856" s="66"/>
    </row>
    <row r="857" spans="4:4">
      <c r="D857" s="66"/>
    </row>
    <row r="858" spans="4:4">
      <c r="D858" s="66"/>
    </row>
    <row r="859" spans="4:4">
      <c r="D859" s="66"/>
    </row>
    <row r="860" spans="4:4">
      <c r="D860" s="66"/>
    </row>
    <row r="861" spans="4:4">
      <c r="D861" s="66"/>
    </row>
    <row r="862" spans="4:4">
      <c r="D862" s="66"/>
    </row>
    <row r="863" spans="4:4">
      <c r="D863" s="66"/>
    </row>
    <row r="864" spans="4:4">
      <c r="D864" s="66"/>
    </row>
    <row r="865" spans="4:4">
      <c r="D865" s="66"/>
    </row>
    <row r="866" spans="4:4">
      <c r="D866" s="66"/>
    </row>
    <row r="867" spans="4:4">
      <c r="D867" s="66"/>
    </row>
    <row r="868" spans="4:4">
      <c r="D868" s="66"/>
    </row>
    <row r="869" spans="4:4">
      <c r="D869" s="66"/>
    </row>
    <row r="870" spans="4:4">
      <c r="D870" s="66"/>
    </row>
    <row r="871" spans="4:4">
      <c r="D871" s="66"/>
    </row>
    <row r="872" spans="4:4">
      <c r="D872" s="66"/>
    </row>
    <row r="873" spans="4:4">
      <c r="D873" s="66"/>
    </row>
    <row r="874" spans="4:4">
      <c r="D874" s="66"/>
    </row>
    <row r="875" spans="4:4">
      <c r="D875" s="66"/>
    </row>
    <row r="876" spans="4:4">
      <c r="D876" s="66"/>
    </row>
    <row r="877" spans="4:4">
      <c r="D877" s="66"/>
    </row>
    <row r="878" spans="4:4">
      <c r="D878" s="66"/>
    </row>
    <row r="879" spans="4:4">
      <c r="D879" s="66"/>
    </row>
    <row r="880" spans="4:4">
      <c r="D880" s="66"/>
    </row>
    <row r="881" spans="4:4">
      <c r="D881" s="66"/>
    </row>
    <row r="882" spans="4:4">
      <c r="D882" s="66"/>
    </row>
    <row r="883" spans="4:4">
      <c r="D883" s="66"/>
    </row>
    <row r="884" spans="4:4">
      <c r="D884" s="66"/>
    </row>
    <row r="885" spans="4:4">
      <c r="D885" s="66"/>
    </row>
    <row r="886" spans="4:4">
      <c r="D886" s="66"/>
    </row>
    <row r="887" spans="4:4">
      <c r="D887" s="66"/>
    </row>
    <row r="888" spans="4:4">
      <c r="D888" s="66"/>
    </row>
    <row r="889" spans="4:4">
      <c r="D889" s="66"/>
    </row>
    <row r="890" spans="4:4">
      <c r="D890" s="66"/>
    </row>
    <row r="891" spans="4:4">
      <c r="D891" s="66"/>
    </row>
    <row r="892" spans="4:4">
      <c r="D892" s="66"/>
    </row>
    <row r="893" spans="4:4">
      <c r="D893" s="66"/>
    </row>
    <row r="894" spans="4:4">
      <c r="D894" s="66"/>
    </row>
    <row r="895" spans="4:4">
      <c r="D895" s="66"/>
    </row>
    <row r="896" spans="4:4">
      <c r="D896" s="66"/>
    </row>
    <row r="897" spans="4:4">
      <c r="D897" s="66"/>
    </row>
    <row r="898" spans="4:4">
      <c r="D898" s="66"/>
    </row>
    <row r="899" spans="4:4">
      <c r="D899" s="66"/>
    </row>
    <row r="900" spans="4:4">
      <c r="D900" s="66"/>
    </row>
    <row r="901" spans="4:4">
      <c r="D901" s="66"/>
    </row>
    <row r="902" spans="4:4">
      <c r="D902" s="66"/>
    </row>
    <row r="903" spans="4:4">
      <c r="D903" s="66"/>
    </row>
    <row r="904" spans="4:4">
      <c r="D904" s="66"/>
    </row>
    <row r="905" spans="4:4">
      <c r="D905" s="66"/>
    </row>
    <row r="906" spans="4:4">
      <c r="D906" s="66"/>
    </row>
    <row r="907" spans="4:4">
      <c r="D907" s="66"/>
    </row>
    <row r="908" spans="4:4">
      <c r="D908" s="66"/>
    </row>
    <row r="909" spans="4:4">
      <c r="D909" s="66"/>
    </row>
    <row r="910" spans="4:4">
      <c r="D910" s="66"/>
    </row>
    <row r="911" spans="4:4">
      <c r="D911" s="66"/>
    </row>
    <row r="912" spans="4:4">
      <c r="D912" s="66"/>
    </row>
    <row r="913" spans="4:4">
      <c r="D913" s="66"/>
    </row>
    <row r="914" spans="4:4">
      <c r="D914" s="66"/>
    </row>
    <row r="915" spans="4:4">
      <c r="D915" s="66"/>
    </row>
    <row r="916" spans="4:4">
      <c r="D916" s="66"/>
    </row>
    <row r="917" spans="4:4">
      <c r="D917" s="66"/>
    </row>
    <row r="918" spans="4:4">
      <c r="D918" s="66"/>
    </row>
    <row r="919" spans="4:4">
      <c r="D919" s="66"/>
    </row>
    <row r="920" spans="4:4">
      <c r="D920" s="66"/>
    </row>
    <row r="921" spans="4:4">
      <c r="D921" s="66"/>
    </row>
    <row r="922" spans="4:4">
      <c r="D922" s="66"/>
    </row>
    <row r="923" spans="4:4">
      <c r="D923" s="66"/>
    </row>
    <row r="924" spans="4:4">
      <c r="D924" s="66"/>
    </row>
    <row r="925" spans="4:4">
      <c r="D925" s="66"/>
    </row>
    <row r="926" spans="4:4">
      <c r="D926" s="66"/>
    </row>
    <row r="927" spans="4:4">
      <c r="D927" s="66"/>
    </row>
    <row r="928" spans="4:4">
      <c r="D928" s="66"/>
    </row>
    <row r="929" spans="4:4">
      <c r="D929" s="66"/>
    </row>
    <row r="930" spans="4:4">
      <c r="D930" s="66"/>
    </row>
    <row r="931" spans="4:4">
      <c r="D931" s="66"/>
    </row>
    <row r="932" spans="4:4">
      <c r="D932" s="66"/>
    </row>
    <row r="933" spans="4:4">
      <c r="D933" s="66"/>
    </row>
    <row r="934" spans="4:4">
      <c r="D934" s="66"/>
    </row>
    <row r="935" spans="4:4">
      <c r="D935" s="66"/>
    </row>
    <row r="936" spans="4:4">
      <c r="D936" s="66"/>
    </row>
    <row r="937" spans="4:4">
      <c r="D937" s="66"/>
    </row>
    <row r="938" spans="4:4">
      <c r="D938" s="66"/>
    </row>
    <row r="939" spans="4:4">
      <c r="D939" s="66"/>
    </row>
    <row r="940" spans="4:4">
      <c r="D940" s="66"/>
    </row>
    <row r="941" spans="4:4">
      <c r="D941" s="66"/>
    </row>
    <row r="942" spans="4:4">
      <c r="D942" s="66"/>
    </row>
    <row r="943" spans="4:4">
      <c r="D943" s="66"/>
    </row>
    <row r="944" spans="4:4">
      <c r="D944" s="66"/>
    </row>
    <row r="945" spans="4:4">
      <c r="D945" s="66"/>
    </row>
    <row r="946" spans="4:4">
      <c r="D946" s="66"/>
    </row>
    <row r="947" spans="4:4">
      <c r="D947" s="66"/>
    </row>
    <row r="948" spans="4:4">
      <c r="D948" s="66"/>
    </row>
    <row r="949" spans="4:4">
      <c r="D949" s="66"/>
    </row>
    <row r="950" spans="4:4">
      <c r="D950" s="66"/>
    </row>
    <row r="951" spans="4:4">
      <c r="D951" s="66"/>
    </row>
    <row r="952" spans="4:4">
      <c r="D952" s="66"/>
    </row>
    <row r="953" spans="4:4">
      <c r="D953" s="66"/>
    </row>
    <row r="954" spans="4:4">
      <c r="D954" s="66"/>
    </row>
    <row r="955" spans="4:4">
      <c r="D955" s="66"/>
    </row>
    <row r="956" spans="4:4">
      <c r="D956" s="66"/>
    </row>
    <row r="957" spans="4:4">
      <c r="D957" s="66"/>
    </row>
    <row r="958" spans="4:4">
      <c r="D958" s="66"/>
    </row>
    <row r="959" spans="4:4">
      <c r="D959" s="66"/>
    </row>
    <row r="960" spans="4:4">
      <c r="D960" s="66"/>
    </row>
    <row r="961" spans="4:4">
      <c r="D961" s="66"/>
    </row>
    <row r="962" spans="4:4">
      <c r="D962" s="66"/>
    </row>
    <row r="963" spans="4:4">
      <c r="D963" s="66"/>
    </row>
    <row r="964" spans="4:4">
      <c r="D964" s="66"/>
    </row>
    <row r="965" spans="4:4">
      <c r="D965" s="66"/>
    </row>
    <row r="966" spans="4:4">
      <c r="D966" s="66"/>
    </row>
    <row r="967" spans="4:4">
      <c r="D967" s="66"/>
    </row>
    <row r="968" spans="4:4">
      <c r="D968" s="66"/>
    </row>
    <row r="969" spans="4:4">
      <c r="D969" s="66"/>
    </row>
    <row r="970" spans="4:4">
      <c r="D970" s="66"/>
    </row>
    <row r="971" spans="4:4">
      <c r="D971" s="66"/>
    </row>
    <row r="972" spans="4:4">
      <c r="D972" s="66"/>
    </row>
    <row r="973" spans="4:4">
      <c r="D973" s="66"/>
    </row>
    <row r="974" spans="4:4">
      <c r="D974" s="66"/>
    </row>
    <row r="975" spans="4:4">
      <c r="D975" s="66"/>
    </row>
    <row r="976" spans="4:4">
      <c r="D976" s="66"/>
    </row>
    <row r="977" spans="4:4">
      <c r="D977" s="66"/>
    </row>
    <row r="978" spans="4:4">
      <c r="D978" s="66"/>
    </row>
    <row r="979" spans="4:4">
      <c r="D979" s="66"/>
    </row>
    <row r="980" spans="4:4">
      <c r="D980" s="66"/>
    </row>
    <row r="981" spans="4:4">
      <c r="D981" s="66"/>
    </row>
    <row r="982" spans="4:4">
      <c r="D982" s="66"/>
    </row>
    <row r="983" spans="4:4">
      <c r="D983" s="66"/>
    </row>
    <row r="984" spans="4:4">
      <c r="D984" s="66"/>
    </row>
    <row r="985" spans="4:4">
      <c r="D985" s="66"/>
    </row>
    <row r="986" spans="4:4">
      <c r="D986" s="66"/>
    </row>
    <row r="987" spans="4:4">
      <c r="D987" s="66"/>
    </row>
    <row r="988" spans="4:4">
      <c r="D988" s="66"/>
    </row>
    <row r="989" spans="4:4">
      <c r="D989" s="66"/>
    </row>
    <row r="990" spans="4:4">
      <c r="D990" s="66"/>
    </row>
    <row r="991" spans="4:4">
      <c r="D991" s="66"/>
    </row>
    <row r="992" spans="4:4">
      <c r="D992" s="66"/>
    </row>
    <row r="993" spans="4:4">
      <c r="D993" s="66"/>
    </row>
    <row r="994" spans="4:4">
      <c r="D994" s="66"/>
    </row>
    <row r="995" spans="4:4">
      <c r="D995" s="66"/>
    </row>
    <row r="996" spans="4:4">
      <c r="D996" s="66"/>
    </row>
    <row r="997" spans="4:4">
      <c r="D997" s="66"/>
    </row>
    <row r="998" spans="4:4">
      <c r="D998" s="66"/>
    </row>
    <row r="999" spans="4:4">
      <c r="D999" s="66"/>
    </row>
    <row r="1000" spans="4:4">
      <c r="D1000" s="66"/>
    </row>
    <row r="1001" spans="4:4">
      <c r="D1001" s="66"/>
    </row>
    <row r="1002" spans="4:4">
      <c r="D1002" s="66"/>
    </row>
    <row r="1003" spans="4:4">
      <c r="D1003" s="66"/>
    </row>
    <row r="1004" spans="4:4">
      <c r="D1004" s="66"/>
    </row>
    <row r="1005" spans="4:4">
      <c r="D1005" s="66"/>
    </row>
    <row r="1006" spans="4:4">
      <c r="D1006" s="66"/>
    </row>
    <row r="1007" spans="4:4">
      <c r="D1007" s="66"/>
    </row>
    <row r="1008" spans="4:4">
      <c r="D1008" s="66"/>
    </row>
    <row r="1009" spans="4:4">
      <c r="D1009" s="66"/>
    </row>
    <row r="1010" spans="4:4">
      <c r="D1010" s="66"/>
    </row>
    <row r="1011" spans="4:4">
      <c r="D1011" s="66"/>
    </row>
    <row r="1012" spans="4:4">
      <c r="D1012" s="66"/>
    </row>
    <row r="1013" spans="4:4">
      <c r="D1013" s="66"/>
    </row>
    <row r="1014" spans="4:4">
      <c r="D1014" s="66"/>
    </row>
    <row r="1015" spans="4:4">
      <c r="D1015" s="66"/>
    </row>
    <row r="1016" spans="4:4">
      <c r="D1016" s="66"/>
    </row>
    <row r="1017" spans="4:4">
      <c r="D1017" s="66"/>
    </row>
    <row r="1018" spans="4:4">
      <c r="D1018" s="66"/>
    </row>
    <row r="1019" spans="4:4">
      <c r="D1019" s="66"/>
    </row>
    <row r="1020" spans="4:4">
      <c r="D1020" s="66"/>
    </row>
    <row r="1021" spans="4:4">
      <c r="D1021" s="66"/>
    </row>
    <row r="1022" spans="4:4">
      <c r="D1022" s="66"/>
    </row>
    <row r="1023" spans="4:4">
      <c r="D1023" s="66"/>
    </row>
    <row r="1024" spans="4:4">
      <c r="D1024" s="66"/>
    </row>
    <row r="1025" spans="4:4">
      <c r="D1025" s="66"/>
    </row>
    <row r="1026" spans="4:4">
      <c r="D1026" s="66"/>
    </row>
    <row r="1027" spans="4:4">
      <c r="D1027" s="66"/>
    </row>
    <row r="1028" spans="4:4">
      <c r="D1028" s="66"/>
    </row>
    <row r="1029" spans="4:4">
      <c r="D1029" s="66"/>
    </row>
    <row r="1030" spans="4:4">
      <c r="D1030" s="66"/>
    </row>
    <row r="1031" spans="4:4">
      <c r="D1031" s="66"/>
    </row>
    <row r="1032" spans="4:4">
      <c r="D1032" s="66"/>
    </row>
    <row r="1033" spans="4:4">
      <c r="D1033" s="66"/>
    </row>
    <row r="1034" spans="4:4">
      <c r="D1034" s="66"/>
    </row>
    <row r="1035" spans="4:4">
      <c r="D1035" s="66"/>
    </row>
    <row r="1036" spans="4:4">
      <c r="D1036" s="66"/>
    </row>
    <row r="1037" spans="4:4">
      <c r="D1037" s="66"/>
    </row>
    <row r="1038" spans="4:4">
      <c r="D1038" s="66"/>
    </row>
    <row r="1039" spans="4:4">
      <c r="D1039" s="66"/>
    </row>
    <row r="1040" spans="4:4">
      <c r="D1040" s="66"/>
    </row>
    <row r="1041" spans="4:4">
      <c r="D1041" s="66"/>
    </row>
    <row r="1042" spans="4:4">
      <c r="D1042" s="66"/>
    </row>
    <row r="1043" spans="4:4">
      <c r="D1043" s="66"/>
    </row>
    <row r="1044" spans="4:4">
      <c r="D1044" s="66"/>
    </row>
    <row r="1045" spans="4:4">
      <c r="D1045" s="66"/>
    </row>
    <row r="1046" spans="4:4">
      <c r="D1046" s="66"/>
    </row>
    <row r="1047" spans="4:4">
      <c r="D1047" s="66"/>
    </row>
    <row r="1048" spans="4:4">
      <c r="D1048" s="66"/>
    </row>
    <row r="1049" spans="4:4">
      <c r="D1049" s="66"/>
    </row>
    <row r="1050" spans="4:4">
      <c r="D1050" s="66"/>
    </row>
    <row r="1051" spans="4:4">
      <c r="D1051" s="66"/>
    </row>
    <row r="1052" spans="4:4">
      <c r="D1052" s="66"/>
    </row>
    <row r="1053" spans="4:4">
      <c r="D1053" s="66"/>
    </row>
    <row r="1054" spans="4:4">
      <c r="D1054" s="66"/>
    </row>
    <row r="1055" spans="4:4">
      <c r="D1055" s="66"/>
    </row>
    <row r="1056" spans="4:4">
      <c r="D1056" s="66"/>
    </row>
    <row r="1057" spans="4:4">
      <c r="D1057" s="66"/>
    </row>
    <row r="1058" spans="4:4">
      <c r="D1058" s="66"/>
    </row>
    <row r="1059" spans="4:4">
      <c r="D1059" s="66"/>
    </row>
    <row r="1060" spans="4:4">
      <c r="D1060" s="66"/>
    </row>
    <row r="1061" spans="4:4">
      <c r="D1061" s="66"/>
    </row>
    <row r="1062" spans="4:4">
      <c r="D1062" s="66"/>
    </row>
    <row r="1063" spans="4:4">
      <c r="D1063" s="66"/>
    </row>
    <row r="1064" spans="4:4">
      <c r="D1064" s="66"/>
    </row>
    <row r="1065" spans="4:4">
      <c r="D1065" s="66"/>
    </row>
    <row r="1066" spans="4:4">
      <c r="D1066" s="66"/>
    </row>
    <row r="1067" spans="4:4">
      <c r="D1067" s="66"/>
    </row>
    <row r="1068" spans="4:4">
      <c r="D1068" s="66"/>
    </row>
    <row r="1069" spans="4:4">
      <c r="D1069" s="66"/>
    </row>
    <row r="1070" spans="4:4">
      <c r="D1070" s="66"/>
    </row>
    <row r="1071" spans="4:4">
      <c r="D1071" s="66"/>
    </row>
    <row r="1072" spans="4:4">
      <c r="D1072" s="66"/>
    </row>
    <row r="1073" spans="4:4">
      <c r="D1073" s="66"/>
    </row>
    <row r="1074" spans="4:4">
      <c r="D1074" s="66"/>
    </row>
    <row r="1075" spans="4:4">
      <c r="D1075" s="66"/>
    </row>
    <row r="1076" spans="4:4">
      <c r="D1076" s="66"/>
    </row>
    <row r="1077" spans="4:4">
      <c r="D1077" s="66"/>
    </row>
    <row r="1078" spans="4:4">
      <c r="D1078" s="66"/>
    </row>
    <row r="1079" spans="4:4">
      <c r="D1079" s="66"/>
    </row>
    <row r="1080" spans="4:4">
      <c r="D1080" s="66"/>
    </row>
    <row r="1081" spans="4:4">
      <c r="D1081" s="66"/>
    </row>
    <row r="1082" spans="4:4">
      <c r="D1082" s="66"/>
    </row>
    <row r="1083" spans="4:4">
      <c r="D1083" s="66"/>
    </row>
    <row r="1084" spans="4:4">
      <c r="D1084" s="66"/>
    </row>
    <row r="1085" spans="4:4">
      <c r="D1085" s="66"/>
    </row>
    <row r="1086" spans="4:4">
      <c r="D1086" s="66"/>
    </row>
    <row r="1087" spans="4:4">
      <c r="D1087" s="66"/>
    </row>
    <row r="1088" spans="4:4">
      <c r="D1088" s="66"/>
    </row>
    <row r="1089" spans="4:4">
      <c r="D1089" s="66"/>
    </row>
    <row r="1090" spans="4:4">
      <c r="D1090" s="66"/>
    </row>
    <row r="1091" spans="4:4">
      <c r="D1091" s="66"/>
    </row>
    <row r="1092" spans="4:4">
      <c r="D1092" s="66"/>
    </row>
    <row r="1093" spans="4:4">
      <c r="D1093" s="66"/>
    </row>
    <row r="1094" spans="4:4">
      <c r="D1094" s="66"/>
    </row>
    <row r="1095" spans="4:4">
      <c r="D1095" s="66"/>
    </row>
    <row r="1096" spans="4:4">
      <c r="D1096" s="66"/>
    </row>
    <row r="1097" spans="4:4">
      <c r="D1097" s="66"/>
    </row>
    <row r="1098" spans="4:4">
      <c r="D1098" s="66"/>
    </row>
    <row r="1099" spans="4:4">
      <c r="D1099" s="66"/>
    </row>
    <row r="1100" spans="4:4">
      <c r="D1100" s="66"/>
    </row>
    <row r="1101" spans="4:4">
      <c r="D1101" s="66"/>
    </row>
    <row r="1102" spans="4:4">
      <c r="D1102" s="66"/>
    </row>
    <row r="1103" spans="4:4">
      <c r="D1103" s="66"/>
    </row>
    <row r="1104" spans="4:4">
      <c r="D1104" s="66"/>
    </row>
    <row r="1105" spans="4:4">
      <c r="D1105" s="66"/>
    </row>
    <row r="1106" spans="4:4">
      <c r="D1106" s="66"/>
    </row>
    <row r="1107" spans="4:4">
      <c r="D1107" s="66"/>
    </row>
    <row r="1108" spans="4:4">
      <c r="D1108" s="66"/>
    </row>
    <row r="1109" spans="4:4">
      <c r="D1109" s="66"/>
    </row>
    <row r="1110" spans="4:4">
      <c r="D1110" s="66"/>
    </row>
    <row r="1111" spans="4:4">
      <c r="D1111" s="66"/>
    </row>
    <row r="1112" spans="4:4">
      <c r="D1112" s="66"/>
    </row>
    <row r="1113" spans="4:4">
      <c r="D1113" s="66"/>
    </row>
    <row r="1114" spans="4:4">
      <c r="D1114" s="66"/>
    </row>
    <row r="1115" spans="4:4">
      <c r="D1115" s="66"/>
    </row>
    <row r="1116" spans="4:4">
      <c r="D1116" s="66"/>
    </row>
    <row r="1117" spans="4:4">
      <c r="D1117" s="66"/>
    </row>
    <row r="1118" spans="4:4">
      <c r="D1118" s="66"/>
    </row>
    <row r="1119" spans="4:4">
      <c r="D1119" s="66"/>
    </row>
    <row r="1120" spans="4:4">
      <c r="D1120" s="66"/>
    </row>
    <row r="1121" spans="4:4">
      <c r="D1121" s="66"/>
    </row>
    <row r="1122" spans="4:4">
      <c r="D1122" s="66"/>
    </row>
    <row r="1123" spans="4:4">
      <c r="D1123" s="66"/>
    </row>
    <row r="1124" spans="4:4">
      <c r="D1124" s="66"/>
    </row>
    <row r="1125" spans="4:4">
      <c r="D1125" s="66"/>
    </row>
    <row r="1126" spans="4:4">
      <c r="D1126" s="66"/>
    </row>
    <row r="1127" spans="4:4">
      <c r="D1127" s="66"/>
    </row>
    <row r="1128" spans="4:4">
      <c r="D1128" s="66"/>
    </row>
    <row r="1129" spans="4:4">
      <c r="D1129" s="66"/>
    </row>
    <row r="1130" spans="4:4">
      <c r="D1130" s="66"/>
    </row>
    <row r="1131" spans="4:4">
      <c r="D1131" s="66"/>
    </row>
    <row r="1132" spans="4:4">
      <c r="D1132" s="66"/>
    </row>
    <row r="1133" spans="4:4">
      <c r="D1133" s="66"/>
    </row>
    <row r="1134" spans="4:4">
      <c r="D1134" s="66"/>
    </row>
    <row r="1135" spans="4:4">
      <c r="D1135" s="66"/>
    </row>
    <row r="1136" spans="4:4">
      <c r="D1136" s="66"/>
    </row>
    <row r="1137" spans="4:4">
      <c r="D1137" s="66"/>
    </row>
    <row r="1138" spans="4:4">
      <c r="D1138" s="66"/>
    </row>
    <row r="1139" spans="4:4">
      <c r="D1139" s="66"/>
    </row>
    <row r="1140" spans="4:4">
      <c r="D1140" s="66"/>
    </row>
    <row r="1141" spans="4:4">
      <c r="D1141" s="66"/>
    </row>
    <row r="1142" spans="4:4">
      <c r="D1142" s="66"/>
    </row>
    <row r="1143" spans="4:4">
      <c r="D1143" s="66"/>
    </row>
    <row r="1144" spans="4:4">
      <c r="D1144" s="66"/>
    </row>
    <row r="1145" spans="4:4">
      <c r="D1145" s="66"/>
    </row>
    <row r="1146" spans="4:4">
      <c r="D1146" s="66"/>
    </row>
    <row r="1147" spans="4:4">
      <c r="D1147" s="66"/>
    </row>
    <row r="1148" spans="4:4">
      <c r="D1148" s="66"/>
    </row>
    <row r="1149" spans="4:4">
      <c r="D1149" s="66"/>
    </row>
    <row r="1150" spans="4:4">
      <c r="D1150" s="66"/>
    </row>
    <row r="1151" spans="4:4">
      <c r="D1151" s="66"/>
    </row>
    <row r="1152" spans="4:4">
      <c r="D1152" s="66"/>
    </row>
    <row r="1153" spans="4:4">
      <c r="D1153" s="66"/>
    </row>
    <row r="1154" spans="4:4">
      <c r="D1154" s="66"/>
    </row>
    <row r="1155" spans="4:4">
      <c r="D1155" s="66"/>
    </row>
    <row r="1156" spans="4:4">
      <c r="D1156" s="66"/>
    </row>
    <row r="1157" spans="4:4">
      <c r="D1157" s="66"/>
    </row>
    <row r="1158" spans="4:4">
      <c r="D1158" s="66"/>
    </row>
    <row r="1159" spans="4:4">
      <c r="D1159" s="66"/>
    </row>
    <row r="1160" spans="4:4">
      <c r="D1160" s="66"/>
    </row>
    <row r="1161" spans="4:4">
      <c r="D1161" s="66"/>
    </row>
    <row r="1162" spans="4:4">
      <c r="D1162" s="66"/>
    </row>
    <row r="1163" spans="4:4">
      <c r="D1163" s="66"/>
    </row>
    <row r="1164" spans="4:4">
      <c r="D1164" s="66"/>
    </row>
    <row r="1165" spans="4:4">
      <c r="D1165" s="66"/>
    </row>
    <row r="1166" spans="4:4">
      <c r="D1166" s="66"/>
    </row>
    <row r="1167" spans="4:4">
      <c r="D1167" s="66"/>
    </row>
    <row r="1168" spans="4:4">
      <c r="D1168" s="66"/>
    </row>
    <row r="1169" spans="4:4">
      <c r="D1169" s="66"/>
    </row>
    <row r="1170" spans="4:4">
      <c r="D1170" s="66"/>
    </row>
    <row r="1171" spans="4:4">
      <c r="D1171" s="66"/>
    </row>
    <row r="1172" spans="4:4">
      <c r="D1172" s="66"/>
    </row>
    <row r="1173" spans="4:4">
      <c r="D1173" s="66"/>
    </row>
    <row r="1174" spans="4:4">
      <c r="D1174" s="66"/>
    </row>
    <row r="1175" spans="4:4">
      <c r="D1175" s="66"/>
    </row>
    <row r="1176" spans="4:4">
      <c r="D1176" s="66"/>
    </row>
    <row r="1177" spans="4:4">
      <c r="D1177" s="66"/>
    </row>
    <row r="1178" spans="4:4">
      <c r="D1178" s="66"/>
    </row>
    <row r="1179" spans="4:4">
      <c r="D1179" s="66"/>
    </row>
    <row r="1180" spans="4:4">
      <c r="D1180" s="66"/>
    </row>
    <row r="1181" spans="4:4">
      <c r="D1181" s="66"/>
    </row>
    <row r="1182" spans="4:4">
      <c r="D1182" s="66"/>
    </row>
    <row r="1183" spans="4:4">
      <c r="D1183" s="66"/>
    </row>
    <row r="1184" spans="4:4">
      <c r="D1184" s="66"/>
    </row>
    <row r="1185" spans="4:4">
      <c r="D1185" s="66"/>
    </row>
    <row r="1186" spans="4:4">
      <c r="D1186" s="66"/>
    </row>
    <row r="1187" spans="4:4">
      <c r="D1187" s="66"/>
    </row>
    <row r="1188" spans="4:4">
      <c r="D1188" s="66"/>
    </row>
    <row r="1189" spans="4:4">
      <c r="D1189" s="66"/>
    </row>
    <row r="1190" spans="4:4">
      <c r="D1190" s="66"/>
    </row>
    <row r="1191" spans="4:4">
      <c r="D1191" s="66"/>
    </row>
    <row r="1192" spans="4:4">
      <c r="D1192" s="66"/>
    </row>
    <row r="1193" spans="4:4">
      <c r="D1193" s="66"/>
    </row>
    <row r="1194" spans="4:4">
      <c r="D1194" s="66"/>
    </row>
    <row r="1195" spans="4:4">
      <c r="D1195" s="66"/>
    </row>
    <row r="1196" spans="4:4">
      <c r="D1196" s="66"/>
    </row>
    <row r="1197" spans="4:4">
      <c r="D1197" s="66"/>
    </row>
    <row r="1198" spans="4:4">
      <c r="D1198" s="66"/>
    </row>
    <row r="1199" spans="4:4">
      <c r="D1199" s="66"/>
    </row>
    <row r="1200" spans="4:4">
      <c r="D1200" s="66"/>
    </row>
    <row r="1201" spans="4:4">
      <c r="D1201" s="66"/>
    </row>
    <row r="1202" spans="4:4">
      <c r="D1202" s="66"/>
    </row>
    <row r="1203" spans="4:4">
      <c r="D1203" s="66"/>
    </row>
    <row r="1204" spans="4:4">
      <c r="D1204" s="66"/>
    </row>
    <row r="1205" spans="4:4">
      <c r="D1205" s="66"/>
    </row>
    <row r="1206" spans="4:4">
      <c r="D1206" s="66"/>
    </row>
    <row r="1207" spans="4:4">
      <c r="D1207" s="66"/>
    </row>
    <row r="1208" spans="4:4">
      <c r="D1208" s="66"/>
    </row>
    <row r="1209" spans="4:4">
      <c r="D1209" s="66"/>
    </row>
    <row r="1210" spans="4:4">
      <c r="D1210" s="66"/>
    </row>
    <row r="1211" spans="4:4">
      <c r="D1211" s="66"/>
    </row>
    <row r="1212" spans="4:4">
      <c r="D1212" s="66"/>
    </row>
    <row r="1213" spans="4:4">
      <c r="D1213" s="66"/>
    </row>
    <row r="1214" spans="4:4">
      <c r="D1214" s="66"/>
    </row>
    <row r="1215" spans="4:4">
      <c r="D1215" s="66"/>
    </row>
    <row r="1216" spans="4:4">
      <c r="D1216" s="66"/>
    </row>
    <row r="1217" spans="4:4">
      <c r="D1217" s="66"/>
    </row>
    <row r="1218" spans="4:4">
      <c r="D1218" s="66"/>
    </row>
    <row r="1219" spans="4:4">
      <c r="D1219" s="66"/>
    </row>
    <row r="1220" spans="4:4">
      <c r="D1220" s="66"/>
    </row>
    <row r="1221" spans="4:4">
      <c r="D1221" s="66"/>
    </row>
    <row r="1222" spans="4:4">
      <c r="D1222" s="66"/>
    </row>
    <row r="1223" spans="4:4">
      <c r="D1223" s="66"/>
    </row>
    <row r="1224" spans="4:4">
      <c r="D1224" s="66"/>
    </row>
    <row r="1225" spans="4:4">
      <c r="D1225" s="66"/>
    </row>
    <row r="1226" spans="4:4">
      <c r="D1226" s="66"/>
    </row>
    <row r="1227" spans="4:4">
      <c r="D1227" s="66"/>
    </row>
    <row r="1228" spans="4:4">
      <c r="D1228" s="66"/>
    </row>
    <row r="1229" spans="4:4">
      <c r="D1229" s="66"/>
    </row>
    <row r="1230" spans="4:4">
      <c r="D1230" s="66"/>
    </row>
    <row r="1231" spans="4:4">
      <c r="D1231" s="66"/>
    </row>
    <row r="1232" spans="4:4">
      <c r="D1232" s="66"/>
    </row>
    <row r="1233" spans="4:4">
      <c r="D1233" s="66"/>
    </row>
    <row r="1234" spans="4:4">
      <c r="D1234" s="66"/>
    </row>
    <row r="1235" spans="4:4">
      <c r="D1235" s="66"/>
    </row>
    <row r="1236" spans="4:4">
      <c r="D1236" s="66"/>
    </row>
    <row r="1237" spans="4:4">
      <c r="D1237" s="66"/>
    </row>
    <row r="1238" spans="4:4">
      <c r="D1238" s="66"/>
    </row>
    <row r="1239" spans="4:4">
      <c r="D1239" s="66"/>
    </row>
    <row r="1240" spans="4:4">
      <c r="D1240" s="66"/>
    </row>
    <row r="1241" spans="4:4">
      <c r="D1241" s="66"/>
    </row>
    <row r="1242" spans="4:4">
      <c r="D1242" s="66"/>
    </row>
    <row r="1243" spans="4:4">
      <c r="D1243" s="66"/>
    </row>
    <row r="1244" spans="4:4">
      <c r="D1244" s="66"/>
    </row>
    <row r="1245" spans="4:4">
      <c r="D1245" s="66"/>
    </row>
    <row r="1246" spans="4:4">
      <c r="D1246" s="66"/>
    </row>
    <row r="1247" spans="4:4">
      <c r="D1247" s="66"/>
    </row>
    <row r="1248" spans="4:4">
      <c r="D1248" s="66"/>
    </row>
    <row r="1249" spans="4:4">
      <c r="D1249" s="66"/>
    </row>
    <row r="1250" spans="4:4">
      <c r="D1250" s="66"/>
    </row>
    <row r="1251" spans="4:4">
      <c r="D1251" s="66"/>
    </row>
    <row r="1252" spans="4:4">
      <c r="D1252" s="66"/>
    </row>
    <row r="1253" spans="4:4">
      <c r="D1253" s="66"/>
    </row>
    <row r="1254" spans="4:4">
      <c r="D1254" s="66"/>
    </row>
    <row r="1255" spans="4:4">
      <c r="D1255" s="66"/>
    </row>
    <row r="1256" spans="4:4">
      <c r="D1256" s="66"/>
    </row>
    <row r="1257" spans="4:4">
      <c r="D1257" s="66"/>
    </row>
    <row r="1258" spans="4:4">
      <c r="D1258" s="66"/>
    </row>
    <row r="1259" spans="4:4">
      <c r="D1259" s="66"/>
    </row>
    <row r="1260" spans="4:4">
      <c r="D1260" s="66"/>
    </row>
    <row r="1261" spans="4:4">
      <c r="D1261" s="66"/>
    </row>
    <row r="1262" spans="4:4">
      <c r="D1262" s="66"/>
    </row>
    <row r="1263" spans="4:4">
      <c r="D1263" s="66"/>
    </row>
    <row r="1264" spans="4:4">
      <c r="D1264" s="66"/>
    </row>
    <row r="1265" spans="4:4">
      <c r="D1265" s="66"/>
    </row>
    <row r="1266" spans="4:4">
      <c r="D1266" s="66"/>
    </row>
    <row r="1267" spans="4:4">
      <c r="D1267" s="66"/>
    </row>
    <row r="1268" spans="4:4">
      <c r="D1268" s="66"/>
    </row>
    <row r="1269" spans="4:4">
      <c r="D1269" s="66"/>
    </row>
    <row r="1270" spans="4:4">
      <c r="D1270" s="66"/>
    </row>
    <row r="1271" spans="4:4">
      <c r="D1271" s="66"/>
    </row>
    <row r="1272" spans="4:4">
      <c r="D1272" s="66"/>
    </row>
    <row r="1273" spans="4:4">
      <c r="D1273" s="66"/>
    </row>
    <row r="1274" spans="4:4">
      <c r="D1274" s="66"/>
    </row>
    <row r="1275" spans="4:4">
      <c r="D1275" s="66"/>
    </row>
    <row r="1276" spans="4:4">
      <c r="D1276" s="66"/>
    </row>
    <row r="1277" spans="4:4">
      <c r="D1277" s="66"/>
    </row>
    <row r="1278" spans="4:4">
      <c r="D1278" s="66"/>
    </row>
    <row r="1279" spans="4:4">
      <c r="D1279" s="66"/>
    </row>
    <row r="1280" spans="4:4">
      <c r="D1280" s="66"/>
    </row>
    <row r="1281" spans="4:4">
      <c r="D1281" s="66"/>
    </row>
    <row r="1282" spans="4:4">
      <c r="D1282" s="66"/>
    </row>
    <row r="1283" spans="4:4">
      <c r="D1283" s="66"/>
    </row>
    <row r="1284" spans="4:4">
      <c r="D1284" s="66"/>
    </row>
    <row r="1285" spans="4:4">
      <c r="D1285" s="66"/>
    </row>
    <row r="1286" spans="4:4">
      <c r="D1286" s="66"/>
    </row>
    <row r="1287" spans="4:4">
      <c r="D1287" s="66"/>
    </row>
    <row r="1288" spans="4:4">
      <c r="D1288" s="66"/>
    </row>
    <row r="1289" spans="4:4">
      <c r="D1289" s="66"/>
    </row>
    <row r="1290" spans="4:4">
      <c r="D1290" s="66"/>
    </row>
    <row r="1291" spans="4:4">
      <c r="D1291" s="66"/>
    </row>
    <row r="1292" spans="4:4">
      <c r="D1292" s="66"/>
    </row>
    <row r="1293" spans="4:4">
      <c r="D1293" s="66"/>
    </row>
    <row r="1294" spans="4:4">
      <c r="D1294" s="66"/>
    </row>
    <row r="1295" spans="4:4">
      <c r="D1295" s="66"/>
    </row>
    <row r="1296" spans="4:4">
      <c r="D1296" s="66"/>
    </row>
    <row r="1297" spans="4:4">
      <c r="D1297" s="66"/>
    </row>
    <row r="1298" spans="4:4">
      <c r="D1298" s="66"/>
    </row>
    <row r="1299" spans="4:4">
      <c r="D1299" s="66"/>
    </row>
    <row r="1300" spans="4:4">
      <c r="D1300" s="66"/>
    </row>
    <row r="1301" spans="4:4">
      <c r="D1301" s="66"/>
    </row>
    <row r="1302" spans="4:4">
      <c r="D1302" s="66"/>
    </row>
    <row r="1303" spans="4:4">
      <c r="D1303" s="66"/>
    </row>
    <row r="1304" spans="4:4">
      <c r="D1304" s="66"/>
    </row>
    <row r="1305" spans="4:4">
      <c r="D1305" s="66"/>
    </row>
    <row r="1306" spans="4:4">
      <c r="D1306" s="66"/>
    </row>
    <row r="1307" spans="4:4">
      <c r="D1307" s="66"/>
    </row>
    <row r="1308" spans="4:4">
      <c r="D1308" s="66"/>
    </row>
    <row r="1309" spans="4:4">
      <c r="D1309" s="66"/>
    </row>
    <row r="1310" spans="4:4">
      <c r="D1310" s="66"/>
    </row>
    <row r="1311" spans="4:4">
      <c r="D1311" s="66"/>
    </row>
    <row r="1312" spans="4:4">
      <c r="D1312" s="66"/>
    </row>
    <row r="1313" spans="4:4">
      <c r="D1313" s="66"/>
    </row>
    <row r="1314" spans="4:4">
      <c r="D1314" s="66"/>
    </row>
    <row r="1315" spans="4:4">
      <c r="D1315" s="66"/>
    </row>
    <row r="1316" spans="4:4">
      <c r="D1316" s="66"/>
    </row>
    <row r="1317" spans="4:4">
      <c r="D1317" s="66"/>
    </row>
    <row r="1318" spans="4:4">
      <c r="D1318" s="66"/>
    </row>
    <row r="1319" spans="4:4">
      <c r="D1319" s="66"/>
    </row>
    <row r="1320" spans="4:4">
      <c r="D1320" s="66"/>
    </row>
    <row r="1321" spans="4:4">
      <c r="D1321" s="66"/>
    </row>
    <row r="1322" spans="4:4">
      <c r="D1322" s="66"/>
    </row>
    <row r="1323" spans="4:4">
      <c r="D1323" s="66"/>
    </row>
    <row r="1324" spans="4:4">
      <c r="D1324" s="66"/>
    </row>
    <row r="1325" spans="4:4">
      <c r="D1325" s="66"/>
    </row>
    <row r="1326" spans="4:4">
      <c r="D1326" s="66"/>
    </row>
    <row r="1327" spans="4:4">
      <c r="D1327" s="66"/>
    </row>
    <row r="1328" spans="4:4">
      <c r="D1328" s="66"/>
    </row>
    <row r="1329" spans="4:4">
      <c r="D1329" s="66"/>
    </row>
    <row r="1330" spans="4:4">
      <c r="D1330" s="66"/>
    </row>
    <row r="1331" spans="4:4">
      <c r="D1331" s="66"/>
    </row>
    <row r="1332" spans="4:4">
      <c r="D1332" s="66"/>
    </row>
    <row r="1333" spans="4:4">
      <c r="D1333" s="66"/>
    </row>
    <row r="1334" spans="4:4">
      <c r="D1334" s="66"/>
    </row>
    <row r="1335" spans="4:4">
      <c r="D1335" s="66"/>
    </row>
    <row r="1336" spans="4:4">
      <c r="D1336" s="66"/>
    </row>
    <row r="1337" spans="4:4">
      <c r="D1337" s="66"/>
    </row>
    <row r="1338" spans="4:4">
      <c r="D1338" s="66"/>
    </row>
    <row r="1339" spans="4:4">
      <c r="D1339" s="66"/>
    </row>
    <row r="1340" spans="4:4">
      <c r="D1340" s="66"/>
    </row>
    <row r="1341" spans="4:4">
      <c r="D1341" s="66"/>
    </row>
    <row r="1342" spans="4:4">
      <c r="D1342" s="66"/>
    </row>
    <row r="1343" spans="4:4">
      <c r="D1343" s="66"/>
    </row>
    <row r="1344" spans="4:4">
      <c r="D1344" s="66"/>
    </row>
    <row r="1345" spans="4:4">
      <c r="D1345" s="66"/>
    </row>
    <row r="1346" spans="4:4">
      <c r="D1346" s="66"/>
    </row>
    <row r="1347" spans="4:4">
      <c r="D1347" s="66"/>
    </row>
    <row r="1348" spans="4:4">
      <c r="D1348" s="66"/>
    </row>
    <row r="1349" spans="4:4">
      <c r="D1349" s="66"/>
    </row>
    <row r="1350" spans="4:4">
      <c r="D1350" s="66"/>
    </row>
    <row r="1351" spans="4:4">
      <c r="D1351" s="66"/>
    </row>
    <row r="1352" spans="4:4">
      <c r="D1352" s="66"/>
    </row>
    <row r="1353" spans="4:4">
      <c r="D1353" s="66"/>
    </row>
    <row r="1354" spans="4:4">
      <c r="D1354" s="66"/>
    </row>
    <row r="1355" spans="4:4">
      <c r="D1355" s="66"/>
    </row>
    <row r="1356" spans="4:4">
      <c r="D1356" s="66"/>
    </row>
    <row r="1357" spans="4:4">
      <c r="D1357" s="66"/>
    </row>
    <row r="1358" spans="4:4">
      <c r="D1358" s="66"/>
    </row>
    <row r="1359" spans="4:4">
      <c r="D1359" s="66"/>
    </row>
    <row r="1360" spans="4:4">
      <c r="D1360" s="66"/>
    </row>
    <row r="1361" spans="4:4">
      <c r="D1361" s="66"/>
    </row>
    <row r="1362" spans="4:4">
      <c r="D1362" s="66"/>
    </row>
    <row r="1363" spans="4:4">
      <c r="D1363" s="66"/>
    </row>
    <row r="1364" spans="4:4">
      <c r="D1364" s="66"/>
    </row>
    <row r="1365" spans="4:4">
      <c r="D1365" s="66"/>
    </row>
    <row r="1366" spans="4:4">
      <c r="D1366" s="66"/>
    </row>
    <row r="1367" spans="4:4">
      <c r="D1367" s="66"/>
    </row>
    <row r="1368" spans="4:4">
      <c r="D1368" s="66"/>
    </row>
    <row r="1369" spans="4:4">
      <c r="D1369" s="66"/>
    </row>
    <row r="1370" spans="4:4">
      <c r="D1370" s="66"/>
    </row>
    <row r="1371" spans="4:4">
      <c r="D1371" s="66"/>
    </row>
    <row r="1372" spans="4:4">
      <c r="D1372" s="66"/>
    </row>
    <row r="1373" spans="4:4">
      <c r="D1373" s="66"/>
    </row>
    <row r="1374" spans="4:4">
      <c r="D1374" s="66"/>
    </row>
    <row r="1375" spans="4:4">
      <c r="D1375" s="66"/>
    </row>
    <row r="1376" spans="4:4">
      <c r="D1376" s="66"/>
    </row>
    <row r="1377" spans="4:4">
      <c r="D1377" s="66"/>
    </row>
    <row r="1378" spans="4:4">
      <c r="D1378" s="66"/>
    </row>
    <row r="1379" spans="4:4">
      <c r="D1379" s="66"/>
    </row>
    <row r="1380" spans="4:4">
      <c r="D1380" s="66"/>
    </row>
    <row r="1381" spans="4:4">
      <c r="D1381" s="66"/>
    </row>
    <row r="1382" spans="4:4">
      <c r="D1382" s="66"/>
    </row>
    <row r="1383" spans="4:4">
      <c r="D1383" s="66"/>
    </row>
    <row r="1384" spans="4:4">
      <c r="D1384" s="66"/>
    </row>
    <row r="1385" spans="4:4">
      <c r="D1385" s="66"/>
    </row>
    <row r="1386" spans="4:4">
      <c r="D1386" s="66"/>
    </row>
    <row r="1387" spans="4:4">
      <c r="D1387" s="66"/>
    </row>
    <row r="1388" spans="4:4">
      <c r="D1388" s="66"/>
    </row>
    <row r="1389" spans="4:4">
      <c r="D1389" s="66"/>
    </row>
    <row r="1390" spans="4:4">
      <c r="D1390" s="66"/>
    </row>
    <row r="1391" spans="4:4">
      <c r="D1391" s="66"/>
    </row>
    <row r="1392" spans="4:4">
      <c r="D1392" s="66"/>
    </row>
    <row r="1393" spans="4:4">
      <c r="D1393" s="66"/>
    </row>
    <row r="1394" spans="4:4">
      <c r="D1394" s="66"/>
    </row>
    <row r="1395" spans="4:4">
      <c r="D1395" s="66"/>
    </row>
    <row r="1396" spans="4:4">
      <c r="D1396" s="66"/>
    </row>
    <row r="1397" spans="4:4">
      <c r="D1397" s="66"/>
    </row>
    <row r="1398" spans="4:4">
      <c r="D1398" s="66"/>
    </row>
    <row r="1399" spans="4:4">
      <c r="D1399" s="66"/>
    </row>
    <row r="1400" spans="4:4">
      <c r="D1400" s="66"/>
    </row>
    <row r="1401" spans="4:4">
      <c r="D1401" s="66"/>
    </row>
    <row r="1402" spans="4:4">
      <c r="D1402" s="66"/>
    </row>
    <row r="1403" spans="4:4">
      <c r="D1403" s="66"/>
    </row>
    <row r="1404" spans="4:4">
      <c r="D1404" s="66"/>
    </row>
    <row r="1405" spans="4:4">
      <c r="D1405" s="66"/>
    </row>
    <row r="1406" spans="4:4">
      <c r="D1406" s="66"/>
    </row>
    <row r="1407" spans="4:4">
      <c r="D1407" s="66"/>
    </row>
    <row r="1408" spans="4:4">
      <c r="D1408" s="66"/>
    </row>
    <row r="1409" spans="4:4">
      <c r="D1409" s="66"/>
    </row>
    <row r="1410" spans="4:4">
      <c r="D1410" s="66"/>
    </row>
    <row r="1411" spans="4:4">
      <c r="D1411" s="66"/>
    </row>
    <row r="1412" spans="4:4">
      <c r="D1412" s="66"/>
    </row>
    <row r="1413" spans="4:4">
      <c r="D1413" s="66"/>
    </row>
    <row r="1414" spans="4:4">
      <c r="D1414" s="66"/>
    </row>
    <row r="1415" spans="4:4">
      <c r="D1415" s="66"/>
    </row>
    <row r="1416" spans="4:4">
      <c r="D1416" s="66"/>
    </row>
    <row r="1417" spans="4:4">
      <c r="D1417" s="66"/>
    </row>
    <row r="1418" spans="4:4">
      <c r="D1418" s="66"/>
    </row>
    <row r="1419" spans="4:4">
      <c r="D1419" s="66"/>
    </row>
    <row r="1420" spans="4:4">
      <c r="D1420" s="66"/>
    </row>
    <row r="1421" spans="4:4">
      <c r="D1421" s="66"/>
    </row>
    <row r="1422" spans="4:4">
      <c r="D1422" s="66"/>
    </row>
    <row r="1423" spans="4:4">
      <c r="D1423" s="66"/>
    </row>
    <row r="1424" spans="4:4">
      <c r="D1424" s="66"/>
    </row>
    <row r="1425" spans="4:4">
      <c r="D1425" s="66"/>
    </row>
    <row r="1426" spans="4:4">
      <c r="D1426" s="66"/>
    </row>
    <row r="1427" spans="4:4">
      <c r="D1427" s="66"/>
    </row>
    <row r="1428" spans="4:4">
      <c r="D1428" s="66"/>
    </row>
    <row r="1429" spans="4:4">
      <c r="D1429" s="66"/>
    </row>
    <row r="1430" spans="4:4">
      <c r="D1430" s="66"/>
    </row>
    <row r="1431" spans="4:4">
      <c r="D1431" s="66"/>
    </row>
    <row r="1432" spans="4:4">
      <c r="D1432" s="66"/>
    </row>
    <row r="1433" spans="4:4">
      <c r="D1433" s="66"/>
    </row>
    <row r="1434" spans="4:4">
      <c r="D1434" s="66"/>
    </row>
    <row r="1435" spans="4:4">
      <c r="D1435" s="66"/>
    </row>
    <row r="1436" spans="4:4">
      <c r="D1436" s="66"/>
    </row>
    <row r="1437" spans="4:4">
      <c r="D1437" s="66"/>
    </row>
    <row r="1438" spans="4:4">
      <c r="D1438" s="66"/>
    </row>
    <row r="1439" spans="4:4">
      <c r="D1439" s="66"/>
    </row>
    <row r="1440" spans="4:4">
      <c r="D1440" s="66"/>
    </row>
    <row r="1441" spans="4:4">
      <c r="D1441" s="66"/>
    </row>
    <row r="1442" spans="4:4">
      <c r="D1442" s="66"/>
    </row>
    <row r="1443" spans="4:4">
      <c r="D1443" s="66"/>
    </row>
    <row r="1444" spans="4:4">
      <c r="D1444" s="66"/>
    </row>
    <row r="1445" spans="4:4">
      <c r="D1445" s="66"/>
    </row>
    <row r="1446" spans="4:4">
      <c r="D1446" s="66"/>
    </row>
    <row r="1447" spans="4:4">
      <c r="D1447" s="66"/>
    </row>
    <row r="1448" spans="4:4">
      <c r="D1448" s="66"/>
    </row>
    <row r="1449" spans="4:4">
      <c r="D1449" s="66"/>
    </row>
    <row r="1450" spans="4:4">
      <c r="D1450" s="66"/>
    </row>
    <row r="1451" spans="4:4">
      <c r="D1451" s="66"/>
    </row>
    <row r="1452" spans="4:4">
      <c r="D1452" s="66"/>
    </row>
    <row r="1453" spans="4:4">
      <c r="D1453" s="66"/>
    </row>
    <row r="1454" spans="4:4">
      <c r="D1454" s="66"/>
    </row>
    <row r="1455" spans="4:4">
      <c r="D1455" s="66"/>
    </row>
    <row r="1456" spans="4:4">
      <c r="D1456" s="66"/>
    </row>
    <row r="1457" spans="4:4">
      <c r="D1457" s="66"/>
    </row>
    <row r="1458" spans="4:4">
      <c r="D1458" s="66"/>
    </row>
    <row r="1459" spans="4:4">
      <c r="D1459" s="66"/>
    </row>
    <row r="1460" spans="4:4">
      <c r="D1460" s="66"/>
    </row>
    <row r="1461" spans="4:4">
      <c r="D1461" s="66"/>
    </row>
    <row r="1462" spans="4:4">
      <c r="D1462" s="66"/>
    </row>
    <row r="1463" spans="4:4">
      <c r="D1463" s="66"/>
    </row>
    <row r="1464" spans="4:4">
      <c r="D1464" s="66"/>
    </row>
    <row r="1465" spans="4:4">
      <c r="D1465" s="66"/>
    </row>
    <row r="1466" spans="4:4">
      <c r="D1466" s="66"/>
    </row>
    <row r="1467" spans="4:4">
      <c r="D1467" s="66"/>
    </row>
    <row r="1468" spans="4:4">
      <c r="D1468" s="66"/>
    </row>
    <row r="1469" spans="4:4">
      <c r="D1469" s="66"/>
    </row>
    <row r="1470" spans="4:4">
      <c r="D1470" s="66"/>
    </row>
    <row r="1471" spans="4:4">
      <c r="D1471" s="66"/>
    </row>
    <row r="1472" spans="4:4">
      <c r="D1472" s="66"/>
    </row>
    <row r="1473" spans="4:4">
      <c r="D1473" s="66"/>
    </row>
    <row r="1474" spans="4:4">
      <c r="D1474" s="66"/>
    </row>
    <row r="1475" spans="4:4">
      <c r="D1475" s="66"/>
    </row>
    <row r="1476" spans="4:4">
      <c r="D1476" s="66"/>
    </row>
    <row r="1477" spans="4:4">
      <c r="D1477" s="66"/>
    </row>
    <row r="1478" spans="4:4">
      <c r="D1478" s="66"/>
    </row>
    <row r="1479" spans="4:4">
      <c r="D1479" s="66"/>
    </row>
    <row r="1480" spans="4:4">
      <c r="D1480" s="66"/>
    </row>
    <row r="1481" spans="4:4">
      <c r="D1481" s="66"/>
    </row>
    <row r="1482" spans="4:4">
      <c r="D1482" s="66"/>
    </row>
    <row r="1483" spans="4:4">
      <c r="D1483" s="66"/>
    </row>
    <row r="1484" spans="4:4">
      <c r="D1484" s="66"/>
    </row>
    <row r="1485" spans="4:4">
      <c r="D1485" s="66"/>
    </row>
    <row r="1486" spans="4:4">
      <c r="D1486" s="66"/>
    </row>
    <row r="1487" spans="4:4">
      <c r="D1487" s="66"/>
    </row>
    <row r="1488" spans="4:4">
      <c r="D1488" s="66"/>
    </row>
    <row r="1489" spans="4:4">
      <c r="D1489" s="66"/>
    </row>
    <row r="1490" spans="4:4">
      <c r="D1490" s="66"/>
    </row>
    <row r="1491" spans="4:4">
      <c r="D1491" s="66"/>
    </row>
    <row r="1492" spans="4:4">
      <c r="D1492" s="66"/>
    </row>
    <row r="1493" spans="4:4">
      <c r="D1493" s="66"/>
    </row>
    <row r="1494" spans="4:4">
      <c r="D1494" s="66"/>
    </row>
    <row r="1495" spans="4:4">
      <c r="D1495" s="66"/>
    </row>
    <row r="1496" spans="4:4">
      <c r="D1496" s="66"/>
    </row>
    <row r="1497" spans="4:4">
      <c r="D1497" s="66"/>
    </row>
    <row r="1498" spans="4:4">
      <c r="D1498" s="66"/>
    </row>
    <row r="1499" spans="4:4">
      <c r="D1499" s="66"/>
    </row>
    <row r="1500" spans="4:4">
      <c r="D1500" s="66"/>
    </row>
    <row r="1501" spans="4:4">
      <c r="D1501" s="66"/>
    </row>
    <row r="1502" spans="4:4">
      <c r="D1502" s="66"/>
    </row>
    <row r="1503" spans="4:4">
      <c r="D1503" s="66"/>
    </row>
    <row r="1504" spans="4:4">
      <c r="D1504" s="66"/>
    </row>
    <row r="1505" spans="4:4">
      <c r="D1505" s="66"/>
    </row>
    <row r="1506" spans="4:4">
      <c r="D1506" s="66"/>
    </row>
    <row r="1507" spans="4:4">
      <c r="D1507" s="66"/>
    </row>
    <row r="1508" spans="4:4">
      <c r="D1508" s="66"/>
    </row>
    <row r="1509" spans="4:4">
      <c r="D1509" s="66"/>
    </row>
    <row r="1510" spans="4:4">
      <c r="D1510" s="66"/>
    </row>
    <row r="1511" spans="4:4">
      <c r="D1511" s="66"/>
    </row>
    <row r="1512" spans="4:4">
      <c r="D1512" s="66"/>
    </row>
    <row r="1513" spans="4:4">
      <c r="D1513" s="66"/>
    </row>
    <row r="1514" spans="4:4">
      <c r="D1514" s="66"/>
    </row>
    <row r="1515" spans="4:4">
      <c r="D1515" s="66"/>
    </row>
    <row r="1516" spans="4:4">
      <c r="D1516" s="66"/>
    </row>
    <row r="1517" spans="4:4">
      <c r="D1517" s="66"/>
    </row>
    <row r="1518" spans="4:4">
      <c r="D1518" s="66"/>
    </row>
    <row r="1519" spans="4:4">
      <c r="D1519" s="66"/>
    </row>
    <row r="1520" spans="4:4">
      <c r="D1520" s="66"/>
    </row>
    <row r="1521" spans="4:4">
      <c r="D1521" s="66"/>
    </row>
    <row r="1522" spans="4:4">
      <c r="D1522" s="66"/>
    </row>
    <row r="1523" spans="4:4">
      <c r="D1523" s="66"/>
    </row>
    <row r="1524" spans="4:4">
      <c r="D1524" s="66"/>
    </row>
    <row r="1525" spans="4:4">
      <c r="D1525" s="66"/>
    </row>
    <row r="1526" spans="4:4">
      <c r="D1526" s="66"/>
    </row>
    <row r="1527" spans="4:4">
      <c r="D1527" s="66"/>
    </row>
    <row r="1528" spans="4:4">
      <c r="D1528" s="66"/>
    </row>
    <row r="1529" spans="4:4">
      <c r="D1529" s="66"/>
    </row>
    <row r="1530" spans="4:4">
      <c r="D1530" s="66"/>
    </row>
    <row r="1531" spans="4:4">
      <c r="D1531" s="66"/>
    </row>
    <row r="1532" spans="4:4">
      <c r="D1532" s="66"/>
    </row>
    <row r="1533" spans="4:4">
      <c r="D1533" s="66"/>
    </row>
    <row r="1534" spans="4:4">
      <c r="D1534" s="66"/>
    </row>
    <row r="1535" spans="4:4">
      <c r="D1535" s="66"/>
    </row>
    <row r="1536" spans="4:4">
      <c r="D1536" s="66"/>
    </row>
    <row r="1537" spans="4:4">
      <c r="D1537" s="66"/>
    </row>
    <row r="1538" spans="4:4">
      <c r="D1538" s="66"/>
    </row>
    <row r="1539" spans="4:4">
      <c r="D1539" s="66"/>
    </row>
    <row r="1540" spans="4:4">
      <c r="D1540" s="66"/>
    </row>
    <row r="1541" spans="4:4">
      <c r="D1541" s="66"/>
    </row>
    <row r="1542" spans="4:4">
      <c r="D1542" s="66"/>
    </row>
    <row r="1543" spans="4:4">
      <c r="D1543" s="66"/>
    </row>
    <row r="1544" spans="4:4">
      <c r="D1544" s="66"/>
    </row>
    <row r="1545" spans="4:4">
      <c r="D1545" s="66"/>
    </row>
    <row r="1546" spans="4:4">
      <c r="D1546" s="66"/>
    </row>
    <row r="1547" spans="4:4">
      <c r="D1547" s="66"/>
    </row>
    <row r="1548" spans="4:4">
      <c r="D1548" s="66"/>
    </row>
    <row r="1549" spans="4:4">
      <c r="D1549" s="66"/>
    </row>
    <row r="1550" spans="4:4">
      <c r="D1550" s="66"/>
    </row>
    <row r="1551" spans="4:4">
      <c r="D1551" s="66"/>
    </row>
    <row r="1552" spans="4:4">
      <c r="D1552" s="66"/>
    </row>
    <row r="1553" spans="4:4">
      <c r="D1553" s="66"/>
    </row>
    <row r="1554" spans="4:4">
      <c r="D1554" s="66"/>
    </row>
    <row r="1555" spans="4:4">
      <c r="D1555" s="66"/>
    </row>
    <row r="1556" spans="4:4">
      <c r="D1556" s="66"/>
    </row>
    <row r="1557" spans="4:4">
      <c r="D1557" s="66"/>
    </row>
    <row r="1558" spans="4:4">
      <c r="D1558" s="66"/>
    </row>
    <row r="1559" spans="4:4">
      <c r="D1559" s="66"/>
    </row>
    <row r="1560" spans="4:4">
      <c r="D1560" s="66"/>
    </row>
    <row r="1561" spans="4:4">
      <c r="D1561" s="66"/>
    </row>
    <row r="1562" spans="4:4">
      <c r="D1562" s="66"/>
    </row>
    <row r="1563" spans="4:4">
      <c r="D1563" s="66"/>
    </row>
    <row r="1564" spans="4:4">
      <c r="D1564" s="66"/>
    </row>
    <row r="1565" spans="4:4">
      <c r="D1565" s="66"/>
    </row>
    <row r="1566" spans="4:4">
      <c r="D1566" s="66"/>
    </row>
    <row r="1567" spans="4:4">
      <c r="D1567" s="66"/>
    </row>
    <row r="1568" spans="4:4">
      <c r="D1568" s="66"/>
    </row>
    <row r="1569" spans="4:4">
      <c r="D1569" s="66"/>
    </row>
    <row r="1570" spans="4:4">
      <c r="D1570" s="66"/>
    </row>
    <row r="1571" spans="4:4">
      <c r="D1571" s="66"/>
    </row>
    <row r="1572" spans="4:4">
      <c r="D1572" s="66"/>
    </row>
    <row r="1573" spans="4:4">
      <c r="D1573" s="66"/>
    </row>
    <row r="1574" spans="4:4">
      <c r="D1574" s="66"/>
    </row>
    <row r="1575" spans="4:4">
      <c r="D1575" s="66"/>
    </row>
    <row r="1576" spans="4:4">
      <c r="D1576" s="66"/>
    </row>
    <row r="1577" spans="4:4">
      <c r="D1577" s="66"/>
    </row>
    <row r="1578" spans="4:4">
      <c r="D1578" s="66"/>
    </row>
    <row r="1579" spans="4:4">
      <c r="D1579" s="66"/>
    </row>
    <row r="1580" spans="4:4">
      <c r="D1580" s="66"/>
    </row>
    <row r="1581" spans="4:4">
      <c r="D1581" s="66"/>
    </row>
    <row r="1582" spans="4:4">
      <c r="D1582" s="66"/>
    </row>
    <row r="1583" spans="4:4">
      <c r="D1583" s="66"/>
    </row>
    <row r="1584" spans="4:4">
      <c r="D1584" s="66"/>
    </row>
    <row r="1585" spans="4:4">
      <c r="D1585" s="66"/>
    </row>
    <row r="1586" spans="4:4">
      <c r="D1586" s="66"/>
    </row>
    <row r="1587" spans="4:4">
      <c r="D1587" s="66"/>
    </row>
    <row r="1588" spans="4:4">
      <c r="D1588" s="66"/>
    </row>
    <row r="1589" spans="4:4">
      <c r="D1589" s="66"/>
    </row>
    <row r="1590" spans="4:4">
      <c r="D1590" s="66"/>
    </row>
    <row r="1591" spans="4:4">
      <c r="D1591" s="66"/>
    </row>
    <row r="1592" spans="4:4">
      <c r="D1592" s="66"/>
    </row>
    <row r="1593" spans="4:4">
      <c r="D1593" s="66"/>
    </row>
    <row r="1594" spans="4:4">
      <c r="D1594" s="66"/>
    </row>
    <row r="1595" spans="4:4">
      <c r="D1595" s="66"/>
    </row>
    <row r="1596" spans="4:4">
      <c r="D1596" s="66"/>
    </row>
    <row r="1597" spans="4:4">
      <c r="D1597" s="66"/>
    </row>
    <row r="1598" spans="4:4">
      <c r="D1598" s="66"/>
    </row>
    <row r="1599" spans="4:4">
      <c r="D1599" s="66"/>
    </row>
    <row r="1600" spans="4:4">
      <c r="D1600" s="66"/>
    </row>
    <row r="1601" spans="4:4">
      <c r="D1601" s="66"/>
    </row>
    <row r="1602" spans="4:4">
      <c r="D1602" s="66"/>
    </row>
    <row r="1603" spans="4:4">
      <c r="D1603" s="66"/>
    </row>
    <row r="1604" spans="4:4">
      <c r="D1604" s="66"/>
    </row>
    <row r="1605" spans="4:4">
      <c r="D1605" s="66"/>
    </row>
    <row r="1606" spans="4:4">
      <c r="D1606" s="66"/>
    </row>
    <row r="1607" spans="4:4">
      <c r="D1607" s="66"/>
    </row>
    <row r="1608" spans="4:4">
      <c r="D1608" s="66"/>
    </row>
    <row r="1609" spans="4:4">
      <c r="D1609" s="66"/>
    </row>
    <row r="1610" spans="4:4">
      <c r="D1610" s="66"/>
    </row>
    <row r="1611" spans="4:4">
      <c r="D1611" s="66"/>
    </row>
    <row r="1612" spans="4:4">
      <c r="D1612" s="66"/>
    </row>
    <row r="1613" spans="4:4">
      <c r="D1613" s="66"/>
    </row>
    <row r="1614" spans="4:4">
      <c r="D1614" s="66"/>
    </row>
    <row r="1615" spans="4:4">
      <c r="D1615" s="66"/>
    </row>
    <row r="1616" spans="4:4">
      <c r="D1616" s="66"/>
    </row>
    <row r="1617" spans="4:4">
      <c r="D1617" s="66"/>
    </row>
    <row r="1618" spans="4:4">
      <c r="D1618" s="66"/>
    </row>
    <row r="1619" spans="4:4">
      <c r="D1619" s="66"/>
    </row>
    <row r="1620" spans="4:4">
      <c r="D1620" s="66"/>
    </row>
    <row r="1621" spans="4:4">
      <c r="D1621" s="66"/>
    </row>
    <row r="1622" spans="4:4">
      <c r="D1622" s="66"/>
    </row>
    <row r="1623" spans="4:4">
      <c r="D1623" s="66"/>
    </row>
    <row r="1624" spans="4:4">
      <c r="D1624" s="66"/>
    </row>
    <row r="1625" spans="4:4">
      <c r="D1625" s="66"/>
    </row>
    <row r="1626" spans="4:4">
      <c r="D1626" s="66"/>
    </row>
    <row r="1627" spans="4:4">
      <c r="D1627" s="66"/>
    </row>
    <row r="1628" spans="4:4">
      <c r="D1628" s="66"/>
    </row>
    <row r="1629" spans="4:4">
      <c r="D1629" s="66"/>
    </row>
    <row r="1630" spans="4:4">
      <c r="D1630" s="66"/>
    </row>
    <row r="1631" spans="4:4">
      <c r="D1631" s="66"/>
    </row>
    <row r="1632" spans="4:4">
      <c r="D1632" s="66"/>
    </row>
    <row r="1633" spans="4:4">
      <c r="D1633" s="66"/>
    </row>
    <row r="1634" spans="4:4">
      <c r="D1634" s="66"/>
    </row>
    <row r="1635" spans="4:4">
      <c r="D1635" s="66"/>
    </row>
    <row r="1636" spans="4:4">
      <c r="D1636" s="66"/>
    </row>
    <row r="1637" spans="4:4">
      <c r="D1637" s="66"/>
    </row>
    <row r="1638" spans="4:4">
      <c r="D1638" s="66"/>
    </row>
    <row r="1639" spans="4:4">
      <c r="D1639" s="66"/>
    </row>
    <row r="1640" spans="4:4">
      <c r="D1640" s="66"/>
    </row>
    <row r="1641" spans="4:4">
      <c r="D1641" s="66"/>
    </row>
    <row r="1642" spans="4:4">
      <c r="D1642" s="66"/>
    </row>
    <row r="1643" spans="4:4">
      <c r="D1643" s="66"/>
    </row>
    <row r="1644" spans="4:4">
      <c r="D1644" s="66"/>
    </row>
    <row r="1645" spans="4:4">
      <c r="D1645" s="66"/>
    </row>
    <row r="1646" spans="4:4">
      <c r="D1646" s="66"/>
    </row>
    <row r="1647" spans="4:4">
      <c r="D1647" s="66"/>
    </row>
    <row r="1648" spans="4:4">
      <c r="D1648" s="66"/>
    </row>
    <row r="1649" spans="4:4">
      <c r="D1649" s="66"/>
    </row>
    <row r="1650" spans="4:4">
      <c r="D1650" s="66"/>
    </row>
    <row r="1651" spans="4:4">
      <c r="D1651" s="66"/>
    </row>
    <row r="1652" spans="4:4">
      <c r="D1652" s="66"/>
    </row>
    <row r="1653" spans="4:4">
      <c r="D1653" s="66"/>
    </row>
    <row r="1654" spans="4:4">
      <c r="D1654" s="66"/>
    </row>
    <row r="1655" spans="4:4">
      <c r="D1655" s="66"/>
    </row>
    <row r="1656" spans="4:4">
      <c r="D1656" s="66"/>
    </row>
    <row r="1657" spans="4:4">
      <c r="D1657" s="66"/>
    </row>
    <row r="1658" spans="4:4">
      <c r="D1658" s="66"/>
    </row>
    <row r="1659" spans="4:4">
      <c r="D1659" s="66"/>
    </row>
    <row r="1660" spans="4:4">
      <c r="D1660" s="66"/>
    </row>
    <row r="1661" spans="4:4">
      <c r="D1661" s="66"/>
    </row>
    <row r="1662" spans="4:4">
      <c r="D1662" s="66"/>
    </row>
    <row r="1663" spans="4:4">
      <c r="D1663" s="66"/>
    </row>
    <row r="1664" spans="4:4">
      <c r="D1664" s="66"/>
    </row>
    <row r="1665" spans="4:4">
      <c r="D1665" s="66"/>
    </row>
    <row r="1666" spans="4:4">
      <c r="D1666" s="66"/>
    </row>
    <row r="1667" spans="4:4">
      <c r="D1667" s="66"/>
    </row>
    <row r="1668" spans="4:4">
      <c r="D1668" s="66"/>
    </row>
    <row r="1669" spans="4:4">
      <c r="D1669" s="66"/>
    </row>
    <row r="1670" spans="4:4">
      <c r="D1670" s="66"/>
    </row>
    <row r="1671" spans="4:4">
      <c r="D1671" s="66"/>
    </row>
    <row r="1672" spans="4:4">
      <c r="D1672" s="66"/>
    </row>
    <row r="1673" spans="4:4">
      <c r="D1673" s="66"/>
    </row>
    <row r="1674" spans="4:4">
      <c r="D1674" s="66"/>
    </row>
    <row r="1675" spans="4:4">
      <c r="D1675" s="66"/>
    </row>
    <row r="1676" spans="4:4">
      <c r="D1676" s="66"/>
    </row>
    <row r="1677" spans="4:4">
      <c r="D1677" s="66"/>
    </row>
    <row r="1678" spans="4:4">
      <c r="D1678" s="66"/>
    </row>
    <row r="1679" spans="4:4">
      <c r="D1679" s="66"/>
    </row>
    <row r="1680" spans="4:4">
      <c r="D1680" s="66"/>
    </row>
    <row r="1681" spans="4:4">
      <c r="D1681" s="66"/>
    </row>
    <row r="1682" spans="4:4">
      <c r="D1682" s="66"/>
    </row>
    <row r="1683" spans="4:4">
      <c r="D1683" s="66"/>
    </row>
    <row r="1684" spans="4:4">
      <c r="D1684" s="66"/>
    </row>
    <row r="1685" spans="4:4">
      <c r="D1685" s="66"/>
    </row>
    <row r="1686" spans="4:4">
      <c r="D1686" s="66"/>
    </row>
    <row r="1687" spans="4:4">
      <c r="D1687" s="66"/>
    </row>
    <row r="1688" spans="4:4">
      <c r="D1688" s="66"/>
    </row>
    <row r="1689" spans="4:4">
      <c r="D1689" s="66"/>
    </row>
    <row r="1690" spans="4:4">
      <c r="D1690" s="66"/>
    </row>
    <row r="1691" spans="4:4">
      <c r="D1691" s="66"/>
    </row>
    <row r="1692" spans="4:4">
      <c r="D1692" s="66"/>
    </row>
    <row r="1693" spans="4:4">
      <c r="D1693" s="66"/>
    </row>
    <row r="1694" spans="4:4">
      <c r="D1694" s="66"/>
    </row>
    <row r="1695" spans="4:4">
      <c r="D1695" s="66"/>
    </row>
    <row r="1696" spans="4:4">
      <c r="D1696" s="66"/>
    </row>
    <row r="1697" spans="4:4">
      <c r="D1697" s="66"/>
    </row>
    <row r="1698" spans="4:4">
      <c r="D1698" s="66"/>
    </row>
    <row r="1699" spans="4:4">
      <c r="D1699" s="66"/>
    </row>
    <row r="1700" spans="4:4">
      <c r="D1700" s="66"/>
    </row>
    <row r="1701" spans="4:4">
      <c r="D1701" s="66"/>
    </row>
    <row r="1702" spans="4:4">
      <c r="D1702" s="66"/>
    </row>
    <row r="1703" spans="4:4">
      <c r="D1703" s="66"/>
    </row>
    <row r="1704" spans="4:4">
      <c r="D1704" s="66"/>
    </row>
    <row r="1705" spans="4:4">
      <c r="D1705" s="66"/>
    </row>
    <row r="1706" spans="4:4">
      <c r="D1706" s="66"/>
    </row>
    <row r="1707" spans="4:4">
      <c r="D1707" s="66"/>
    </row>
    <row r="1708" spans="4:4">
      <c r="D1708" s="66"/>
    </row>
    <row r="1709" spans="4:4">
      <c r="D1709" s="66"/>
    </row>
    <row r="1710" spans="4:4">
      <c r="D1710" s="66"/>
    </row>
    <row r="1711" spans="4:4">
      <c r="D1711" s="66"/>
    </row>
    <row r="1712" spans="4:4">
      <c r="D1712" s="66"/>
    </row>
    <row r="1713" spans="4:4">
      <c r="D1713" s="66"/>
    </row>
    <row r="1714" spans="4:4">
      <c r="D1714" s="66"/>
    </row>
    <row r="1715" spans="4:4">
      <c r="D1715" s="66"/>
    </row>
    <row r="1716" spans="4:4">
      <c r="D1716" s="66"/>
    </row>
    <row r="1717" spans="4:4">
      <c r="D1717" s="66"/>
    </row>
    <row r="1718" spans="4:4">
      <c r="D1718" s="66"/>
    </row>
    <row r="1719" spans="4:4">
      <c r="D1719" s="66"/>
    </row>
    <row r="1720" spans="4:4">
      <c r="D1720" s="66"/>
    </row>
    <row r="1721" spans="4:4">
      <c r="D1721" s="66"/>
    </row>
    <row r="1722" spans="4:4">
      <c r="D1722" s="66"/>
    </row>
    <row r="1723" spans="4:4">
      <c r="D1723" s="66"/>
    </row>
    <row r="1724" spans="4:4">
      <c r="D1724" s="66"/>
    </row>
    <row r="1725" spans="4:4">
      <c r="D1725" s="66"/>
    </row>
    <row r="1726" spans="4:4">
      <c r="D1726" s="66"/>
    </row>
    <row r="1727" spans="4:4">
      <c r="D1727" s="66"/>
    </row>
    <row r="1728" spans="4:4">
      <c r="D1728" s="66"/>
    </row>
    <row r="1729" spans="4:4">
      <c r="D1729" s="66"/>
    </row>
    <row r="1730" spans="4:4">
      <c r="D1730" s="66"/>
    </row>
    <row r="1731" spans="4:4">
      <c r="D1731" s="66"/>
    </row>
    <row r="1732" spans="4:4">
      <c r="D1732" s="66"/>
    </row>
    <row r="1733" spans="4:4">
      <c r="D1733" s="66"/>
    </row>
    <row r="1734" spans="4:4">
      <c r="D1734" s="66"/>
    </row>
    <row r="1735" spans="4:4">
      <c r="D1735" s="66"/>
    </row>
    <row r="1736" spans="4:4">
      <c r="D1736" s="66"/>
    </row>
    <row r="1737" spans="4:4">
      <c r="D1737" s="66"/>
    </row>
    <row r="1738" spans="4:4">
      <c r="D1738" s="66"/>
    </row>
    <row r="1739" spans="4:4">
      <c r="D1739" s="66"/>
    </row>
    <row r="1740" spans="4:4">
      <c r="D1740" s="66"/>
    </row>
    <row r="1741" spans="4:4">
      <c r="D1741" s="66"/>
    </row>
    <row r="1742" spans="4:4">
      <c r="D1742" s="66"/>
    </row>
    <row r="1743" spans="4:4">
      <c r="D1743" s="66"/>
    </row>
    <row r="1744" spans="4:4">
      <c r="D1744" s="66"/>
    </row>
    <row r="1745" spans="4:4">
      <c r="D1745" s="66"/>
    </row>
    <row r="1746" spans="4:4">
      <c r="D1746" s="66"/>
    </row>
    <row r="1747" spans="4:4">
      <c r="D1747" s="66"/>
    </row>
    <row r="1748" spans="4:4">
      <c r="D1748" s="66"/>
    </row>
    <row r="1749" spans="4:4">
      <c r="D1749" s="66"/>
    </row>
    <row r="1750" spans="4:4">
      <c r="D1750" s="66"/>
    </row>
    <row r="1751" spans="4:4">
      <c r="D1751" s="66"/>
    </row>
    <row r="1752" spans="4:4">
      <c r="D1752" s="66"/>
    </row>
    <row r="1753" spans="4:4">
      <c r="D1753" s="66"/>
    </row>
    <row r="1754" spans="4:4">
      <c r="D1754" s="66"/>
    </row>
    <row r="1755" spans="4:4">
      <c r="D1755" s="66"/>
    </row>
    <row r="1756" spans="4:4">
      <c r="D1756" s="66"/>
    </row>
    <row r="1757" spans="4:4">
      <c r="D1757" s="66"/>
    </row>
    <row r="1758" spans="4:4">
      <c r="D1758" s="66"/>
    </row>
    <row r="1759" spans="4:4">
      <c r="D1759" s="66"/>
    </row>
    <row r="1760" spans="4:4">
      <c r="D1760" s="66"/>
    </row>
    <row r="1761" spans="4:4">
      <c r="D1761" s="66"/>
    </row>
    <row r="1762" spans="4:4">
      <c r="D1762" s="66"/>
    </row>
    <row r="1763" spans="4:4">
      <c r="D1763" s="66"/>
    </row>
    <row r="1764" spans="4:4">
      <c r="D1764" s="66"/>
    </row>
    <row r="1765" spans="4:4">
      <c r="D1765" s="66"/>
    </row>
    <row r="1766" spans="4:4">
      <c r="D1766" s="66"/>
    </row>
    <row r="1767" spans="4:4">
      <c r="D1767" s="66"/>
    </row>
    <row r="1768" spans="4:4">
      <c r="D1768" s="66"/>
    </row>
    <row r="1769" spans="4:4">
      <c r="D1769" s="66"/>
    </row>
    <row r="1770" spans="4:4">
      <c r="D1770" s="66"/>
    </row>
    <row r="1771" spans="4:4">
      <c r="D1771" s="66"/>
    </row>
    <row r="1772" spans="4:4">
      <c r="D1772" s="66"/>
    </row>
    <row r="1773" spans="4:4">
      <c r="D1773" s="66"/>
    </row>
    <row r="1774" spans="4:4">
      <c r="D1774" s="66"/>
    </row>
    <row r="1775" spans="4:4">
      <c r="D1775" s="66"/>
    </row>
    <row r="1776" spans="4:4">
      <c r="D1776" s="66"/>
    </row>
    <row r="1777" spans="4:4">
      <c r="D1777" s="66"/>
    </row>
    <row r="1778" spans="4:4">
      <c r="D1778" s="66"/>
    </row>
    <row r="1779" spans="4:4">
      <c r="D1779" s="66"/>
    </row>
    <row r="1780" spans="4:4">
      <c r="D1780" s="66"/>
    </row>
    <row r="1781" spans="4:4">
      <c r="D1781" s="66"/>
    </row>
    <row r="1782" spans="4:4">
      <c r="D1782" s="66"/>
    </row>
    <row r="1783" spans="4:4">
      <c r="D1783" s="66"/>
    </row>
    <row r="1784" spans="4:4">
      <c r="D1784" s="66"/>
    </row>
    <row r="1785" spans="4:4">
      <c r="D1785" s="66"/>
    </row>
    <row r="1786" spans="4:4">
      <c r="D1786" s="66"/>
    </row>
    <row r="1787" spans="4:4">
      <c r="D1787" s="66"/>
    </row>
    <row r="1788" spans="4:4">
      <c r="D1788" s="66"/>
    </row>
    <row r="1789" spans="4:4">
      <c r="D1789" s="66"/>
    </row>
    <row r="1790" spans="4:4">
      <c r="D1790" s="66"/>
    </row>
    <row r="1791" spans="4:4">
      <c r="D1791" s="66"/>
    </row>
    <row r="1792" spans="4:4">
      <c r="D1792" s="66"/>
    </row>
    <row r="1793" spans="4:4">
      <c r="D1793" s="66"/>
    </row>
    <row r="1794" spans="4:4">
      <c r="D1794" s="66"/>
    </row>
    <row r="1795" spans="4:4">
      <c r="D1795" s="66"/>
    </row>
    <row r="1796" spans="4:4">
      <c r="D1796" s="66"/>
    </row>
    <row r="1797" spans="4:4">
      <c r="D1797" s="66"/>
    </row>
    <row r="1798" spans="4:4">
      <c r="D1798" s="66"/>
    </row>
    <row r="1799" spans="4:4">
      <c r="D1799" s="66"/>
    </row>
    <row r="1800" spans="4:4">
      <c r="D1800" s="66"/>
    </row>
    <row r="1801" spans="4:4">
      <c r="D1801" s="66"/>
    </row>
    <row r="1802" spans="4:4">
      <c r="D1802" s="66"/>
    </row>
    <row r="1803" spans="4:4">
      <c r="D1803" s="66"/>
    </row>
    <row r="1804" spans="4:4">
      <c r="D1804" s="66"/>
    </row>
    <row r="1805" spans="4:4">
      <c r="D1805" s="66"/>
    </row>
    <row r="1806" spans="4:4">
      <c r="D1806" s="66"/>
    </row>
    <row r="1807" spans="4:4">
      <c r="D1807" s="66"/>
    </row>
    <row r="1808" spans="4:4">
      <c r="D1808" s="66"/>
    </row>
    <row r="1809" spans="4:4">
      <c r="D1809" s="66"/>
    </row>
    <row r="1810" spans="4:4">
      <c r="D1810" s="66"/>
    </row>
    <row r="1811" spans="4:4">
      <c r="D1811" s="66"/>
    </row>
    <row r="1812" spans="4:4">
      <c r="D1812" s="66"/>
    </row>
    <row r="1813" spans="4:4">
      <c r="D1813" s="66"/>
    </row>
    <row r="1814" spans="4:4">
      <c r="D1814" s="66"/>
    </row>
    <row r="1815" spans="4:4">
      <c r="D1815" s="66"/>
    </row>
    <row r="1816" spans="4:4">
      <c r="D1816" s="66"/>
    </row>
    <row r="1817" spans="4:4">
      <c r="D1817" s="66"/>
    </row>
    <row r="1818" spans="4:4">
      <c r="D1818" s="66"/>
    </row>
    <row r="1819" spans="4:4">
      <c r="D1819" s="66"/>
    </row>
    <row r="1820" spans="4:4">
      <c r="D1820" s="66"/>
    </row>
    <row r="1821" spans="4:4">
      <c r="D1821" s="66"/>
    </row>
    <row r="1822" spans="4:4">
      <c r="D1822" s="66"/>
    </row>
    <row r="1823" spans="4:4">
      <c r="D1823" s="66"/>
    </row>
    <row r="1824" spans="4:4">
      <c r="D1824" s="66"/>
    </row>
    <row r="1825" spans="4:4">
      <c r="D1825" s="66"/>
    </row>
    <row r="1826" spans="4:4">
      <c r="D1826" s="66"/>
    </row>
    <row r="1827" spans="4:4">
      <c r="D1827" s="66"/>
    </row>
    <row r="1828" spans="4:4">
      <c r="D1828" s="66"/>
    </row>
    <row r="1829" spans="4:4">
      <c r="D1829" s="66"/>
    </row>
    <row r="1830" spans="4:4">
      <c r="D1830" s="66"/>
    </row>
    <row r="1831" spans="4:4">
      <c r="D1831" s="66"/>
    </row>
    <row r="1832" spans="4:4">
      <c r="D1832" s="66"/>
    </row>
    <row r="1833" spans="4:4">
      <c r="D1833" s="66"/>
    </row>
    <row r="1834" spans="4:4">
      <c r="D1834" s="66"/>
    </row>
    <row r="1835" spans="4:4">
      <c r="D1835" s="66"/>
    </row>
    <row r="1836" spans="4:4">
      <c r="D1836" s="66"/>
    </row>
    <row r="1837" spans="4:4">
      <c r="D1837" s="66"/>
    </row>
    <row r="1838" spans="4:4">
      <c r="D1838" s="66"/>
    </row>
    <row r="1839" spans="4:4">
      <c r="D1839" s="66"/>
    </row>
    <row r="1840" spans="4:4">
      <c r="D1840" s="66"/>
    </row>
    <row r="1841" spans="4:4">
      <c r="D1841" s="66"/>
    </row>
    <row r="1842" spans="4:4">
      <c r="D1842" s="66"/>
    </row>
    <row r="1843" spans="4:4">
      <c r="D1843" s="66"/>
    </row>
    <row r="1844" spans="4:4">
      <c r="D1844" s="66"/>
    </row>
    <row r="1845" spans="4:4">
      <c r="D1845" s="66"/>
    </row>
    <row r="1846" spans="4:4">
      <c r="D1846" s="66"/>
    </row>
    <row r="1847" spans="4:4">
      <c r="D1847" s="66"/>
    </row>
    <row r="1848" spans="4:4">
      <c r="D1848" s="66"/>
    </row>
    <row r="1849" spans="4:4">
      <c r="D1849" s="66"/>
    </row>
    <row r="1850" spans="4:4">
      <c r="D1850" s="66"/>
    </row>
    <row r="1851" spans="4:4">
      <c r="D1851" s="66"/>
    </row>
    <row r="1852" spans="4:4">
      <c r="D1852" s="66"/>
    </row>
    <row r="1853" spans="4:4">
      <c r="D1853" s="66"/>
    </row>
    <row r="1854" spans="4:4">
      <c r="D1854" s="66"/>
    </row>
    <row r="1855" spans="4:4">
      <c r="D1855" s="66"/>
    </row>
    <row r="1856" spans="4:4">
      <c r="D1856" s="66"/>
    </row>
    <row r="1857" spans="4:4">
      <c r="D1857" s="66"/>
    </row>
    <row r="1858" spans="4:4">
      <c r="D1858" s="66"/>
    </row>
    <row r="1859" spans="4:4">
      <c r="D1859" s="66"/>
    </row>
    <row r="1860" spans="4:4">
      <c r="D1860" s="66"/>
    </row>
    <row r="1861" spans="4:4">
      <c r="D1861" s="66"/>
    </row>
    <row r="1862" spans="4:4">
      <c r="D1862" s="66"/>
    </row>
    <row r="1863" spans="4:4">
      <c r="D1863" s="66"/>
    </row>
    <row r="1864" spans="4:4">
      <c r="D1864" s="66"/>
    </row>
    <row r="1865" spans="4:4">
      <c r="D1865" s="66"/>
    </row>
    <row r="1866" spans="4:4">
      <c r="D1866" s="66"/>
    </row>
    <row r="1867" spans="4:4">
      <c r="D1867" s="66"/>
    </row>
    <row r="1868" spans="4:4">
      <c r="D1868" s="66"/>
    </row>
    <row r="1869" spans="4:4">
      <c r="D1869" s="66"/>
    </row>
    <row r="1870" spans="4:4">
      <c r="D1870" s="66"/>
    </row>
    <row r="1871" spans="4:4">
      <c r="D1871" s="66"/>
    </row>
    <row r="1872" spans="4:4">
      <c r="D1872" s="66"/>
    </row>
    <row r="1873" spans="4:4">
      <c r="D1873" s="66"/>
    </row>
    <row r="1874" spans="4:4">
      <c r="D1874" s="66"/>
    </row>
    <row r="1875" spans="4:4">
      <c r="D1875" s="66"/>
    </row>
    <row r="1876" spans="4:4">
      <c r="D1876" s="66"/>
    </row>
    <row r="1877" spans="4:4">
      <c r="D1877" s="66"/>
    </row>
    <row r="1878" spans="4:4">
      <c r="D1878" s="66"/>
    </row>
    <row r="1879" spans="4:4">
      <c r="D1879" s="66"/>
    </row>
    <row r="1880" spans="4:4">
      <c r="D1880" s="66"/>
    </row>
    <row r="1881" spans="4:4">
      <c r="D1881" s="66"/>
    </row>
    <row r="1882" spans="4:4">
      <c r="D1882" s="66"/>
    </row>
    <row r="1883" spans="4:4">
      <c r="D1883" s="66"/>
    </row>
    <row r="1884" spans="4:4">
      <c r="D1884" s="66"/>
    </row>
    <row r="1885" spans="4:4">
      <c r="D1885" s="66"/>
    </row>
    <row r="1886" spans="4:4">
      <c r="D1886" s="66"/>
    </row>
    <row r="1887" spans="4:4">
      <c r="D1887" s="66"/>
    </row>
    <row r="1888" spans="4:4">
      <c r="D1888" s="66"/>
    </row>
    <row r="1889" spans="4:4">
      <c r="D1889" s="66"/>
    </row>
    <row r="1890" spans="4:4">
      <c r="D1890" s="66"/>
    </row>
    <row r="1891" spans="4:4">
      <c r="D1891" s="66"/>
    </row>
    <row r="1892" spans="4:4">
      <c r="D1892" s="66"/>
    </row>
    <row r="1893" spans="4:4">
      <c r="D1893" s="66"/>
    </row>
    <row r="1894" spans="4:4">
      <c r="D1894" s="66"/>
    </row>
    <row r="1895" spans="4:4">
      <c r="D1895" s="66"/>
    </row>
    <row r="1896" spans="4:4">
      <c r="D1896" s="66"/>
    </row>
    <row r="1897" spans="4:4">
      <c r="D1897" s="66"/>
    </row>
    <row r="1898" spans="4:4">
      <c r="D1898" s="66"/>
    </row>
    <row r="1899" spans="4:4">
      <c r="D1899" s="66"/>
    </row>
    <row r="1900" spans="4:4">
      <c r="D1900" s="66"/>
    </row>
    <row r="1901" spans="4:4">
      <c r="D1901" s="66"/>
    </row>
    <row r="1902" spans="4:4">
      <c r="D1902" s="66"/>
    </row>
    <row r="1903" spans="4:4">
      <c r="D1903" s="66"/>
    </row>
    <row r="1904" spans="4:4">
      <c r="D1904" s="66"/>
    </row>
    <row r="1905" spans="4:4">
      <c r="D1905" s="66"/>
    </row>
    <row r="1906" spans="4:4">
      <c r="D1906" s="66"/>
    </row>
    <row r="1907" spans="4:4">
      <c r="D1907" s="66"/>
    </row>
    <row r="1908" spans="4:4">
      <c r="D1908" s="66"/>
    </row>
    <row r="1909" spans="4:4">
      <c r="D1909" s="66"/>
    </row>
    <row r="1910" spans="4:4">
      <c r="D1910" s="66"/>
    </row>
    <row r="1911" spans="4:4">
      <c r="D1911" s="66"/>
    </row>
    <row r="1912" spans="4:4">
      <c r="D1912" s="66"/>
    </row>
    <row r="1913" spans="4:4">
      <c r="D1913" s="66"/>
    </row>
    <row r="1914" spans="4:4">
      <c r="D1914" s="66"/>
    </row>
    <row r="1915" spans="4:4">
      <c r="D1915" s="66"/>
    </row>
    <row r="1916" spans="4:4">
      <c r="D1916" s="66"/>
    </row>
    <row r="1917" spans="4:4">
      <c r="D1917" s="66"/>
    </row>
    <row r="1918" spans="4:4">
      <c r="D1918" s="66"/>
    </row>
    <row r="1919" spans="4:4">
      <c r="D1919" s="66"/>
    </row>
    <row r="1920" spans="4:4">
      <c r="D1920" s="66"/>
    </row>
    <row r="1921" spans="4:4">
      <c r="D1921" s="66"/>
    </row>
    <row r="1922" spans="4:4">
      <c r="D1922" s="66"/>
    </row>
    <row r="1923" spans="4:4">
      <c r="D1923" s="66"/>
    </row>
    <row r="1924" spans="4:4">
      <c r="D1924" s="66"/>
    </row>
    <row r="1925" spans="4:4">
      <c r="D1925" s="66"/>
    </row>
    <row r="1926" spans="4:4">
      <c r="D1926" s="66"/>
    </row>
    <row r="1927" spans="4:4">
      <c r="D1927" s="66"/>
    </row>
    <row r="1928" spans="4:4">
      <c r="D1928" s="66"/>
    </row>
    <row r="1929" spans="4:4">
      <c r="D1929" s="66"/>
    </row>
    <row r="1930" spans="4:4">
      <c r="D1930" s="66"/>
    </row>
    <row r="1931" spans="4:4">
      <c r="D1931" s="66"/>
    </row>
    <row r="1932" spans="4:4">
      <c r="D1932" s="66"/>
    </row>
    <row r="1933" spans="4:4">
      <c r="D1933" s="66"/>
    </row>
    <row r="1934" spans="4:4">
      <c r="D1934" s="66"/>
    </row>
    <row r="1935" spans="4:4">
      <c r="D1935" s="66"/>
    </row>
    <row r="1936" spans="4:4">
      <c r="D1936" s="66"/>
    </row>
    <row r="1937" spans="4:4">
      <c r="D1937" s="66"/>
    </row>
    <row r="1938" spans="4:4">
      <c r="D1938" s="66"/>
    </row>
    <row r="1939" spans="4:4">
      <c r="D1939" s="66"/>
    </row>
    <row r="1940" spans="4:4">
      <c r="D1940" s="66"/>
    </row>
    <row r="1941" spans="4:4">
      <c r="D1941" s="66"/>
    </row>
    <row r="1942" spans="4:4">
      <c r="D1942" s="66"/>
    </row>
    <row r="1943" spans="4:4">
      <c r="D1943" s="66"/>
    </row>
    <row r="1944" spans="4:4">
      <c r="D1944" s="66"/>
    </row>
    <row r="1945" spans="4:4">
      <c r="D1945" s="66"/>
    </row>
    <row r="1946" spans="4:4">
      <c r="D1946" s="66"/>
    </row>
    <row r="1947" spans="4:4">
      <c r="D1947" s="66"/>
    </row>
    <row r="1948" spans="4:4">
      <c r="D1948" s="66"/>
    </row>
    <row r="1949" spans="4:4">
      <c r="D1949" s="66"/>
    </row>
    <row r="1950" spans="4:4">
      <c r="D1950" s="66"/>
    </row>
    <row r="1951" spans="4:4">
      <c r="D1951" s="66"/>
    </row>
    <row r="1952" spans="4:4">
      <c r="D1952" s="66"/>
    </row>
    <row r="1953" spans="4:4">
      <c r="D1953" s="66"/>
    </row>
    <row r="1954" spans="4:4">
      <c r="D1954" s="66"/>
    </row>
    <row r="1955" spans="4:4">
      <c r="D1955" s="66"/>
    </row>
    <row r="1956" spans="4:4">
      <c r="D1956" s="66"/>
    </row>
    <row r="1957" spans="4:4">
      <c r="D1957" s="66"/>
    </row>
    <row r="1958" spans="4:4">
      <c r="D1958" s="66"/>
    </row>
    <row r="1959" spans="4:4">
      <c r="D1959" s="66"/>
    </row>
    <row r="1960" spans="4:4">
      <c r="D1960" s="66"/>
    </row>
    <row r="1961" spans="4:4">
      <c r="D1961" s="66"/>
    </row>
    <row r="1962" spans="4:4">
      <c r="D1962" s="66"/>
    </row>
    <row r="1963" spans="4:4">
      <c r="D1963" s="66"/>
    </row>
    <row r="1964" spans="4:4">
      <c r="D1964" s="66"/>
    </row>
    <row r="1965" spans="4:4">
      <c r="D1965" s="66"/>
    </row>
    <row r="1966" spans="4:4">
      <c r="D1966" s="66"/>
    </row>
    <row r="1967" spans="4:4">
      <c r="D1967" s="66"/>
    </row>
    <row r="1968" spans="4:4">
      <c r="D1968" s="66"/>
    </row>
    <row r="1969" spans="4:4">
      <c r="D1969" s="66"/>
    </row>
    <row r="1970" spans="4:4">
      <c r="D1970" s="66"/>
    </row>
    <row r="1971" spans="4:4">
      <c r="D1971" s="66"/>
    </row>
    <row r="1972" spans="4:4">
      <c r="D1972" s="66"/>
    </row>
    <row r="1973" spans="4:4">
      <c r="D1973" s="66"/>
    </row>
    <row r="1974" spans="4:4">
      <c r="D1974" s="66"/>
    </row>
    <row r="1975" spans="4:4">
      <c r="D1975" s="66"/>
    </row>
    <row r="1976" spans="4:4">
      <c r="D1976" s="66"/>
    </row>
    <row r="1977" spans="4:4">
      <c r="D1977" s="66"/>
    </row>
    <row r="1978" spans="4:4">
      <c r="D1978" s="66"/>
    </row>
    <row r="1979" spans="4:4">
      <c r="D1979" s="66"/>
    </row>
    <row r="1980" spans="4:4">
      <c r="D1980" s="66"/>
    </row>
    <row r="1981" spans="4:4">
      <c r="D1981" s="66"/>
    </row>
    <row r="1982" spans="4:4">
      <c r="D1982" s="66"/>
    </row>
    <row r="1983" spans="4:4">
      <c r="D1983" s="66"/>
    </row>
    <row r="1984" spans="4:4">
      <c r="D1984" s="66"/>
    </row>
    <row r="1985" spans="4:4">
      <c r="D1985" s="66"/>
    </row>
    <row r="1986" spans="4:4">
      <c r="D1986" s="66"/>
    </row>
    <row r="1987" spans="4:4">
      <c r="D1987" s="66"/>
    </row>
    <row r="1988" spans="4:4">
      <c r="D1988" s="66"/>
    </row>
    <row r="1989" spans="4:4">
      <c r="D1989" s="66"/>
    </row>
    <row r="1990" spans="4:4">
      <c r="D1990" s="66"/>
    </row>
    <row r="1991" spans="4:4">
      <c r="D1991" s="66"/>
    </row>
    <row r="1992" spans="4:4">
      <c r="D1992" s="66"/>
    </row>
    <row r="1993" spans="4:4">
      <c r="D1993" s="66"/>
    </row>
    <row r="1994" spans="4:4">
      <c r="D1994" s="66"/>
    </row>
    <row r="1995" spans="4:4">
      <c r="D1995" s="66"/>
    </row>
    <row r="1996" spans="4:4">
      <c r="D1996" s="66"/>
    </row>
    <row r="1997" spans="4:4">
      <c r="D1997" s="66"/>
    </row>
    <row r="1998" spans="4:4">
      <c r="D1998" s="66"/>
    </row>
    <row r="1999" spans="4:4">
      <c r="D1999" s="66"/>
    </row>
    <row r="2000" spans="4:4">
      <c r="D2000" s="66"/>
    </row>
    <row r="2001" spans="4:4">
      <c r="D2001" s="66"/>
    </row>
    <row r="2002" spans="4:4">
      <c r="D2002" s="66"/>
    </row>
    <row r="2003" spans="4:4">
      <c r="D2003" s="66"/>
    </row>
    <row r="2004" spans="4:4">
      <c r="D2004" s="66"/>
    </row>
    <row r="2005" spans="4:4">
      <c r="D2005" s="66"/>
    </row>
    <row r="2006" spans="4:4">
      <c r="D2006" s="66"/>
    </row>
    <row r="2007" spans="4:4">
      <c r="D2007" s="66"/>
    </row>
    <row r="2008" spans="4:4">
      <c r="D2008" s="66"/>
    </row>
    <row r="2009" spans="4:4">
      <c r="D2009" s="66"/>
    </row>
    <row r="2010" spans="4:4">
      <c r="D2010" s="66"/>
    </row>
    <row r="2011" spans="4:4">
      <c r="D2011" s="66"/>
    </row>
    <row r="2012" spans="4:4">
      <c r="D2012" s="66"/>
    </row>
    <row r="2013" spans="4:4">
      <c r="D2013" s="66"/>
    </row>
    <row r="2014" spans="4:4">
      <c r="D2014" s="66"/>
    </row>
    <row r="2015" spans="4:4">
      <c r="D2015" s="66"/>
    </row>
    <row r="2016" spans="4:4">
      <c r="D2016" s="66"/>
    </row>
    <row r="2017" spans="4:4">
      <c r="D2017" s="66"/>
    </row>
    <row r="2018" spans="4:4">
      <c r="D2018" s="66"/>
    </row>
    <row r="2019" spans="4:4">
      <c r="D2019" s="66"/>
    </row>
    <row r="2020" spans="4:4">
      <c r="D2020" s="66"/>
    </row>
    <row r="2021" spans="4:4">
      <c r="D2021" s="66"/>
    </row>
    <row r="2022" spans="4:4">
      <c r="D2022" s="66"/>
    </row>
    <row r="2023" spans="4:4">
      <c r="D2023" s="66"/>
    </row>
    <row r="2024" spans="4:4">
      <c r="D2024" s="66"/>
    </row>
    <row r="2025" spans="4:4">
      <c r="D2025" s="66"/>
    </row>
    <row r="2026" spans="4:4">
      <c r="D2026" s="66"/>
    </row>
    <row r="2027" spans="4:4">
      <c r="D2027" s="66"/>
    </row>
    <row r="2028" spans="4:4">
      <c r="D2028" s="66"/>
    </row>
    <row r="2029" spans="4:4">
      <c r="D2029" s="66"/>
    </row>
    <row r="2030" spans="4:4">
      <c r="D2030" s="66"/>
    </row>
    <row r="2031" spans="4:4">
      <c r="D2031" s="66"/>
    </row>
    <row r="2032" spans="4:4">
      <c r="D2032" s="66"/>
    </row>
    <row r="2033" spans="4:4">
      <c r="D2033" s="66"/>
    </row>
    <row r="2034" spans="4:4">
      <c r="D2034" s="66"/>
    </row>
    <row r="2035" spans="4:4">
      <c r="D2035" s="66"/>
    </row>
    <row r="2036" spans="4:4">
      <c r="D2036" s="66"/>
    </row>
    <row r="2037" spans="4:4">
      <c r="D2037" s="66"/>
    </row>
    <row r="2038" spans="4:4">
      <c r="D2038" s="66"/>
    </row>
    <row r="2039" spans="4:4">
      <c r="D2039" s="66"/>
    </row>
    <row r="2040" spans="4:4">
      <c r="D2040" s="66"/>
    </row>
    <row r="2041" spans="4:4">
      <c r="D2041" s="66"/>
    </row>
    <row r="2042" spans="4:4">
      <c r="D2042" s="66"/>
    </row>
    <row r="2043" spans="4:4">
      <c r="D2043" s="66"/>
    </row>
    <row r="2044" spans="4:4">
      <c r="D2044" s="66"/>
    </row>
    <row r="2045" spans="4:4">
      <c r="D2045" s="66"/>
    </row>
    <row r="2046" spans="4:4">
      <c r="D2046" s="66"/>
    </row>
    <row r="2047" spans="4:4">
      <c r="D2047" s="66"/>
    </row>
    <row r="2048" spans="4:4">
      <c r="D2048" s="66"/>
    </row>
    <row r="2049" spans="4:4">
      <c r="D2049" s="66"/>
    </row>
    <row r="2050" spans="4:4">
      <c r="D2050" s="66"/>
    </row>
    <row r="2051" spans="4:4">
      <c r="D2051" s="66"/>
    </row>
    <row r="2052" spans="4:4">
      <c r="D2052" s="66"/>
    </row>
    <row r="2053" spans="4:4">
      <c r="D2053" s="66"/>
    </row>
    <row r="2054" spans="4:4">
      <c r="D2054" s="66"/>
    </row>
    <row r="2055" spans="4:4">
      <c r="D2055" s="66"/>
    </row>
    <row r="2056" spans="4:4">
      <c r="D2056" s="66"/>
    </row>
    <row r="2057" spans="4:4">
      <c r="D2057" s="66"/>
    </row>
    <row r="2058" spans="4:4">
      <c r="D2058" s="66"/>
    </row>
    <row r="2059" spans="4:4">
      <c r="D2059" s="66"/>
    </row>
    <row r="2060" spans="4:4">
      <c r="D2060" s="66"/>
    </row>
    <row r="2061" spans="4:4">
      <c r="D2061" s="66"/>
    </row>
    <row r="2062" spans="4:4">
      <c r="D2062" s="66"/>
    </row>
    <row r="2063" spans="4:4">
      <c r="D2063" s="66"/>
    </row>
    <row r="2064" spans="4:4">
      <c r="D2064" s="66"/>
    </row>
    <row r="2065" spans="4:4">
      <c r="D2065" s="66"/>
    </row>
    <row r="2066" spans="4:4">
      <c r="D2066" s="66"/>
    </row>
    <row r="2067" spans="4:4">
      <c r="D2067" s="66"/>
    </row>
    <row r="2068" spans="4:4">
      <c r="D2068" s="66"/>
    </row>
    <row r="2069" spans="4:4">
      <c r="D2069" s="66"/>
    </row>
    <row r="2070" spans="4:4">
      <c r="D2070" s="66"/>
    </row>
    <row r="2071" spans="4:4">
      <c r="D2071" s="66"/>
    </row>
    <row r="2072" spans="4:4">
      <c r="D2072" s="66"/>
    </row>
    <row r="2073" spans="4:4">
      <c r="D2073" s="66"/>
    </row>
    <row r="2074" spans="4:4">
      <c r="D2074" s="66"/>
    </row>
    <row r="2075" spans="4:4">
      <c r="D2075" s="66"/>
    </row>
    <row r="2076" spans="4:4">
      <c r="D2076" s="66"/>
    </row>
    <row r="2077" spans="4:4">
      <c r="D2077" s="66"/>
    </row>
    <row r="2078" spans="4:4">
      <c r="D2078" s="66"/>
    </row>
    <row r="2079" spans="4:4">
      <c r="D2079" s="66"/>
    </row>
    <row r="2080" spans="4:4">
      <c r="D2080" s="66"/>
    </row>
    <row r="2081" spans="4:4">
      <c r="D2081" s="66"/>
    </row>
    <row r="2082" spans="4:4">
      <c r="D2082" s="66"/>
    </row>
    <row r="2083" spans="4:4">
      <c r="D2083" s="66"/>
    </row>
    <row r="2084" spans="4:4">
      <c r="D2084" s="66"/>
    </row>
    <row r="2085" spans="4:4">
      <c r="D2085" s="66"/>
    </row>
    <row r="2086" spans="4:4">
      <c r="D2086" s="66"/>
    </row>
    <row r="2087" spans="4:4">
      <c r="D2087" s="66"/>
    </row>
    <row r="2088" spans="4:4">
      <c r="D2088" s="66"/>
    </row>
    <row r="2089" spans="4:4">
      <c r="D2089" s="66"/>
    </row>
    <row r="2090" spans="4:4">
      <c r="D2090" s="66"/>
    </row>
    <row r="2091" spans="4:4">
      <c r="D2091" s="66"/>
    </row>
    <row r="2092" spans="4:4">
      <c r="D2092" s="66"/>
    </row>
    <row r="2093" spans="4:4">
      <c r="D2093" s="66"/>
    </row>
    <row r="2094" spans="4:4">
      <c r="D2094" s="66"/>
    </row>
    <row r="2095" spans="4:4">
      <c r="D2095" s="66"/>
    </row>
    <row r="2096" spans="4:4">
      <c r="D2096" s="66"/>
    </row>
    <row r="2097" spans="4:4">
      <c r="D2097" s="66"/>
    </row>
    <row r="2098" spans="4:4">
      <c r="D2098" s="66"/>
    </row>
    <row r="2099" spans="4:4">
      <c r="D2099" s="66"/>
    </row>
    <row r="2100" spans="4:4">
      <c r="D2100" s="66"/>
    </row>
    <row r="2101" spans="4:4">
      <c r="D2101" s="66"/>
    </row>
    <row r="2102" spans="4:4">
      <c r="D2102" s="66"/>
    </row>
    <row r="2103" spans="4:4">
      <c r="D2103" s="66"/>
    </row>
    <row r="2104" spans="4:4">
      <c r="D2104" s="66"/>
    </row>
    <row r="2105" spans="4:4">
      <c r="D2105" s="66"/>
    </row>
    <row r="2106" spans="4:4">
      <c r="D2106" s="66"/>
    </row>
    <row r="2107" spans="4:4">
      <c r="D2107" s="66"/>
    </row>
    <row r="2108" spans="4:4">
      <c r="D2108" s="66"/>
    </row>
    <row r="2109" spans="4:4">
      <c r="D2109" s="66"/>
    </row>
    <row r="2110" spans="4:4">
      <c r="D2110" s="66"/>
    </row>
    <row r="2111" spans="4:4">
      <c r="D2111" s="66"/>
    </row>
    <row r="2112" spans="4:4">
      <c r="D2112" s="66"/>
    </row>
    <row r="2113" spans="4:4">
      <c r="D2113" s="66"/>
    </row>
    <row r="2114" spans="4:4">
      <c r="D2114" s="66"/>
    </row>
    <row r="2115" spans="4:4">
      <c r="D2115" s="66"/>
    </row>
    <row r="2116" spans="4:4">
      <c r="D2116" s="66"/>
    </row>
    <row r="2117" spans="4:4">
      <c r="D2117" s="66"/>
    </row>
    <row r="2118" spans="4:4">
      <c r="D2118" s="66"/>
    </row>
    <row r="2119" spans="4:4">
      <c r="D2119" s="66"/>
    </row>
    <row r="2120" spans="4:4">
      <c r="D2120" s="66"/>
    </row>
    <row r="2121" spans="4:4">
      <c r="D2121" s="66"/>
    </row>
    <row r="2122" spans="4:4">
      <c r="D2122" s="66"/>
    </row>
    <row r="2123" spans="4:4">
      <c r="D2123" s="66"/>
    </row>
    <row r="2124" spans="4:4">
      <c r="D2124" s="66"/>
    </row>
    <row r="2125" spans="4:4">
      <c r="D2125" s="66"/>
    </row>
    <row r="2126" spans="4:4">
      <c r="D2126" s="66"/>
    </row>
    <row r="2127" spans="4:4">
      <c r="D2127" s="66"/>
    </row>
    <row r="2128" spans="4:4">
      <c r="D2128" s="66"/>
    </row>
    <row r="2129" spans="4:4">
      <c r="D2129" s="66"/>
    </row>
    <row r="2130" spans="4:4">
      <c r="D2130" s="66"/>
    </row>
    <row r="2131" spans="4:4">
      <c r="D2131" s="66"/>
    </row>
    <row r="2132" spans="4:4">
      <c r="D2132" s="66"/>
    </row>
    <row r="2133" spans="4:4">
      <c r="D2133" s="66"/>
    </row>
    <row r="2134" spans="4:4">
      <c r="D2134" s="66"/>
    </row>
    <row r="2135" spans="4:4">
      <c r="D2135" s="66"/>
    </row>
    <row r="2136" spans="4:4">
      <c r="D2136" s="66"/>
    </row>
    <row r="2137" spans="4:4">
      <c r="D2137" s="66"/>
    </row>
    <row r="2138" spans="4:4">
      <c r="D2138" s="66"/>
    </row>
    <row r="2139" spans="4:4">
      <c r="D2139" s="66"/>
    </row>
    <row r="2140" spans="4:4">
      <c r="D2140" s="66"/>
    </row>
    <row r="2141" spans="4:4">
      <c r="D2141" s="66"/>
    </row>
    <row r="2142" spans="4:4">
      <c r="D2142" s="66"/>
    </row>
    <row r="2143" spans="4:4">
      <c r="D2143" s="66"/>
    </row>
    <row r="2144" spans="4:4">
      <c r="D2144" s="66"/>
    </row>
    <row r="2145" spans="4:4">
      <c r="D2145" s="66"/>
    </row>
    <row r="2146" spans="4:4">
      <c r="D2146" s="66"/>
    </row>
    <row r="2147" spans="4:4">
      <c r="D2147" s="66"/>
    </row>
    <row r="2148" spans="4:4">
      <c r="D2148" s="66"/>
    </row>
    <row r="2149" spans="4:4">
      <c r="D2149" s="66"/>
    </row>
    <row r="2150" spans="4:4">
      <c r="D2150" s="66"/>
    </row>
    <row r="2151" spans="4:4">
      <c r="D2151" s="66"/>
    </row>
    <row r="2152" spans="4:4">
      <c r="D2152" s="66"/>
    </row>
    <row r="2153" spans="4:4">
      <c r="D2153" s="66"/>
    </row>
    <row r="2154" spans="4:4">
      <c r="D2154" s="66"/>
    </row>
    <row r="2155" spans="4:4">
      <c r="D2155" s="66"/>
    </row>
    <row r="2156" spans="4:4">
      <c r="D2156" s="66"/>
    </row>
    <row r="2157" spans="4:4">
      <c r="D2157" s="66"/>
    </row>
    <row r="2158" spans="4:4">
      <c r="D2158" s="66"/>
    </row>
    <row r="2159" spans="4:4">
      <c r="D2159" s="66"/>
    </row>
    <row r="2160" spans="4:4">
      <c r="D2160" s="66"/>
    </row>
    <row r="2161" spans="4:4">
      <c r="D2161" s="66"/>
    </row>
    <row r="2162" spans="4:4">
      <c r="D2162" s="66"/>
    </row>
    <row r="2163" spans="4:4">
      <c r="D2163" s="66"/>
    </row>
    <row r="2164" spans="4:4">
      <c r="D2164" s="66"/>
    </row>
    <row r="2165" spans="4:4">
      <c r="D2165" s="66"/>
    </row>
    <row r="2166" spans="4:4">
      <c r="D2166" s="66"/>
    </row>
    <row r="2167" spans="4:4">
      <c r="D2167" s="66"/>
    </row>
    <row r="2168" spans="4:4">
      <c r="D2168" s="66"/>
    </row>
    <row r="2169" spans="4:4">
      <c r="D2169" s="66"/>
    </row>
    <row r="2170" spans="4:4">
      <c r="D2170" s="66"/>
    </row>
    <row r="2171" spans="4:4">
      <c r="D2171" s="66"/>
    </row>
    <row r="2172" spans="4:4">
      <c r="D2172" s="66"/>
    </row>
    <row r="2173" spans="4:4">
      <c r="D2173" s="66"/>
    </row>
    <row r="2174" spans="4:4">
      <c r="D2174" s="66"/>
    </row>
    <row r="2175" spans="4:4">
      <c r="D2175" s="66"/>
    </row>
    <row r="2176" spans="4:4">
      <c r="D2176" s="66"/>
    </row>
    <row r="2177" spans="4:4">
      <c r="D2177" s="66"/>
    </row>
    <row r="2178" spans="4:4">
      <c r="D2178" s="66"/>
    </row>
    <row r="2179" spans="4:4">
      <c r="D2179" s="66"/>
    </row>
    <row r="2180" spans="4:4">
      <c r="D2180" s="66"/>
    </row>
    <row r="2181" spans="4:4">
      <c r="D2181" s="66"/>
    </row>
    <row r="2182" spans="4:4">
      <c r="D2182" s="66"/>
    </row>
    <row r="2183" spans="4:4">
      <c r="D2183" s="66"/>
    </row>
    <row r="2184" spans="4:4">
      <c r="D2184" s="66"/>
    </row>
    <row r="2185" spans="4:4">
      <c r="D2185" s="66"/>
    </row>
    <row r="2186" spans="4:4">
      <c r="D2186" s="66"/>
    </row>
    <row r="2187" spans="4:4">
      <c r="D2187" s="66"/>
    </row>
    <row r="2188" spans="4:4">
      <c r="D2188" s="66"/>
    </row>
    <row r="2189" spans="4:4">
      <c r="D2189" s="66"/>
    </row>
    <row r="2190" spans="4:4">
      <c r="D2190" s="66"/>
    </row>
    <row r="2191" spans="4:4">
      <c r="D2191" s="66"/>
    </row>
    <row r="2192" spans="4:4">
      <c r="D2192" s="66"/>
    </row>
    <row r="2193" spans="4:4">
      <c r="D2193" s="66"/>
    </row>
    <row r="2194" spans="4:4">
      <c r="D2194" s="66"/>
    </row>
    <row r="2195" spans="4:4">
      <c r="D2195" s="66"/>
    </row>
    <row r="2196" spans="4:4">
      <c r="D2196" s="66"/>
    </row>
    <row r="2197" spans="4:4">
      <c r="D2197" s="66"/>
    </row>
    <row r="2198" spans="4:4">
      <c r="D2198" s="66"/>
    </row>
    <row r="2199" spans="4:4">
      <c r="D2199" s="66"/>
    </row>
    <row r="2200" spans="4:4">
      <c r="D2200" s="66"/>
    </row>
    <row r="2201" spans="4:4">
      <c r="D2201" s="66"/>
    </row>
    <row r="2202" spans="4:4">
      <c r="D2202" s="66"/>
    </row>
    <row r="2203" spans="4:4">
      <c r="D2203" s="66"/>
    </row>
    <row r="2204" spans="4:4">
      <c r="D2204" s="66"/>
    </row>
    <row r="2205" spans="4:4">
      <c r="D2205" s="66"/>
    </row>
    <row r="2206" spans="4:4">
      <c r="D2206" s="66"/>
    </row>
    <row r="2207" spans="4:4">
      <c r="D2207" s="66"/>
    </row>
    <row r="2208" spans="4:4">
      <c r="D2208" s="66"/>
    </row>
    <row r="2209" spans="4:4">
      <c r="D2209" s="66"/>
    </row>
    <row r="2210" spans="4:4">
      <c r="D2210" s="66"/>
    </row>
    <row r="2211" spans="4:4">
      <c r="D2211" s="66"/>
    </row>
    <row r="2212" spans="4:4">
      <c r="D2212" s="66"/>
    </row>
    <row r="2213" spans="4:4">
      <c r="D2213" s="66"/>
    </row>
    <row r="2214" spans="4:4">
      <c r="D2214" s="66"/>
    </row>
    <row r="2215" spans="4:4">
      <c r="D2215" s="66"/>
    </row>
    <row r="2216" spans="4:4">
      <c r="D2216" s="66"/>
    </row>
    <row r="2217" spans="4:4">
      <c r="D2217" s="66"/>
    </row>
    <row r="2218" spans="4:4">
      <c r="D2218" s="66"/>
    </row>
    <row r="2219" spans="4:4">
      <c r="D2219" s="66"/>
    </row>
    <row r="2220" spans="4:4">
      <c r="D2220" s="66"/>
    </row>
    <row r="2221" spans="4:4">
      <c r="D2221" s="66"/>
    </row>
    <row r="2222" spans="4:4">
      <c r="D2222" s="66"/>
    </row>
    <row r="2223" spans="4:4">
      <c r="D2223" s="66"/>
    </row>
    <row r="2224" spans="4:4">
      <c r="D2224" s="66"/>
    </row>
    <row r="2225" spans="4:4">
      <c r="D2225" s="66"/>
    </row>
    <row r="2226" spans="4:4">
      <c r="D2226" s="66"/>
    </row>
    <row r="2227" spans="4:4">
      <c r="D2227" s="66"/>
    </row>
    <row r="2228" spans="4:4">
      <c r="D2228" s="66"/>
    </row>
    <row r="2229" spans="4:4">
      <c r="D2229" s="66"/>
    </row>
    <row r="2230" spans="4:4">
      <c r="D2230" s="66"/>
    </row>
    <row r="2231" spans="4:4">
      <c r="D2231" s="66"/>
    </row>
    <row r="2232" spans="4:4">
      <c r="D2232" s="66"/>
    </row>
    <row r="2233" spans="4:4">
      <c r="D2233" s="66"/>
    </row>
    <row r="2234" spans="4:4">
      <c r="D2234" s="66"/>
    </row>
    <row r="2235" spans="4:4">
      <c r="D2235" s="66"/>
    </row>
    <row r="2236" spans="4:4">
      <c r="D2236" s="66"/>
    </row>
    <row r="2237" spans="4:4">
      <c r="D2237" s="66"/>
    </row>
    <row r="2238" spans="4:4">
      <c r="D2238" s="66"/>
    </row>
    <row r="2239" spans="4:4">
      <c r="D2239" s="66"/>
    </row>
    <row r="2240" spans="4:4">
      <c r="D2240" s="66"/>
    </row>
    <row r="2241" spans="4:4">
      <c r="D2241" s="66"/>
    </row>
    <row r="2242" spans="4:4">
      <c r="D2242" s="66"/>
    </row>
    <row r="2243" spans="4:4">
      <c r="D2243" s="66"/>
    </row>
    <row r="2244" spans="4:4">
      <c r="D2244" s="66"/>
    </row>
    <row r="2245" spans="4:4">
      <c r="D2245" s="66"/>
    </row>
    <row r="2246" spans="4:4">
      <c r="D2246" s="66"/>
    </row>
    <row r="2247" spans="4:4">
      <c r="D2247" s="66"/>
    </row>
    <row r="2248" spans="4:4">
      <c r="D2248" s="66"/>
    </row>
    <row r="2249" spans="4:4">
      <c r="D2249" s="66"/>
    </row>
    <row r="2250" spans="4:4">
      <c r="D2250" s="66"/>
    </row>
    <row r="2251" spans="4:4">
      <c r="D2251" s="66"/>
    </row>
    <row r="2252" spans="4:4">
      <c r="D2252" s="66"/>
    </row>
    <row r="2253" spans="4:4">
      <c r="D2253" s="66"/>
    </row>
    <row r="2254" spans="4:4">
      <c r="D2254" s="66"/>
    </row>
    <row r="2255" spans="4:4">
      <c r="D2255" s="66"/>
    </row>
    <row r="2256" spans="4:4">
      <c r="D2256" s="66"/>
    </row>
    <row r="2257" spans="4:4">
      <c r="D2257" s="66"/>
    </row>
    <row r="2258" spans="4:4">
      <c r="D2258" s="66"/>
    </row>
    <row r="2259" spans="4:4">
      <c r="D2259" s="66"/>
    </row>
    <row r="2260" spans="4:4">
      <c r="D2260" s="66"/>
    </row>
    <row r="2261" spans="4:4">
      <c r="D2261" s="66"/>
    </row>
    <row r="2262" spans="4:4">
      <c r="D2262" s="66"/>
    </row>
    <row r="2263" spans="4:4">
      <c r="D2263" s="66"/>
    </row>
    <row r="2264" spans="4:4">
      <c r="D2264" s="66"/>
    </row>
    <row r="2265" spans="4:4">
      <c r="D2265" s="66"/>
    </row>
    <row r="2266" spans="4:4">
      <c r="D2266" s="66"/>
    </row>
    <row r="2267" spans="4:4">
      <c r="D2267" s="66"/>
    </row>
    <row r="2268" spans="4:4">
      <c r="D2268" s="66"/>
    </row>
    <row r="2269" spans="4:4">
      <c r="D2269" s="66"/>
    </row>
    <row r="2270" spans="4:4">
      <c r="D2270" s="66"/>
    </row>
    <row r="2271" spans="4:4">
      <c r="D2271" s="66"/>
    </row>
    <row r="2272" spans="4:4">
      <c r="D2272" s="66"/>
    </row>
    <row r="2273" spans="4:4">
      <c r="D2273" s="66"/>
    </row>
    <row r="2274" spans="4:4">
      <c r="D2274" s="66"/>
    </row>
    <row r="2275" spans="4:4">
      <c r="D2275" s="66"/>
    </row>
    <row r="2276" spans="4:4">
      <c r="D2276" s="66"/>
    </row>
    <row r="2277" spans="4:4">
      <c r="D2277" s="66"/>
    </row>
    <row r="2278" spans="4:4">
      <c r="D2278" s="66"/>
    </row>
    <row r="2279" spans="4:4">
      <c r="D2279" s="66"/>
    </row>
    <row r="2280" spans="4:4">
      <c r="D2280" s="66"/>
    </row>
    <row r="2281" spans="4:4">
      <c r="D2281" s="66"/>
    </row>
    <row r="2282" spans="4:4">
      <c r="D2282" s="66"/>
    </row>
    <row r="2283" spans="4:4">
      <c r="D2283" s="66"/>
    </row>
    <row r="2284" spans="4:4">
      <c r="D2284" s="66"/>
    </row>
    <row r="2285" spans="4:4">
      <c r="D2285" s="66"/>
    </row>
    <row r="2286" spans="4:4">
      <c r="D2286" s="66"/>
    </row>
    <row r="2287" spans="4:4">
      <c r="D2287" s="66"/>
    </row>
    <row r="2288" spans="4:4">
      <c r="D2288" s="66"/>
    </row>
    <row r="2289" spans="4:4">
      <c r="D2289" s="66"/>
    </row>
    <row r="2290" spans="4:4">
      <c r="D2290" s="66"/>
    </row>
    <row r="2291" spans="4:4">
      <c r="D2291" s="66"/>
    </row>
    <row r="2292" spans="4:4">
      <c r="D2292" s="66"/>
    </row>
    <row r="2293" spans="4:4">
      <c r="D2293" s="66"/>
    </row>
    <row r="2294" spans="4:4">
      <c r="D2294" s="66"/>
    </row>
    <row r="2295" spans="4:4">
      <c r="D2295" s="66"/>
    </row>
    <row r="2296" spans="4:4">
      <c r="D2296" s="66"/>
    </row>
    <row r="2297" spans="4:4">
      <c r="D2297" s="66"/>
    </row>
    <row r="2298" spans="4:4">
      <c r="D2298" s="66"/>
    </row>
    <row r="2299" spans="4:4">
      <c r="D2299" s="66"/>
    </row>
    <row r="2300" spans="4:4">
      <c r="D2300" s="66"/>
    </row>
    <row r="2301" spans="4:4">
      <c r="D2301" s="66"/>
    </row>
    <row r="2302" spans="4:4">
      <c r="D2302" s="66"/>
    </row>
    <row r="2303" spans="4:4">
      <c r="D2303" s="66"/>
    </row>
    <row r="2304" spans="4:4">
      <c r="D2304" s="66"/>
    </row>
    <row r="2305" spans="4:4">
      <c r="D2305" s="66"/>
    </row>
    <row r="2306" spans="4:4">
      <c r="D2306" s="66"/>
    </row>
    <row r="2307" spans="4:4">
      <c r="D2307" s="66"/>
    </row>
    <row r="2308" spans="4:4">
      <c r="D2308" s="66"/>
    </row>
    <row r="2309" spans="4:4">
      <c r="D2309" s="66"/>
    </row>
    <row r="2310" spans="4:4">
      <c r="D2310" s="66"/>
    </row>
    <row r="2311" spans="4:4">
      <c r="D2311" s="66"/>
    </row>
    <row r="2312" spans="4:4">
      <c r="D2312" s="66"/>
    </row>
    <row r="2313" spans="4:4">
      <c r="D2313" s="66"/>
    </row>
    <row r="2314" spans="4:4">
      <c r="D2314" s="66"/>
    </row>
    <row r="2315" spans="4:4">
      <c r="D2315" s="66"/>
    </row>
    <row r="2316" spans="4:4">
      <c r="D2316" s="66"/>
    </row>
    <row r="2317" spans="4:4">
      <c r="D2317" s="66"/>
    </row>
    <row r="2318" spans="4:4">
      <c r="D2318" s="66"/>
    </row>
    <row r="2319" spans="4:4">
      <c r="D2319" s="66"/>
    </row>
    <row r="2320" spans="4:4">
      <c r="D2320" s="66"/>
    </row>
    <row r="2321" spans="4:4">
      <c r="D2321" s="66"/>
    </row>
    <row r="2322" spans="4:4">
      <c r="D2322" s="66"/>
    </row>
    <row r="2323" spans="4:4">
      <c r="D2323" s="66"/>
    </row>
    <row r="2324" spans="4:4">
      <c r="D2324" s="66"/>
    </row>
    <row r="2325" spans="4:4">
      <c r="D2325" s="66"/>
    </row>
    <row r="2326" spans="4:4">
      <c r="D2326" s="66"/>
    </row>
    <row r="2327" spans="4:4">
      <c r="D2327" s="66"/>
    </row>
    <row r="2328" spans="4:4">
      <c r="D2328" s="66"/>
    </row>
    <row r="2329" spans="4:4">
      <c r="D2329" s="66"/>
    </row>
    <row r="2330" spans="4:4">
      <c r="D2330" s="66"/>
    </row>
    <row r="2331" spans="4:4">
      <c r="D2331" s="66"/>
    </row>
    <row r="2332" spans="4:4">
      <c r="D2332" s="66"/>
    </row>
    <row r="2333" spans="4:4">
      <c r="D2333" s="66"/>
    </row>
    <row r="2334" spans="4:4">
      <c r="D2334" s="66"/>
    </row>
    <row r="2335" spans="4:4">
      <c r="D2335" s="66"/>
    </row>
    <row r="2336" spans="4:4">
      <c r="D2336" s="66"/>
    </row>
    <row r="2337" spans="4:4">
      <c r="D2337" s="66"/>
    </row>
    <row r="2338" spans="4:4">
      <c r="D2338" s="66"/>
    </row>
    <row r="2339" spans="4:4">
      <c r="D2339" s="66"/>
    </row>
    <row r="2340" spans="4:4">
      <c r="D2340" s="66"/>
    </row>
    <row r="2341" spans="4:4">
      <c r="D2341" s="66"/>
    </row>
    <row r="2342" spans="4:4">
      <c r="D2342" s="66"/>
    </row>
    <row r="2343" spans="4:4">
      <c r="D2343" s="66"/>
    </row>
    <row r="2344" spans="4:4">
      <c r="D2344" s="66"/>
    </row>
    <row r="2345" spans="4:4">
      <c r="D2345" s="66"/>
    </row>
    <row r="2346" spans="4:4">
      <c r="D2346" s="66"/>
    </row>
    <row r="2347" spans="4:4">
      <c r="D2347" s="66"/>
    </row>
    <row r="2348" spans="4:4">
      <c r="D2348" s="66"/>
    </row>
    <row r="2349" spans="4:4">
      <c r="D2349" s="66"/>
    </row>
    <row r="2350" spans="4:4">
      <c r="D2350" s="66"/>
    </row>
    <row r="2351" spans="4:4">
      <c r="D2351" s="66"/>
    </row>
    <row r="2352" spans="4:4">
      <c r="D2352" s="66"/>
    </row>
    <row r="2353" spans="4:4">
      <c r="D2353" s="66"/>
    </row>
    <row r="2354" spans="4:4">
      <c r="D2354" s="66"/>
    </row>
    <row r="2355" spans="4:4">
      <c r="D2355" s="66"/>
    </row>
    <row r="2356" spans="4:4">
      <c r="D2356" s="66"/>
    </row>
    <row r="2357" spans="4:4">
      <c r="D2357" s="66"/>
    </row>
    <row r="2358" spans="4:4">
      <c r="D2358" s="66"/>
    </row>
    <row r="2359" spans="4:4">
      <c r="D2359" s="66"/>
    </row>
    <row r="2360" spans="4:4">
      <c r="D2360" s="66"/>
    </row>
    <row r="2361" spans="4:4">
      <c r="D2361" s="66"/>
    </row>
    <row r="2362" spans="4:4">
      <c r="D2362" s="66"/>
    </row>
    <row r="2363" spans="4:4">
      <c r="D2363" s="66"/>
    </row>
    <row r="2364" spans="4:4">
      <c r="D2364" s="66"/>
    </row>
    <row r="2365" spans="4:4">
      <c r="D2365" s="66"/>
    </row>
    <row r="2366" spans="4:4">
      <c r="D2366" s="66"/>
    </row>
    <row r="2367" spans="4:4">
      <c r="D2367" s="66"/>
    </row>
    <row r="2368" spans="4:4">
      <c r="D2368" s="66"/>
    </row>
    <row r="2369" spans="4:4">
      <c r="D2369" s="66"/>
    </row>
    <row r="2370" spans="4:4">
      <c r="D2370" s="66"/>
    </row>
    <row r="2371" spans="4:4">
      <c r="D2371" s="66"/>
    </row>
    <row r="2372" spans="4:4">
      <c r="D2372" s="66"/>
    </row>
    <row r="2373" spans="4:4">
      <c r="D2373" s="66"/>
    </row>
    <row r="2374" spans="4:4">
      <c r="D2374" s="66"/>
    </row>
    <row r="2375" spans="4:4">
      <c r="D2375" s="66"/>
    </row>
    <row r="2376" spans="4:4">
      <c r="D2376" s="66"/>
    </row>
    <row r="2377" spans="4:4">
      <c r="D2377" s="66"/>
    </row>
    <row r="2378" spans="4:4">
      <c r="D2378" s="66"/>
    </row>
    <row r="2379" spans="4:4">
      <c r="D2379" s="66"/>
    </row>
    <row r="2380" spans="4:4">
      <c r="D2380" s="66"/>
    </row>
    <row r="2381" spans="4:4">
      <c r="D2381" s="66"/>
    </row>
    <row r="2382" spans="4:4">
      <c r="D2382" s="66"/>
    </row>
    <row r="2383" spans="4:4">
      <c r="D2383" s="66"/>
    </row>
    <row r="2384" spans="4:4">
      <c r="D2384" s="66"/>
    </row>
    <row r="2385" spans="4:4">
      <c r="D2385" s="66"/>
    </row>
    <row r="2386" spans="4:4">
      <c r="D2386" s="66"/>
    </row>
    <row r="2387" spans="4:4">
      <c r="D2387" s="66"/>
    </row>
    <row r="2388" spans="4:4">
      <c r="D2388" s="66"/>
    </row>
    <row r="2389" spans="4:4">
      <c r="D2389" s="66"/>
    </row>
    <row r="2390" spans="4:4">
      <c r="D2390" s="66"/>
    </row>
    <row r="2391" spans="4:4">
      <c r="D2391" s="66"/>
    </row>
    <row r="2392" spans="4:4">
      <c r="D2392" s="66"/>
    </row>
    <row r="2393" spans="4:4">
      <c r="D2393" s="66"/>
    </row>
    <row r="2394" spans="4:4">
      <c r="D2394" s="66"/>
    </row>
    <row r="2395" spans="4:4">
      <c r="D2395" s="66"/>
    </row>
    <row r="2396" spans="4:4">
      <c r="D2396" s="66"/>
    </row>
    <row r="2397" spans="4:4">
      <c r="D2397" s="66"/>
    </row>
    <row r="2398" spans="4:4">
      <c r="D2398" s="66"/>
    </row>
    <row r="2399" spans="4:4">
      <c r="D2399" s="66"/>
    </row>
    <row r="2400" spans="4:4">
      <c r="D2400" s="66"/>
    </row>
    <row r="2401" spans="4:4">
      <c r="D2401" s="66"/>
    </row>
    <row r="2402" spans="4:4">
      <c r="D2402" s="66"/>
    </row>
    <row r="2403" spans="4:4">
      <c r="D2403" s="66"/>
    </row>
    <row r="2404" spans="4:4">
      <c r="D2404" s="66"/>
    </row>
    <row r="2405" spans="4:4">
      <c r="D2405" s="66"/>
    </row>
    <row r="2406" spans="4:4">
      <c r="D2406" s="66"/>
    </row>
    <row r="2407" spans="4:4">
      <c r="D2407" s="66"/>
    </row>
    <row r="2408" spans="4:4">
      <c r="D2408" s="66"/>
    </row>
    <row r="2409" spans="4:4">
      <c r="D2409" s="66"/>
    </row>
    <row r="2410" spans="4:4">
      <c r="D2410" s="66"/>
    </row>
    <row r="2411" spans="4:4">
      <c r="D2411" s="66"/>
    </row>
    <row r="2412" spans="4:4">
      <c r="D2412" s="66"/>
    </row>
    <row r="2413" spans="4:4">
      <c r="D2413" s="66"/>
    </row>
    <row r="2414" spans="4:4">
      <c r="D2414" s="66"/>
    </row>
    <row r="2415" spans="4:4">
      <c r="D2415" s="66"/>
    </row>
    <row r="2416" spans="4:4">
      <c r="D2416" s="66"/>
    </row>
    <row r="2417" spans="4:4">
      <c r="D2417" s="66"/>
    </row>
    <row r="2418" spans="4:4">
      <c r="D2418" s="66"/>
    </row>
    <row r="2419" spans="4:4">
      <c r="D2419" s="66"/>
    </row>
    <row r="2420" spans="4:4">
      <c r="D2420" s="66"/>
    </row>
    <row r="2421" spans="4:4">
      <c r="D2421" s="66"/>
    </row>
    <row r="2422" spans="4:4">
      <c r="D2422" s="66"/>
    </row>
    <row r="2423" spans="4:4">
      <c r="D2423" s="66"/>
    </row>
    <row r="2424" spans="4:4">
      <c r="D2424" s="66"/>
    </row>
    <row r="2425" spans="4:4">
      <c r="D2425" s="66"/>
    </row>
    <row r="2426" spans="4:4">
      <c r="D2426" s="66"/>
    </row>
    <row r="2427" spans="4:4">
      <c r="D2427" s="66"/>
    </row>
    <row r="2428" spans="4:4">
      <c r="D2428" s="66"/>
    </row>
    <row r="2429" spans="4:4">
      <c r="D2429" s="66"/>
    </row>
    <row r="2430" spans="4:4">
      <c r="D2430" s="66"/>
    </row>
    <row r="2431" spans="4:4">
      <c r="D2431" s="66"/>
    </row>
    <row r="2432" spans="4:4">
      <c r="D2432" s="66"/>
    </row>
    <row r="2433" spans="4:4">
      <c r="D2433" s="66"/>
    </row>
    <row r="2434" spans="4:4">
      <c r="D2434" s="66"/>
    </row>
    <row r="2435" spans="4:4">
      <c r="D2435" s="66"/>
    </row>
    <row r="2436" spans="4:4">
      <c r="D2436" s="66"/>
    </row>
    <row r="2437" spans="4:4">
      <c r="D2437" s="66"/>
    </row>
    <row r="2438" spans="4:4">
      <c r="D2438" s="66"/>
    </row>
    <row r="2439" spans="4:4">
      <c r="D2439" s="66"/>
    </row>
    <row r="2440" spans="4:4">
      <c r="D2440" s="66"/>
    </row>
    <row r="2441" spans="4:4">
      <c r="D2441" s="66"/>
    </row>
    <row r="2442" spans="4:4">
      <c r="D2442" s="66"/>
    </row>
    <row r="2443" spans="4:4">
      <c r="D2443" s="66"/>
    </row>
    <row r="2444" spans="4:4">
      <c r="D2444" s="66"/>
    </row>
    <row r="2445" spans="4:4">
      <c r="D2445" s="66"/>
    </row>
    <row r="2446" spans="4:4">
      <c r="D2446" s="66"/>
    </row>
    <row r="2447" spans="4:4">
      <c r="D2447" s="66"/>
    </row>
    <row r="2448" spans="4:4">
      <c r="D2448" s="66"/>
    </row>
    <row r="2449" spans="4:4">
      <c r="D2449" s="66"/>
    </row>
    <row r="2450" spans="4:4">
      <c r="D2450" s="66"/>
    </row>
    <row r="2451" spans="4:4">
      <c r="D2451" s="66"/>
    </row>
    <row r="2452" spans="4:4">
      <c r="D2452" s="66"/>
    </row>
    <row r="2453" spans="4:4">
      <c r="D2453" s="66"/>
    </row>
    <row r="2454" spans="4:4">
      <c r="D2454" s="66"/>
    </row>
    <row r="2455" spans="4:4">
      <c r="D2455" s="66"/>
    </row>
    <row r="2456" spans="4:4">
      <c r="D2456" s="66"/>
    </row>
    <row r="2457" spans="4:4">
      <c r="D2457" s="66"/>
    </row>
    <row r="2458" spans="4:4">
      <c r="D2458" s="66"/>
    </row>
    <row r="2459" spans="4:4">
      <c r="D2459" s="66"/>
    </row>
    <row r="2460" spans="4:4">
      <c r="D2460" s="66"/>
    </row>
    <row r="2461" spans="4:4">
      <c r="D2461" s="66"/>
    </row>
    <row r="2462" spans="4:4">
      <c r="D2462" s="66"/>
    </row>
    <row r="2463" spans="4:4">
      <c r="D2463" s="66"/>
    </row>
    <row r="2464" spans="4:4">
      <c r="D2464" s="66"/>
    </row>
    <row r="2465" spans="4:4">
      <c r="D2465" s="66"/>
    </row>
    <row r="2466" spans="4:4">
      <c r="D2466" s="66"/>
    </row>
    <row r="2467" spans="4:4">
      <c r="D2467" s="66"/>
    </row>
    <row r="2468" spans="4:4">
      <c r="D2468" s="66"/>
    </row>
    <row r="2469" spans="4:4">
      <c r="D2469" s="66"/>
    </row>
    <row r="2470" spans="4:4">
      <c r="D2470" s="66"/>
    </row>
    <row r="2471" spans="4:4">
      <c r="D2471" s="66"/>
    </row>
    <row r="2472" spans="4:4">
      <c r="D2472" s="66"/>
    </row>
    <row r="2473" spans="4:4">
      <c r="D2473" s="66"/>
    </row>
    <row r="2474" spans="4:4">
      <c r="D2474" s="66"/>
    </row>
    <row r="2475" spans="4:4">
      <c r="D2475" s="66"/>
    </row>
    <row r="2476" spans="4:4">
      <c r="D2476" s="66"/>
    </row>
    <row r="2477" spans="4:4">
      <c r="D2477" s="66"/>
    </row>
    <row r="2478" spans="4:4">
      <c r="D2478" s="66"/>
    </row>
    <row r="2479" spans="4:4">
      <c r="D2479" s="66"/>
    </row>
    <row r="2480" spans="4:4">
      <c r="D2480" s="66"/>
    </row>
    <row r="2481" spans="4:4">
      <c r="D2481" s="66"/>
    </row>
    <row r="2482" spans="4:4">
      <c r="D2482" s="66"/>
    </row>
    <row r="2483" spans="4:4">
      <c r="D2483" s="66"/>
    </row>
    <row r="2484" spans="4:4">
      <c r="D2484" s="66"/>
    </row>
    <row r="2485" spans="4:4">
      <c r="D2485" s="66"/>
    </row>
    <row r="2486" spans="4:4">
      <c r="D2486" s="66"/>
    </row>
    <row r="2487" spans="4:4">
      <c r="D2487" s="66"/>
    </row>
    <row r="2488" spans="4:4">
      <c r="D2488" s="66"/>
    </row>
    <row r="2489" spans="4:4">
      <c r="D2489" s="66"/>
    </row>
    <row r="2490" spans="4:4">
      <c r="D2490" s="66"/>
    </row>
    <row r="2491" spans="4:4">
      <c r="D2491" s="66"/>
    </row>
    <row r="2492" spans="4:4">
      <c r="D2492" s="66"/>
    </row>
    <row r="2493" spans="4:4">
      <c r="D2493" s="66"/>
    </row>
    <row r="2494" spans="4:4">
      <c r="D2494" s="66"/>
    </row>
    <row r="2495" spans="4:4">
      <c r="D2495" s="66"/>
    </row>
    <row r="2496" spans="4:4">
      <c r="D2496" s="66"/>
    </row>
    <row r="2497" spans="4:4">
      <c r="D2497" s="66"/>
    </row>
    <row r="2498" spans="4:4">
      <c r="D2498" s="66"/>
    </row>
    <row r="2499" spans="4:4">
      <c r="D2499" s="66"/>
    </row>
    <row r="2500" spans="4:4">
      <c r="D2500" s="66"/>
    </row>
    <row r="2501" spans="4:4">
      <c r="D2501" s="66"/>
    </row>
    <row r="2502" spans="4:4">
      <c r="D2502" s="66"/>
    </row>
    <row r="2503" spans="4:4">
      <c r="D2503" s="66"/>
    </row>
    <row r="2504" spans="4:4">
      <c r="D2504" s="66"/>
    </row>
    <row r="2505" spans="4:4">
      <c r="D2505" s="66"/>
    </row>
    <row r="2506" spans="4:4">
      <c r="D2506" s="66"/>
    </row>
    <row r="2507" spans="4:4">
      <c r="D2507" s="66"/>
    </row>
    <row r="2508" spans="4:4">
      <c r="D2508" s="66"/>
    </row>
    <row r="2509" spans="4:4">
      <c r="D2509" s="66"/>
    </row>
    <row r="2510" spans="4:4">
      <c r="D2510" s="66"/>
    </row>
    <row r="2511" spans="4:4">
      <c r="D2511" s="66"/>
    </row>
    <row r="2512" spans="4:4">
      <c r="D2512" s="66"/>
    </row>
    <row r="2513" spans="4:4">
      <c r="D2513" s="66"/>
    </row>
    <row r="2514" spans="4:4">
      <c r="D2514" s="66"/>
    </row>
    <row r="2515" spans="4:4">
      <c r="D2515" s="66"/>
    </row>
    <row r="2516" spans="4:4">
      <c r="D2516" s="66"/>
    </row>
    <row r="2517" spans="4:4">
      <c r="D2517" s="66"/>
    </row>
    <row r="2518" spans="4:4">
      <c r="D2518" s="66"/>
    </row>
    <row r="2519" spans="4:4">
      <c r="D2519" s="66"/>
    </row>
    <row r="2520" spans="4:4">
      <c r="D2520" s="66"/>
    </row>
    <row r="2521" spans="4:4">
      <c r="D2521" s="66"/>
    </row>
    <row r="2522" spans="4:4">
      <c r="D2522" s="66"/>
    </row>
    <row r="2523" spans="4:4">
      <c r="D2523" s="66"/>
    </row>
    <row r="2524" spans="4:4">
      <c r="D2524" s="66"/>
    </row>
    <row r="2525" spans="4:4">
      <c r="D2525" s="66"/>
    </row>
    <row r="2526" spans="4:4">
      <c r="D2526" s="66"/>
    </row>
    <row r="2527" spans="4:4">
      <c r="D2527" s="66"/>
    </row>
    <row r="2528" spans="4:4">
      <c r="D2528" s="66"/>
    </row>
    <row r="2529" spans="4:4">
      <c r="D2529" s="66"/>
    </row>
    <row r="2530" spans="4:4">
      <c r="D2530" s="66"/>
    </row>
    <row r="2531" spans="4:4">
      <c r="D2531" s="66"/>
    </row>
    <row r="2532" spans="4:4">
      <c r="D2532" s="66"/>
    </row>
    <row r="2533" spans="4:4">
      <c r="D2533" s="66"/>
    </row>
    <row r="2534" spans="4:4">
      <c r="D2534" s="66"/>
    </row>
    <row r="2535" spans="4:4">
      <c r="D2535" s="66"/>
    </row>
    <row r="2536" spans="4:4">
      <c r="D2536" s="66"/>
    </row>
    <row r="2537" spans="4:4">
      <c r="D2537" s="66"/>
    </row>
    <row r="2538" spans="4:4">
      <c r="D2538" s="66"/>
    </row>
    <row r="2539" spans="4:4">
      <c r="D2539" s="66"/>
    </row>
    <row r="2540" spans="4:4">
      <c r="D2540" s="66"/>
    </row>
    <row r="2541" spans="4:4">
      <c r="D2541" s="66"/>
    </row>
    <row r="2542" spans="4:4">
      <c r="D2542" s="66"/>
    </row>
    <row r="2543" spans="4:4">
      <c r="D2543" s="66"/>
    </row>
    <row r="2544" spans="4:4">
      <c r="D2544" s="66"/>
    </row>
    <row r="2545" spans="4:4">
      <c r="D2545" s="66"/>
    </row>
    <row r="2546" spans="4:4">
      <c r="D2546" s="66"/>
    </row>
    <row r="2547" spans="4:4">
      <c r="D2547" s="66"/>
    </row>
    <row r="2548" spans="4:4">
      <c r="D2548" s="66"/>
    </row>
    <row r="2549" spans="4:4">
      <c r="D2549" s="66"/>
    </row>
    <row r="2550" spans="4:4">
      <c r="D2550" s="66"/>
    </row>
    <row r="2551" spans="4:4">
      <c r="D2551" s="66"/>
    </row>
    <row r="2552" spans="4:4">
      <c r="D2552" s="66"/>
    </row>
    <row r="2553" spans="4:4">
      <c r="D2553" s="66"/>
    </row>
    <row r="2554" spans="4:4">
      <c r="D2554" s="66"/>
    </row>
    <row r="2555" spans="4:4">
      <c r="D2555" s="66"/>
    </row>
    <row r="2556" spans="4:4">
      <c r="D2556" s="66"/>
    </row>
    <row r="2557" spans="4:4">
      <c r="D2557" s="66"/>
    </row>
    <row r="2558" spans="4:4">
      <c r="D2558" s="66"/>
    </row>
    <row r="2559" spans="4:4">
      <c r="D2559" s="66"/>
    </row>
    <row r="2560" spans="4:4">
      <c r="D2560" s="66"/>
    </row>
    <row r="2561" spans="4:4">
      <c r="D2561" s="66"/>
    </row>
    <row r="2562" spans="4:4">
      <c r="D2562" s="66"/>
    </row>
    <row r="2563" spans="4:4">
      <c r="D2563" s="66"/>
    </row>
    <row r="2564" spans="4:4">
      <c r="D2564" s="66"/>
    </row>
    <row r="2565" spans="4:4">
      <c r="D2565" s="66"/>
    </row>
    <row r="2566" spans="4:4">
      <c r="D2566" s="66"/>
    </row>
    <row r="2567" spans="4:4">
      <c r="D2567" s="66"/>
    </row>
    <row r="2568" spans="4:4">
      <c r="D2568" s="66"/>
    </row>
    <row r="2569" spans="4:4">
      <c r="D2569" s="66"/>
    </row>
    <row r="2570" spans="4:4">
      <c r="D2570" s="66"/>
    </row>
    <row r="2571" spans="4:4">
      <c r="D2571" s="66"/>
    </row>
    <row r="2572" spans="4:4">
      <c r="D2572" s="66"/>
    </row>
    <row r="2573" spans="4:4">
      <c r="D2573" s="66"/>
    </row>
    <row r="2574" spans="4:4">
      <c r="D2574" s="66"/>
    </row>
    <row r="2575" spans="4:4">
      <c r="D2575" s="66"/>
    </row>
    <row r="2576" spans="4:4">
      <c r="D2576" s="66"/>
    </row>
    <row r="2577" spans="4:4">
      <c r="D2577" s="66"/>
    </row>
    <row r="2578" spans="4:4">
      <c r="D2578" s="66"/>
    </row>
    <row r="2579" spans="4:4">
      <c r="D2579" s="66"/>
    </row>
    <row r="2580" spans="4:4">
      <c r="D2580" s="66"/>
    </row>
    <row r="2581" spans="4:4">
      <c r="D2581" s="66"/>
    </row>
    <row r="2582" spans="4:4">
      <c r="D2582" s="66"/>
    </row>
    <row r="2583" spans="4:4">
      <c r="D2583" s="66"/>
    </row>
    <row r="2584" spans="4:4">
      <c r="D2584" s="66"/>
    </row>
    <row r="2585" spans="4:4">
      <c r="D2585" s="66"/>
    </row>
    <row r="2586" spans="4:4">
      <c r="D2586" s="66"/>
    </row>
    <row r="2587" spans="4:4">
      <c r="D2587" s="66"/>
    </row>
    <row r="2588" spans="4:4">
      <c r="D2588" s="66"/>
    </row>
    <row r="2589" spans="4:4">
      <c r="D2589" s="66"/>
    </row>
    <row r="2590" spans="4:4">
      <c r="D2590" s="66"/>
    </row>
    <row r="2591" spans="4:4">
      <c r="D2591" s="66"/>
    </row>
    <row r="2592" spans="4:4">
      <c r="D2592" s="66"/>
    </row>
    <row r="2593" spans="4:4">
      <c r="D2593" s="66"/>
    </row>
    <row r="2594" spans="4:4">
      <c r="D2594" s="66"/>
    </row>
    <row r="2595" spans="4:4">
      <c r="D2595" s="66"/>
    </row>
    <row r="2596" spans="4:4">
      <c r="D2596" s="66"/>
    </row>
    <row r="2597" spans="4:4">
      <c r="D2597" s="66"/>
    </row>
    <row r="2598" spans="4:4">
      <c r="D2598" s="66"/>
    </row>
    <row r="2599" spans="4:4">
      <c r="D2599" s="66"/>
    </row>
    <row r="2600" spans="4:4">
      <c r="D2600" s="66"/>
    </row>
    <row r="2601" spans="4:4">
      <c r="D2601" s="66"/>
    </row>
    <row r="2602" spans="4:4">
      <c r="D2602" s="66"/>
    </row>
    <row r="2603" spans="4:4">
      <c r="D2603" s="66"/>
    </row>
    <row r="2604" spans="4:4">
      <c r="D2604" s="66"/>
    </row>
    <row r="2605" spans="4:4">
      <c r="D2605" s="66"/>
    </row>
    <row r="2606" spans="4:4">
      <c r="D2606" s="66"/>
    </row>
    <row r="2607" spans="4:4">
      <c r="D2607" s="66"/>
    </row>
    <row r="2608" spans="4:4">
      <c r="D2608" s="66"/>
    </row>
    <row r="2609" spans="4:4">
      <c r="D2609" s="66"/>
    </row>
    <row r="2610" spans="4:4">
      <c r="D2610" s="66"/>
    </row>
    <row r="2611" spans="4:4">
      <c r="D2611" s="66"/>
    </row>
    <row r="2612" spans="4:4">
      <c r="D2612" s="66"/>
    </row>
    <row r="2613" spans="4:4">
      <c r="D2613" s="66"/>
    </row>
    <row r="2614" spans="4:4">
      <c r="D2614" s="66"/>
    </row>
    <row r="2615" spans="4:4">
      <c r="D2615" s="66"/>
    </row>
    <row r="2616" spans="4:4">
      <c r="D2616" s="66"/>
    </row>
    <row r="2617" spans="4:4">
      <c r="D2617" s="66"/>
    </row>
    <row r="2618" spans="4:4">
      <c r="D2618" s="66"/>
    </row>
    <row r="2619" spans="4:4">
      <c r="D2619" s="66"/>
    </row>
    <row r="2620" spans="4:4">
      <c r="D2620" s="66"/>
    </row>
    <row r="2621" spans="4:4">
      <c r="D2621" s="66"/>
    </row>
    <row r="2622" spans="4:4">
      <c r="D2622" s="66"/>
    </row>
    <row r="2623" spans="4:4">
      <c r="D2623" s="66"/>
    </row>
    <row r="2624" spans="4:4">
      <c r="D2624" s="66"/>
    </row>
    <row r="2625" spans="4:4">
      <c r="D2625" s="66"/>
    </row>
    <row r="2626" spans="4:4">
      <c r="D2626" s="66"/>
    </row>
    <row r="2627" spans="4:4">
      <c r="D2627" s="66"/>
    </row>
    <row r="2628" spans="4:4">
      <c r="D2628" s="66"/>
    </row>
    <row r="2629" spans="4:4">
      <c r="D2629" s="66"/>
    </row>
    <row r="2630" spans="4:4">
      <c r="D2630" s="66"/>
    </row>
    <row r="2631" spans="4:4">
      <c r="D2631" s="66"/>
    </row>
    <row r="2632" spans="4:4">
      <c r="D2632" s="66"/>
    </row>
    <row r="2633" spans="4:4">
      <c r="D2633" s="66"/>
    </row>
    <row r="2634" spans="4:4">
      <c r="D2634" s="66"/>
    </row>
    <row r="2635" spans="4:4">
      <c r="D2635" s="66"/>
    </row>
    <row r="2636" spans="4:4">
      <c r="D2636" s="66"/>
    </row>
    <row r="2637" spans="4:4">
      <c r="D2637" s="66"/>
    </row>
    <row r="2638" spans="4:4">
      <c r="D2638" s="66"/>
    </row>
    <row r="2639" spans="4:4">
      <c r="D2639" s="66"/>
    </row>
    <row r="2640" spans="4:4">
      <c r="D2640" s="66"/>
    </row>
    <row r="2641" spans="4:4">
      <c r="D2641" s="66"/>
    </row>
    <row r="2642" spans="4:4">
      <c r="D2642" s="66"/>
    </row>
    <row r="2643" spans="4:4">
      <c r="D2643" s="66"/>
    </row>
    <row r="2644" spans="4:4">
      <c r="D2644" s="66"/>
    </row>
    <row r="2645" spans="4:4">
      <c r="D2645" s="66"/>
    </row>
    <row r="2646" spans="4:4">
      <c r="D2646" s="66"/>
    </row>
    <row r="2647" spans="4:4">
      <c r="D2647" s="66"/>
    </row>
    <row r="2648" spans="4:4">
      <c r="D2648" s="66"/>
    </row>
    <row r="2649" spans="4:4">
      <c r="D2649" s="66"/>
    </row>
    <row r="2650" spans="4:4">
      <c r="D2650" s="66"/>
    </row>
    <row r="2651" spans="4:4">
      <c r="D2651" s="66"/>
    </row>
    <row r="2652" spans="4:4">
      <c r="D2652" s="66"/>
    </row>
    <row r="2653" spans="4:4">
      <c r="D2653" s="66"/>
    </row>
    <row r="2654" spans="4:4">
      <c r="D2654" s="66"/>
    </row>
    <row r="2655" spans="4:4">
      <c r="D2655" s="66"/>
    </row>
    <row r="2656" spans="4:4">
      <c r="D2656" s="66"/>
    </row>
    <row r="2657" spans="4:4">
      <c r="D2657" s="66"/>
    </row>
    <row r="2658" spans="4:4">
      <c r="D2658" s="66"/>
    </row>
    <row r="2659" spans="4:4">
      <c r="D2659" s="66"/>
    </row>
    <row r="2660" spans="4:4">
      <c r="D2660" s="66"/>
    </row>
    <row r="2661" spans="4:4">
      <c r="D2661" s="66"/>
    </row>
    <row r="2662" spans="4:4">
      <c r="D2662" s="66"/>
    </row>
    <row r="2663" spans="4:4">
      <c r="D2663" s="66"/>
    </row>
    <row r="2664" spans="4:4">
      <c r="D2664" s="66"/>
    </row>
    <row r="2665" spans="4:4">
      <c r="D2665" s="66"/>
    </row>
    <row r="2666" spans="4:4">
      <c r="D2666" s="66"/>
    </row>
    <row r="2667" spans="4:4">
      <c r="D2667" s="66"/>
    </row>
    <row r="2668" spans="4:4">
      <c r="D2668" s="66"/>
    </row>
    <row r="2669" spans="4:4">
      <c r="D2669" s="66"/>
    </row>
    <row r="2670" spans="4:4">
      <c r="D2670" s="66"/>
    </row>
    <row r="2671" spans="4:4">
      <c r="D2671" s="66"/>
    </row>
    <row r="2672" spans="4:4">
      <c r="D2672" s="66"/>
    </row>
    <row r="2673" spans="4:4">
      <c r="D2673" s="66"/>
    </row>
    <row r="2674" spans="4:4">
      <c r="D2674" s="66"/>
    </row>
    <row r="2675" spans="4:4">
      <c r="D2675" s="66"/>
    </row>
    <row r="2676" spans="4:4">
      <c r="D2676" s="66"/>
    </row>
    <row r="2677" spans="4:4">
      <c r="D2677" s="66"/>
    </row>
    <row r="2678" spans="4:4">
      <c r="D2678" s="66"/>
    </row>
    <row r="2679" spans="4:4">
      <c r="D2679" s="66"/>
    </row>
    <row r="2680" spans="4:4">
      <c r="D2680" s="66"/>
    </row>
    <row r="2681" spans="4:4">
      <c r="D2681" s="66"/>
    </row>
    <row r="2682" spans="4:4">
      <c r="D2682" s="66"/>
    </row>
    <row r="2683" spans="4:4">
      <c r="D2683" s="66"/>
    </row>
    <row r="2684" spans="4:4">
      <c r="D2684" s="66"/>
    </row>
    <row r="2685" spans="4:4">
      <c r="D2685" s="66"/>
    </row>
    <row r="2686" spans="4:4">
      <c r="D2686" s="66"/>
    </row>
    <row r="2687" spans="4:4">
      <c r="D2687" s="66"/>
    </row>
    <row r="2688" spans="4:4">
      <c r="D2688" s="66"/>
    </row>
    <row r="2689" spans="4:4">
      <c r="D2689" s="66"/>
    </row>
    <row r="2690" spans="4:4">
      <c r="D2690" s="66"/>
    </row>
    <row r="2691" spans="4:4">
      <c r="D2691" s="66"/>
    </row>
    <row r="2692" spans="4:4">
      <c r="D2692" s="66"/>
    </row>
    <row r="2693" spans="4:4">
      <c r="D2693" s="66"/>
    </row>
    <row r="2694" spans="4:4">
      <c r="D2694" s="66"/>
    </row>
    <row r="2695" spans="4:4">
      <c r="D2695" s="66"/>
    </row>
    <row r="2696" spans="4:4">
      <c r="D2696" s="66"/>
    </row>
    <row r="2697" spans="4:4">
      <c r="D2697" s="66"/>
    </row>
    <row r="2698" spans="4:4">
      <c r="D2698" s="66"/>
    </row>
    <row r="2699" spans="4:4">
      <c r="D2699" s="66"/>
    </row>
    <row r="2700" spans="4:4">
      <c r="D2700" s="66"/>
    </row>
    <row r="2701" spans="4:4">
      <c r="D2701" s="66"/>
    </row>
    <row r="2702" spans="4:4">
      <c r="D2702" s="66"/>
    </row>
    <row r="2703" spans="4:4">
      <c r="D2703" s="66"/>
    </row>
    <row r="2704" spans="4:4">
      <c r="D2704" s="66"/>
    </row>
    <row r="2705" spans="4:4">
      <c r="D2705" s="66"/>
    </row>
    <row r="2706" spans="4:4">
      <c r="D2706" s="66"/>
    </row>
    <row r="2707" spans="4:4">
      <c r="D2707" s="66"/>
    </row>
    <row r="2708" spans="4:4">
      <c r="D2708" s="66"/>
    </row>
    <row r="2709" spans="4:4">
      <c r="D2709" s="66"/>
    </row>
    <row r="2710" spans="4:4">
      <c r="D2710" s="66"/>
    </row>
    <row r="2711" spans="4:4">
      <c r="D2711" s="66"/>
    </row>
    <row r="2712" spans="4:4">
      <c r="D2712" s="66"/>
    </row>
    <row r="2713" spans="4:4">
      <c r="D2713" s="66"/>
    </row>
    <row r="2714" spans="4:4">
      <c r="D2714" s="66"/>
    </row>
    <row r="2715" spans="4:4">
      <c r="D2715" s="66"/>
    </row>
    <row r="2716" spans="4:4">
      <c r="D2716" s="66"/>
    </row>
    <row r="2717" spans="4:4">
      <c r="D2717" s="66"/>
    </row>
    <row r="2718" spans="4:4">
      <c r="D2718" s="66"/>
    </row>
    <row r="2719" spans="4:4">
      <c r="D2719" s="66"/>
    </row>
    <row r="2720" spans="4:4">
      <c r="D2720" s="66"/>
    </row>
    <row r="2721" spans="4:4">
      <c r="D2721" s="66"/>
    </row>
    <row r="2722" spans="4:4">
      <c r="D2722" s="66"/>
    </row>
    <row r="2723" spans="4:4">
      <c r="D2723" s="66"/>
    </row>
    <row r="2724" spans="4:4">
      <c r="D2724" s="66"/>
    </row>
    <row r="2725" spans="4:4">
      <c r="D2725" s="66"/>
    </row>
    <row r="2726" spans="4:4">
      <c r="D2726" s="66"/>
    </row>
    <row r="2727" spans="4:4">
      <c r="D2727" s="66"/>
    </row>
    <row r="2728" spans="4:4">
      <c r="D2728" s="66"/>
    </row>
    <row r="2729" spans="4:4">
      <c r="D2729" s="66"/>
    </row>
    <row r="2730" spans="4:4">
      <c r="D2730" s="66"/>
    </row>
    <row r="2731" spans="4:4">
      <c r="D2731" s="66"/>
    </row>
    <row r="2732" spans="4:4">
      <c r="D2732" s="66"/>
    </row>
    <row r="2733" spans="4:4">
      <c r="D2733" s="66"/>
    </row>
    <row r="2734" spans="4:4">
      <c r="D2734" s="66"/>
    </row>
    <row r="2735" spans="4:4">
      <c r="D2735" s="66"/>
    </row>
    <row r="2736" spans="4:4">
      <c r="D2736" s="66"/>
    </row>
    <row r="2737" spans="4:4">
      <c r="D2737" s="66"/>
    </row>
    <row r="2738" spans="4:4">
      <c r="D2738" s="66"/>
    </row>
    <row r="2739" spans="4:4">
      <c r="D2739" s="66"/>
    </row>
    <row r="2740" spans="4:4">
      <c r="D2740" s="66"/>
    </row>
    <row r="2741" spans="4:4">
      <c r="D2741" s="66"/>
    </row>
    <row r="2742" spans="4:4">
      <c r="D2742" s="66"/>
    </row>
    <row r="2743" spans="4:4">
      <c r="D2743" s="66"/>
    </row>
    <row r="2744" spans="4:4">
      <c r="D2744" s="66"/>
    </row>
    <row r="2745" spans="4:4">
      <c r="D2745" s="66"/>
    </row>
    <row r="2746" spans="4:4">
      <c r="D2746" s="66"/>
    </row>
    <row r="2747" spans="4:4">
      <c r="D2747" s="66"/>
    </row>
    <row r="2748" spans="4:4">
      <c r="D2748" s="66"/>
    </row>
    <row r="2749" spans="4:4">
      <c r="D2749" s="66"/>
    </row>
    <row r="2750" spans="4:4">
      <c r="D2750" s="66"/>
    </row>
    <row r="2751" spans="4:4">
      <c r="D2751" s="66"/>
    </row>
    <row r="2752" spans="4:4">
      <c r="D2752" s="66"/>
    </row>
    <row r="2753" spans="4:4">
      <c r="D2753" s="66"/>
    </row>
    <row r="2754" spans="4:4">
      <c r="D2754" s="66"/>
    </row>
    <row r="2755" spans="4:4">
      <c r="D2755" s="66"/>
    </row>
    <row r="2756" spans="4:4">
      <c r="D2756" s="66"/>
    </row>
    <row r="2757" spans="4:4">
      <c r="D2757" s="66"/>
    </row>
    <row r="2758" spans="4:4">
      <c r="D2758" s="66"/>
    </row>
    <row r="2759" spans="4:4">
      <c r="D2759" s="66"/>
    </row>
    <row r="2760" spans="4:4">
      <c r="D2760" s="66"/>
    </row>
    <row r="2761" spans="4:4">
      <c r="D2761" s="66"/>
    </row>
    <row r="2762" spans="4:4">
      <c r="D2762" s="66"/>
    </row>
    <row r="2763" spans="4:4">
      <c r="D2763" s="66"/>
    </row>
    <row r="2764" spans="4:4">
      <c r="D2764" s="66"/>
    </row>
    <row r="2765" spans="4:4">
      <c r="D2765" s="66"/>
    </row>
    <row r="2766" spans="4:4">
      <c r="D2766" s="66"/>
    </row>
    <row r="2767" spans="4:4">
      <c r="D2767" s="66"/>
    </row>
    <row r="2768" spans="4:4">
      <c r="D2768" s="66"/>
    </row>
    <row r="2769" spans="4:4">
      <c r="D2769" s="66"/>
    </row>
    <row r="2770" spans="4:4">
      <c r="D2770" s="66"/>
    </row>
    <row r="2771" spans="4:4">
      <c r="D2771" s="66"/>
    </row>
    <row r="2772" spans="4:4">
      <c r="D2772" s="66"/>
    </row>
    <row r="2773" spans="4:4">
      <c r="D2773" s="66"/>
    </row>
    <row r="2774" spans="4:4">
      <c r="D2774" s="66"/>
    </row>
    <row r="2775" spans="4:4">
      <c r="D2775" s="66"/>
    </row>
    <row r="2776" spans="4:4">
      <c r="D2776" s="66"/>
    </row>
    <row r="2777" spans="4:4">
      <c r="D2777" s="66"/>
    </row>
    <row r="2778" spans="4:4">
      <c r="D2778" s="66"/>
    </row>
    <row r="2779" spans="4:4">
      <c r="D2779" s="66"/>
    </row>
    <row r="2780" spans="4:4">
      <c r="D2780" s="66"/>
    </row>
    <row r="2781" spans="4:4">
      <c r="D2781" s="66"/>
    </row>
    <row r="2782" spans="4:4">
      <c r="D2782" s="66"/>
    </row>
    <row r="2783" spans="4:4">
      <c r="D2783" s="66"/>
    </row>
    <row r="2784" spans="4:4">
      <c r="D2784" s="66"/>
    </row>
    <row r="2785" spans="4:4">
      <c r="D2785" s="66"/>
    </row>
    <row r="2786" spans="4:4">
      <c r="D2786" s="66"/>
    </row>
    <row r="2787" spans="4:4">
      <c r="D2787" s="66"/>
    </row>
    <row r="2788" spans="4:4">
      <c r="D2788" s="66"/>
    </row>
    <row r="2789" spans="4:4">
      <c r="D2789" s="66"/>
    </row>
    <row r="2790" spans="4:4">
      <c r="D2790" s="66"/>
    </row>
    <row r="2791" spans="4:4">
      <c r="D2791" s="66"/>
    </row>
    <row r="2792" spans="4:4">
      <c r="D2792" s="66"/>
    </row>
    <row r="2793" spans="4:4">
      <c r="D2793" s="66"/>
    </row>
    <row r="2794" spans="4:4">
      <c r="D2794" s="66"/>
    </row>
    <row r="2795" spans="4:4">
      <c r="D2795" s="66"/>
    </row>
    <row r="2796" spans="4:4">
      <c r="D2796" s="66"/>
    </row>
    <row r="2797" spans="4:4">
      <c r="D2797" s="66"/>
    </row>
    <row r="2798" spans="4:4">
      <c r="D2798" s="66"/>
    </row>
    <row r="2799" spans="4:4">
      <c r="D2799" s="66"/>
    </row>
    <row r="2800" spans="4:4">
      <c r="D2800" s="66"/>
    </row>
    <row r="2801" spans="4:4">
      <c r="D2801" s="66"/>
    </row>
    <row r="2802" spans="4:4">
      <c r="D2802" s="66"/>
    </row>
    <row r="2803" spans="4:4">
      <c r="D2803" s="66"/>
    </row>
    <row r="2804" spans="4:4">
      <c r="D2804" s="66"/>
    </row>
    <row r="2805" spans="4:4">
      <c r="D2805" s="66"/>
    </row>
    <row r="2806" spans="4:4">
      <c r="D2806" s="66"/>
    </row>
    <row r="2807" spans="4:4">
      <c r="D2807" s="66"/>
    </row>
    <row r="2808" spans="4:4">
      <c r="D2808" s="66"/>
    </row>
    <row r="2809" spans="4:4">
      <c r="D2809" s="66"/>
    </row>
    <row r="2810" spans="4:4">
      <c r="D2810" s="66"/>
    </row>
    <row r="2811" spans="4:4">
      <c r="D2811" s="66"/>
    </row>
    <row r="2812" spans="4:4">
      <c r="D2812" s="66"/>
    </row>
    <row r="2813" spans="4:4">
      <c r="D2813" s="66"/>
    </row>
    <row r="2814" spans="4:4">
      <c r="D2814" s="66"/>
    </row>
    <row r="2815" spans="4:4">
      <c r="D2815" s="66"/>
    </row>
    <row r="2816" spans="4:4">
      <c r="D2816" s="66"/>
    </row>
    <row r="2817" spans="4:4">
      <c r="D2817" s="66"/>
    </row>
    <row r="2818" spans="4:4">
      <c r="D2818" s="66"/>
    </row>
    <row r="2819" spans="4:4">
      <c r="D2819" s="66"/>
    </row>
    <row r="2820" spans="4:4">
      <c r="D2820" s="66"/>
    </row>
    <row r="2821" spans="4:4">
      <c r="D2821" s="66"/>
    </row>
    <row r="2822" spans="4:4">
      <c r="D2822" s="66"/>
    </row>
    <row r="2823" spans="4:4">
      <c r="D2823" s="66"/>
    </row>
    <row r="2824" spans="4:4">
      <c r="D2824" s="66"/>
    </row>
    <row r="2825" spans="4:4">
      <c r="D2825" s="66"/>
    </row>
    <row r="2826" spans="4:4">
      <c r="D2826" s="66"/>
    </row>
    <row r="2827" spans="4:4">
      <c r="D2827" s="66"/>
    </row>
    <row r="2828" spans="4:4">
      <c r="D2828" s="66"/>
    </row>
    <row r="2829" spans="4:4">
      <c r="D2829" s="66"/>
    </row>
    <row r="2830" spans="4:4">
      <c r="D2830" s="66"/>
    </row>
    <row r="2831" spans="4:4">
      <c r="D2831" s="66"/>
    </row>
    <row r="2832" spans="4:4">
      <c r="D2832" s="66"/>
    </row>
    <row r="2833" spans="4:4">
      <c r="D2833" s="66"/>
    </row>
    <row r="2834" spans="4:4">
      <c r="D2834" s="66"/>
    </row>
    <row r="2835" spans="4:4">
      <c r="D2835" s="66"/>
    </row>
    <row r="2836" spans="4:4">
      <c r="D2836" s="66"/>
    </row>
    <row r="2837" spans="4:4">
      <c r="D2837" s="66"/>
    </row>
    <row r="2838" spans="4:4">
      <c r="D2838" s="66"/>
    </row>
    <row r="2839" spans="4:4">
      <c r="D2839" s="66"/>
    </row>
    <row r="2840" spans="4:4">
      <c r="D2840" s="66"/>
    </row>
    <row r="2841" spans="4:4">
      <c r="D2841" s="66"/>
    </row>
    <row r="2842" spans="4:4">
      <c r="D2842" s="66"/>
    </row>
    <row r="2843" spans="4:4">
      <c r="D2843" s="66"/>
    </row>
    <row r="2844" spans="4:4">
      <c r="D2844" s="66"/>
    </row>
    <row r="2845" spans="4:4">
      <c r="D2845" s="66"/>
    </row>
    <row r="2846" spans="4:4">
      <c r="D2846" s="66"/>
    </row>
    <row r="2847" spans="4:4">
      <c r="D2847" s="66"/>
    </row>
    <row r="2848" spans="4:4">
      <c r="D2848" s="66"/>
    </row>
    <row r="2849" spans="4:4">
      <c r="D2849" s="66"/>
    </row>
    <row r="2850" spans="4:4">
      <c r="D2850" s="66"/>
    </row>
    <row r="2851" spans="4:4">
      <c r="D2851" s="66"/>
    </row>
    <row r="2852" spans="4:4">
      <c r="D2852" s="66"/>
    </row>
    <row r="2853" spans="4:4">
      <c r="D2853" s="66"/>
    </row>
    <row r="2854" spans="4:4">
      <c r="D2854" s="66"/>
    </row>
    <row r="2855" spans="4:4">
      <c r="D2855" s="66"/>
    </row>
    <row r="2856" spans="4:4">
      <c r="D2856" s="66"/>
    </row>
    <row r="2857" spans="4:4">
      <c r="D2857" s="66"/>
    </row>
    <row r="2858" spans="4:4">
      <c r="D2858" s="66"/>
    </row>
    <row r="2859" spans="4:4">
      <c r="D2859" s="66"/>
    </row>
    <row r="2860" spans="4:4">
      <c r="D2860" s="66"/>
    </row>
    <row r="2861" spans="4:4">
      <c r="D2861" s="66"/>
    </row>
    <row r="2862" spans="4:4">
      <c r="D2862" s="66"/>
    </row>
    <row r="2863" spans="4:4">
      <c r="D2863" s="66"/>
    </row>
    <row r="2864" spans="4:4">
      <c r="D2864" s="66"/>
    </row>
    <row r="2865" spans="4:4">
      <c r="D2865" s="66"/>
    </row>
    <row r="2866" spans="4:4">
      <c r="D2866" s="66"/>
    </row>
    <row r="2867" spans="4:4">
      <c r="D2867" s="66"/>
    </row>
    <row r="2868" spans="4:4">
      <c r="D2868" s="66"/>
    </row>
    <row r="2869" spans="4:4">
      <c r="D2869" s="66"/>
    </row>
    <row r="2870" spans="4:4">
      <c r="D2870" s="66"/>
    </row>
    <row r="2871" spans="4:4">
      <c r="D2871" s="66"/>
    </row>
    <row r="2872" spans="4:4">
      <c r="D2872" s="66"/>
    </row>
    <row r="2873" spans="4:4">
      <c r="D2873" s="66"/>
    </row>
    <row r="2874" spans="4:4">
      <c r="D2874" s="66"/>
    </row>
    <row r="2875" spans="4:4">
      <c r="D2875" s="66"/>
    </row>
    <row r="2876" spans="4:4">
      <c r="D2876" s="66"/>
    </row>
    <row r="2877" spans="4:4">
      <c r="D2877" s="66"/>
    </row>
    <row r="2878" spans="4:4">
      <c r="D2878" s="66"/>
    </row>
    <row r="2879" spans="4:4">
      <c r="D2879" s="66"/>
    </row>
    <row r="2880" spans="4:4">
      <c r="D2880" s="66"/>
    </row>
    <row r="2881" spans="4:4">
      <c r="D2881" s="66"/>
    </row>
    <row r="2882" spans="4:4">
      <c r="D2882" s="66"/>
    </row>
    <row r="2883" spans="4:4">
      <c r="D2883" s="66"/>
    </row>
    <row r="2884" spans="4:4">
      <c r="D2884" s="66"/>
    </row>
    <row r="2885" spans="4:4">
      <c r="D2885" s="66"/>
    </row>
    <row r="2886" spans="4:4">
      <c r="D2886" s="66"/>
    </row>
    <row r="2887" spans="4:4">
      <c r="D2887" s="66"/>
    </row>
    <row r="2888" spans="4:4">
      <c r="D2888" s="66"/>
    </row>
    <row r="2889" spans="4:4">
      <c r="D2889" s="66"/>
    </row>
    <row r="2890" spans="4:4">
      <c r="D2890" s="66"/>
    </row>
    <row r="2891" spans="4:4">
      <c r="D2891" s="66"/>
    </row>
    <row r="2892" spans="4:4">
      <c r="D2892" s="66"/>
    </row>
    <row r="2893" spans="4:4">
      <c r="D2893" s="66"/>
    </row>
    <row r="2894" spans="4:4">
      <c r="D2894" s="66"/>
    </row>
    <row r="2895" spans="4:4">
      <c r="D2895" s="66"/>
    </row>
    <row r="2896" spans="4:4">
      <c r="D2896" s="66"/>
    </row>
    <row r="2897" spans="4:4">
      <c r="D2897" s="66"/>
    </row>
    <row r="2898" spans="4:4">
      <c r="D2898" s="66"/>
    </row>
    <row r="2899" spans="4:4">
      <c r="D2899" s="66"/>
    </row>
    <row r="2900" spans="4:4">
      <c r="D2900" s="66"/>
    </row>
    <row r="2901" spans="4:4">
      <c r="D2901" s="66"/>
    </row>
    <row r="2902" spans="4:4">
      <c r="D2902" s="66"/>
    </row>
    <row r="2903" spans="4:4">
      <c r="D2903" s="66"/>
    </row>
    <row r="2904" spans="4:4">
      <c r="D2904" s="66"/>
    </row>
    <row r="2905" spans="4:4">
      <c r="D2905" s="66"/>
    </row>
    <row r="2906" spans="4:4">
      <c r="D2906" s="66"/>
    </row>
    <row r="2907" spans="4:4">
      <c r="D2907" s="66"/>
    </row>
    <row r="2908" spans="4:4">
      <c r="D2908" s="66"/>
    </row>
    <row r="2909" spans="4:4">
      <c r="D2909" s="66"/>
    </row>
    <row r="2910" spans="4:4">
      <c r="D2910" s="66"/>
    </row>
    <row r="2911" spans="4:4">
      <c r="D2911" s="66"/>
    </row>
    <row r="2912" spans="4:4">
      <c r="D2912" s="66"/>
    </row>
    <row r="2913" spans="4:4">
      <c r="D2913" s="66"/>
    </row>
    <row r="2914" spans="4:4">
      <c r="D2914" s="66"/>
    </row>
    <row r="2915" spans="4:4">
      <c r="D2915" s="66"/>
    </row>
    <row r="2916" spans="4:4">
      <c r="D2916" s="66"/>
    </row>
    <row r="2917" spans="4:4">
      <c r="D2917" s="66"/>
    </row>
    <row r="2918" spans="4:4">
      <c r="D2918" s="66"/>
    </row>
    <row r="2919" spans="4:4">
      <c r="D2919" s="66"/>
    </row>
    <row r="2920" spans="4:4">
      <c r="D2920" s="66"/>
    </row>
    <row r="2921" spans="4:4">
      <c r="D2921" s="66"/>
    </row>
    <row r="2922" spans="4:4">
      <c r="D2922" s="66"/>
    </row>
    <row r="2923" spans="4:4">
      <c r="D2923" s="66"/>
    </row>
    <row r="2924" spans="4:4">
      <c r="D2924" s="66"/>
    </row>
    <row r="2925" spans="4:4">
      <c r="D2925" s="66"/>
    </row>
    <row r="2926" spans="4:4">
      <c r="D2926" s="66"/>
    </row>
    <row r="2927" spans="4:4">
      <c r="D2927" s="66"/>
    </row>
    <row r="2928" spans="4:4">
      <c r="D2928" s="66"/>
    </row>
    <row r="2929" spans="4:4">
      <c r="D2929" s="66"/>
    </row>
    <row r="2930" spans="4:4">
      <c r="D2930" s="66"/>
    </row>
    <row r="2931" spans="4:4">
      <c r="D2931" s="66"/>
    </row>
    <row r="2932" spans="4:4">
      <c r="D2932" s="66"/>
    </row>
    <row r="2933" spans="4:4">
      <c r="D2933" s="66"/>
    </row>
    <row r="2934" spans="4:4">
      <c r="D2934" s="66"/>
    </row>
    <row r="2935" spans="4:4">
      <c r="D2935" s="66"/>
    </row>
    <row r="2936" spans="4:4">
      <c r="D2936" s="66"/>
    </row>
    <row r="2937" spans="4:4">
      <c r="D2937" s="66"/>
    </row>
    <row r="2938" spans="4:4">
      <c r="D2938" s="66"/>
    </row>
    <row r="2939" spans="4:4">
      <c r="D2939" s="66"/>
    </row>
    <row r="2940" spans="4:4">
      <c r="D2940" s="66"/>
    </row>
    <row r="2941" spans="4:4">
      <c r="D2941" s="66"/>
    </row>
    <row r="2942" spans="4:4">
      <c r="D2942" s="66"/>
    </row>
    <row r="2943" spans="4:4">
      <c r="D2943" s="66"/>
    </row>
    <row r="2944" spans="4:4">
      <c r="D2944" s="66"/>
    </row>
    <row r="2945" spans="4:4">
      <c r="D2945" s="66"/>
    </row>
    <row r="2946" spans="4:4">
      <c r="D2946" s="66"/>
    </row>
    <row r="2947" spans="4:4">
      <c r="D2947" s="66"/>
    </row>
    <row r="2948" spans="4:4">
      <c r="D2948" s="66"/>
    </row>
    <row r="2949" spans="4:4">
      <c r="D2949" s="66"/>
    </row>
    <row r="2950" spans="4:4">
      <c r="D2950" s="66"/>
    </row>
    <row r="2951" spans="4:4">
      <c r="D2951" s="66"/>
    </row>
    <row r="2952" spans="4:4">
      <c r="D2952" s="66"/>
    </row>
    <row r="2953" spans="4:4">
      <c r="D2953" s="66"/>
    </row>
    <row r="2954" spans="4:4">
      <c r="D2954" s="66"/>
    </row>
    <row r="2955" spans="4:4">
      <c r="D2955" s="66"/>
    </row>
    <row r="2956" spans="4:4">
      <c r="D2956" s="66"/>
    </row>
    <row r="2957" spans="4:4">
      <c r="D2957" s="66"/>
    </row>
    <row r="2958" spans="4:4">
      <c r="D2958" s="66"/>
    </row>
    <row r="2959" spans="4:4">
      <c r="D2959" s="66"/>
    </row>
    <row r="2960" spans="4:4">
      <c r="D2960" s="66"/>
    </row>
    <row r="2961" spans="4:4">
      <c r="D2961" s="66"/>
    </row>
    <row r="2962" spans="4:4">
      <c r="D2962" s="66"/>
    </row>
    <row r="2963" spans="4:4">
      <c r="D2963" s="66"/>
    </row>
    <row r="2964" spans="4:4">
      <c r="D2964" s="66"/>
    </row>
    <row r="2965" spans="4:4">
      <c r="D2965" s="66"/>
    </row>
    <row r="2966" spans="4:4">
      <c r="D2966" s="66"/>
    </row>
    <row r="2967" spans="4:4">
      <c r="D2967" s="66"/>
    </row>
    <row r="2968" spans="4:4">
      <c r="D2968" s="66"/>
    </row>
    <row r="2969" spans="4:4">
      <c r="D2969" s="66"/>
    </row>
    <row r="2970" spans="4:4">
      <c r="D2970" s="66"/>
    </row>
    <row r="2971" spans="4:4">
      <c r="D2971" s="66"/>
    </row>
    <row r="2972" spans="4:4">
      <c r="D2972" s="66"/>
    </row>
    <row r="2973" spans="4:4">
      <c r="D2973" s="66"/>
    </row>
    <row r="2974" spans="4:4">
      <c r="D2974" s="66"/>
    </row>
    <row r="2975" spans="4:4">
      <c r="D2975" s="66"/>
    </row>
    <row r="2976" spans="4:4">
      <c r="D2976" s="66"/>
    </row>
    <row r="2977" spans="4:4">
      <c r="D2977" s="66"/>
    </row>
    <row r="2978" spans="4:4">
      <c r="D2978" s="66"/>
    </row>
    <row r="2979" spans="4:4">
      <c r="D2979" s="66"/>
    </row>
    <row r="2980" spans="4:4">
      <c r="D2980" s="66"/>
    </row>
    <row r="2981" spans="4:4">
      <c r="D2981" s="66"/>
    </row>
    <row r="2982" spans="4:4">
      <c r="D2982" s="66"/>
    </row>
    <row r="2983" spans="4:4">
      <c r="D2983" s="66"/>
    </row>
    <row r="2984" spans="4:4">
      <c r="D2984" s="66"/>
    </row>
    <row r="2985" spans="4:4">
      <c r="D2985" s="66"/>
    </row>
    <row r="2986" spans="4:4">
      <c r="D2986" s="66"/>
    </row>
    <row r="2987" spans="4:4">
      <c r="D2987" s="66"/>
    </row>
    <row r="2988" spans="4:4">
      <c r="D2988" s="66"/>
    </row>
    <row r="2989" spans="4:4">
      <c r="D2989" s="66"/>
    </row>
    <row r="2990" spans="4:4">
      <c r="D2990" s="66"/>
    </row>
    <row r="2991" spans="4:4">
      <c r="D2991" s="66"/>
    </row>
    <row r="2992" spans="4:4">
      <c r="D2992" s="66"/>
    </row>
    <row r="2993" spans="4:4">
      <c r="D2993" s="66"/>
    </row>
    <row r="2994" spans="4:4">
      <c r="D2994" s="66"/>
    </row>
    <row r="2995" spans="4:4">
      <c r="D2995" s="66"/>
    </row>
    <row r="2996" spans="4:4">
      <c r="D2996" s="66"/>
    </row>
    <row r="2997" spans="4:4">
      <c r="D2997" s="66"/>
    </row>
    <row r="2998" spans="4:4">
      <c r="D2998" s="66"/>
    </row>
    <row r="2999" spans="4:4">
      <c r="D2999" s="66"/>
    </row>
    <row r="3000" spans="4:4">
      <c r="D3000" s="66"/>
    </row>
    <row r="3001" spans="4:4">
      <c r="D3001" s="66"/>
    </row>
    <row r="3002" spans="4:4">
      <c r="D3002" s="66"/>
    </row>
    <row r="3003" spans="4:4">
      <c r="D3003" s="66"/>
    </row>
    <row r="3004" spans="4:4">
      <c r="D3004" s="66"/>
    </row>
    <row r="3005" spans="4:4">
      <c r="D3005" s="66"/>
    </row>
    <row r="3006" spans="4:4">
      <c r="D3006" s="66"/>
    </row>
    <row r="3007" spans="4:4">
      <c r="D3007" s="66"/>
    </row>
    <row r="3008" spans="4:4">
      <c r="D3008" s="66"/>
    </row>
    <row r="3009" spans="4:4">
      <c r="D3009" s="66"/>
    </row>
    <row r="3010" spans="4:4">
      <c r="D3010" s="66"/>
    </row>
    <row r="3011" spans="4:4">
      <c r="D3011" s="66"/>
    </row>
    <row r="3012" spans="4:4">
      <c r="D3012" s="66"/>
    </row>
    <row r="3013" spans="4:4">
      <c r="D3013" s="66"/>
    </row>
    <row r="3014" spans="4:4">
      <c r="D3014" s="66"/>
    </row>
    <row r="3015" spans="4:4">
      <c r="D3015" s="66"/>
    </row>
    <row r="3016" spans="4:4">
      <c r="D3016" s="66"/>
    </row>
    <row r="3017" spans="4:4">
      <c r="D3017" s="66"/>
    </row>
    <row r="3018" spans="4:4">
      <c r="D3018" s="66"/>
    </row>
    <row r="3019" spans="4:4">
      <c r="D3019" s="66"/>
    </row>
    <row r="3020" spans="4:4">
      <c r="D3020" s="66"/>
    </row>
    <row r="3021" spans="4:4">
      <c r="D3021" s="66"/>
    </row>
    <row r="3022" spans="4:4">
      <c r="D3022" s="66"/>
    </row>
    <row r="3023" spans="4:4">
      <c r="D3023" s="66"/>
    </row>
    <row r="3024" spans="4:4">
      <c r="D3024" s="66"/>
    </row>
    <row r="3025" spans="4:4">
      <c r="D3025" s="66"/>
    </row>
    <row r="3026" spans="4:4">
      <c r="D3026" s="66"/>
    </row>
    <row r="3027" spans="4:4">
      <c r="D3027" s="66"/>
    </row>
    <row r="3028" spans="4:4">
      <c r="D3028" s="66"/>
    </row>
    <row r="3029" spans="4:4">
      <c r="D3029" s="66"/>
    </row>
    <row r="3030" spans="4:4">
      <c r="D3030" s="66"/>
    </row>
    <row r="3031" spans="4:4">
      <c r="D3031" s="66"/>
    </row>
    <row r="3032" spans="4:4">
      <c r="D3032" s="66"/>
    </row>
    <row r="3033" spans="4:4">
      <c r="D3033" s="66"/>
    </row>
    <row r="3034" spans="4:4">
      <c r="D3034" s="66"/>
    </row>
    <row r="3035" spans="4:4">
      <c r="D3035" s="66"/>
    </row>
    <row r="3036" spans="4:4">
      <c r="D3036" s="66"/>
    </row>
    <row r="3037" spans="4:4">
      <c r="D3037" s="66"/>
    </row>
    <row r="3038" spans="4:4">
      <c r="D3038" s="66"/>
    </row>
    <row r="3039" spans="4:4">
      <c r="D3039" s="66"/>
    </row>
    <row r="3040" spans="4:4">
      <c r="D3040" s="66"/>
    </row>
    <row r="3041" spans="4:4">
      <c r="D3041" s="66"/>
    </row>
    <row r="3042" spans="4:4">
      <c r="D3042" s="66"/>
    </row>
    <row r="3043" spans="4:4">
      <c r="D3043" s="66"/>
    </row>
    <row r="3044" spans="4:4">
      <c r="D3044" s="66"/>
    </row>
    <row r="3045" spans="4:4">
      <c r="D3045" s="66"/>
    </row>
    <row r="3046" spans="4:4">
      <c r="D3046" s="66"/>
    </row>
    <row r="3047" spans="4:4">
      <c r="D3047" s="66"/>
    </row>
    <row r="3048" spans="4:4">
      <c r="D3048" s="66"/>
    </row>
    <row r="3049" spans="4:4">
      <c r="D3049" s="66"/>
    </row>
    <row r="3050" spans="4:4">
      <c r="D3050" s="66"/>
    </row>
    <row r="3051" spans="4:4">
      <c r="D3051" s="66"/>
    </row>
    <row r="3052" spans="4:4">
      <c r="D3052" s="66"/>
    </row>
    <row r="3053" spans="4:4">
      <c r="D3053" s="66"/>
    </row>
    <row r="3054" spans="4:4">
      <c r="D3054" s="66"/>
    </row>
    <row r="3055" spans="4:4">
      <c r="D3055" s="66"/>
    </row>
    <row r="3056" spans="4:4">
      <c r="D3056" s="66"/>
    </row>
    <row r="3057" spans="4:4">
      <c r="D3057" s="66"/>
    </row>
    <row r="3058" spans="4:4">
      <c r="D3058" s="66"/>
    </row>
    <row r="3059" spans="4:4">
      <c r="D3059" s="66"/>
    </row>
    <row r="3060" spans="4:4">
      <c r="D3060" s="66"/>
    </row>
    <row r="3061" spans="4:4">
      <c r="D3061" s="66"/>
    </row>
    <row r="3062" spans="4:4">
      <c r="D3062" s="66"/>
    </row>
    <row r="3063" spans="4:4">
      <c r="D3063" s="66"/>
    </row>
    <row r="3064" spans="4:4">
      <c r="D3064" s="66"/>
    </row>
    <row r="3065" spans="4:4">
      <c r="D3065" s="66"/>
    </row>
    <row r="3066" spans="4:4">
      <c r="D3066" s="66"/>
    </row>
    <row r="3067" spans="4:4">
      <c r="D3067" s="66"/>
    </row>
    <row r="3068" spans="4:4">
      <c r="D3068" s="66"/>
    </row>
    <row r="3069" spans="4:4">
      <c r="D3069" s="66"/>
    </row>
    <row r="3070" spans="4:4">
      <c r="D3070" s="66"/>
    </row>
    <row r="3071" spans="4:4">
      <c r="D3071" s="66"/>
    </row>
    <row r="3072" spans="4:4">
      <c r="D3072" s="66"/>
    </row>
    <row r="3073" spans="4:4">
      <c r="D3073" s="66"/>
    </row>
    <row r="3074" spans="4:4">
      <c r="D3074" s="66"/>
    </row>
    <row r="3075" spans="4:4">
      <c r="D3075" s="66"/>
    </row>
    <row r="3076" spans="4:4">
      <c r="D3076" s="66"/>
    </row>
    <row r="3077" spans="4:4">
      <c r="D3077" s="66"/>
    </row>
    <row r="3078" spans="4:4">
      <c r="D3078" s="66"/>
    </row>
    <row r="3079" spans="4:4">
      <c r="D3079" s="66"/>
    </row>
    <row r="3080" spans="4:4">
      <c r="D3080" s="66"/>
    </row>
    <row r="3081" spans="4:4">
      <c r="D3081" s="66"/>
    </row>
    <row r="3082" spans="4:4">
      <c r="D3082" s="66"/>
    </row>
    <row r="3083" spans="4:4">
      <c r="D3083" s="66"/>
    </row>
    <row r="3084" spans="4:4">
      <c r="D3084" s="66"/>
    </row>
    <row r="3085" spans="4:4">
      <c r="D3085" s="66"/>
    </row>
    <row r="3086" spans="4:4">
      <c r="D3086" s="66"/>
    </row>
    <row r="3087" spans="4:4">
      <c r="D3087" s="66"/>
    </row>
    <row r="3088" spans="4:4">
      <c r="D3088" s="66"/>
    </row>
    <row r="3089" spans="4:4">
      <c r="D3089" s="66"/>
    </row>
    <row r="3090" spans="4:4">
      <c r="D3090" s="66"/>
    </row>
    <row r="3091" spans="4:4">
      <c r="D3091" s="66"/>
    </row>
    <row r="3092" spans="4:4">
      <c r="D3092" s="66"/>
    </row>
    <row r="3093" spans="4:4">
      <c r="D3093" s="66"/>
    </row>
    <row r="3094" spans="4:4">
      <c r="D3094" s="66"/>
    </row>
    <row r="3095" spans="4:4">
      <c r="D3095" s="66"/>
    </row>
    <row r="3096" spans="4:4">
      <c r="D3096" s="66"/>
    </row>
    <row r="3097" spans="4:4">
      <c r="D3097" s="66"/>
    </row>
    <row r="3098" spans="4:4">
      <c r="D3098" s="66"/>
    </row>
    <row r="3099" spans="4:4">
      <c r="D3099" s="66"/>
    </row>
    <row r="3100" spans="4:4">
      <c r="D3100" s="66"/>
    </row>
    <row r="3101" spans="4:4">
      <c r="D3101" s="66"/>
    </row>
    <row r="3102" spans="4:4">
      <c r="D3102" s="66"/>
    </row>
    <row r="3103" spans="4:4">
      <c r="D3103" s="66"/>
    </row>
    <row r="3104" spans="4:4">
      <c r="D3104" s="66"/>
    </row>
    <row r="3105" spans="4:4">
      <c r="D3105" s="66"/>
    </row>
    <row r="3106" spans="4:4">
      <c r="D3106" s="66"/>
    </row>
    <row r="3107" spans="4:4">
      <c r="D3107" s="66"/>
    </row>
    <row r="3108" spans="4:4">
      <c r="D3108" s="66"/>
    </row>
    <row r="3109" spans="4:4">
      <c r="D3109" s="66"/>
    </row>
    <row r="3110" spans="4:4">
      <c r="D3110" s="66"/>
    </row>
    <row r="3111" spans="4:4">
      <c r="D3111" s="66"/>
    </row>
    <row r="3112" spans="4:4">
      <c r="D3112" s="66"/>
    </row>
    <row r="3113" spans="4:4">
      <c r="D3113" s="66"/>
    </row>
    <row r="3114" spans="4:4">
      <c r="D3114" s="66"/>
    </row>
    <row r="3115" spans="4:4">
      <c r="D3115" s="66"/>
    </row>
    <row r="3116" spans="4:4">
      <c r="D3116" s="66"/>
    </row>
    <row r="3117" spans="4:4">
      <c r="D3117" s="66"/>
    </row>
    <row r="3118" spans="4:4">
      <c r="D3118" s="66"/>
    </row>
    <row r="3119" spans="4:4">
      <c r="D3119" s="66"/>
    </row>
    <row r="3120" spans="4:4">
      <c r="D3120" s="66"/>
    </row>
    <row r="3121" spans="4:4">
      <c r="D3121" s="66"/>
    </row>
    <row r="3122" spans="4:4">
      <c r="D3122" s="66"/>
    </row>
    <row r="3123" spans="4:4">
      <c r="D3123" s="66"/>
    </row>
    <row r="3124" spans="4:4">
      <c r="D3124" s="66"/>
    </row>
    <row r="3125" spans="4:4">
      <c r="D3125" s="66"/>
    </row>
    <row r="3126" spans="4:4">
      <c r="D3126" s="66"/>
    </row>
    <row r="3127" spans="4:4">
      <c r="D3127" s="66"/>
    </row>
    <row r="3128" spans="4:4">
      <c r="D3128" s="66"/>
    </row>
    <row r="3129" spans="4:4">
      <c r="D3129" s="66"/>
    </row>
    <row r="3130" spans="4:4">
      <c r="D3130" s="66"/>
    </row>
    <row r="3131" spans="4:4">
      <c r="D3131" s="66"/>
    </row>
    <row r="3132" spans="4:4">
      <c r="D3132" s="66"/>
    </row>
    <row r="3133" spans="4:4">
      <c r="D3133" s="66"/>
    </row>
    <row r="3134" spans="4:4">
      <c r="D3134" s="66"/>
    </row>
    <row r="3135" spans="4:4">
      <c r="D3135" s="66"/>
    </row>
    <row r="3136" spans="4:4">
      <c r="D3136" s="66"/>
    </row>
    <row r="3137" spans="4:4">
      <c r="D3137" s="66"/>
    </row>
    <row r="3138" spans="4:4">
      <c r="D3138" s="66"/>
    </row>
    <row r="3139" spans="4:4">
      <c r="D3139" s="66"/>
    </row>
    <row r="3140" spans="4:4">
      <c r="D3140" s="66"/>
    </row>
    <row r="3141" spans="4:4">
      <c r="D3141" s="66"/>
    </row>
    <row r="3142" spans="4:4">
      <c r="D3142" s="66"/>
    </row>
    <row r="3143" spans="4:4">
      <c r="D3143" s="66"/>
    </row>
    <row r="3144" spans="4:4">
      <c r="D3144" s="66"/>
    </row>
    <row r="3145" spans="4:4">
      <c r="D3145" s="66"/>
    </row>
    <row r="3146" spans="4:4">
      <c r="D3146" s="66"/>
    </row>
    <row r="3147" spans="4:4">
      <c r="D3147" s="66"/>
    </row>
    <row r="3148" spans="4:4">
      <c r="D3148" s="66"/>
    </row>
    <row r="3149" spans="4:4">
      <c r="D3149" s="66"/>
    </row>
    <row r="3150" spans="4:4">
      <c r="D3150" s="66"/>
    </row>
    <row r="3151" spans="4:4">
      <c r="D3151" s="66"/>
    </row>
    <row r="3152" spans="4:4">
      <c r="D3152" s="66"/>
    </row>
    <row r="3153" spans="4:4">
      <c r="D3153" s="66"/>
    </row>
    <row r="3154" spans="4:4">
      <c r="D3154" s="66"/>
    </row>
    <row r="3155" spans="4:4">
      <c r="D3155" s="66"/>
    </row>
    <row r="3156" spans="4:4">
      <c r="D3156" s="66"/>
    </row>
    <row r="3157" spans="4:4">
      <c r="D3157" s="66"/>
    </row>
    <row r="3158" spans="4:4">
      <c r="D3158" s="66"/>
    </row>
    <row r="3159" spans="4:4">
      <c r="D3159" s="66"/>
    </row>
    <row r="3160" spans="4:4">
      <c r="D3160" s="66"/>
    </row>
    <row r="3161" spans="4:4">
      <c r="D3161" s="66"/>
    </row>
    <row r="3162" spans="4:4">
      <c r="D3162" s="66"/>
    </row>
    <row r="3163" spans="4:4">
      <c r="D3163" s="66"/>
    </row>
    <row r="3164" spans="4:4">
      <c r="D3164" s="66"/>
    </row>
    <row r="3165" spans="4:4">
      <c r="D3165" s="66"/>
    </row>
    <row r="3166" spans="4:4">
      <c r="D3166" s="66"/>
    </row>
    <row r="3167" spans="4:4">
      <c r="D3167" s="66"/>
    </row>
    <row r="3168" spans="4:4">
      <c r="D3168" s="66"/>
    </row>
    <row r="3169" spans="4:4">
      <c r="D3169" s="66"/>
    </row>
    <row r="3170" spans="4:4">
      <c r="D3170" s="66"/>
    </row>
    <row r="3171" spans="4:4">
      <c r="D3171" s="66"/>
    </row>
    <row r="3172" spans="4:4">
      <c r="D3172" s="66"/>
    </row>
    <row r="3173" spans="4:4">
      <c r="D3173" s="66"/>
    </row>
    <row r="3174" spans="4:4">
      <c r="D3174" s="66"/>
    </row>
    <row r="3175" spans="4:4">
      <c r="D3175" s="66"/>
    </row>
    <row r="3176" spans="4:4">
      <c r="D3176" s="66"/>
    </row>
    <row r="3177" spans="4:4">
      <c r="D3177" s="66"/>
    </row>
    <row r="3178" spans="4:4">
      <c r="D3178" s="66"/>
    </row>
    <row r="3179" spans="4:4">
      <c r="D3179" s="66"/>
    </row>
    <row r="3180" spans="4:4">
      <c r="D3180" s="66"/>
    </row>
    <row r="3181" spans="4:4">
      <c r="D3181" s="66"/>
    </row>
    <row r="3182" spans="4:4">
      <c r="D3182" s="66"/>
    </row>
    <row r="3183" spans="4:4">
      <c r="D3183" s="66"/>
    </row>
    <row r="3184" spans="4:4">
      <c r="D3184" s="66"/>
    </row>
    <row r="3185" spans="4:4">
      <c r="D3185" s="66"/>
    </row>
    <row r="3186" spans="4:4">
      <c r="D3186" s="66"/>
    </row>
    <row r="3187" spans="4:4">
      <c r="D3187" s="66"/>
    </row>
    <row r="3188" spans="4:4">
      <c r="D3188" s="66"/>
    </row>
    <row r="3189" spans="4:4">
      <c r="D3189" s="66"/>
    </row>
    <row r="3190" spans="4:4">
      <c r="D3190" s="66"/>
    </row>
    <row r="3191" spans="4:4">
      <c r="D3191" s="66"/>
    </row>
    <row r="3192" spans="4:4">
      <c r="D3192" s="66"/>
    </row>
    <row r="3193" spans="4:4">
      <c r="D3193" s="66"/>
    </row>
    <row r="3194" spans="4:4">
      <c r="D3194" s="66"/>
    </row>
    <row r="3195" spans="4:4">
      <c r="D3195" s="66"/>
    </row>
    <row r="3196" spans="4:4">
      <c r="D3196" s="66"/>
    </row>
    <row r="3197" spans="4:4">
      <c r="D3197" s="66"/>
    </row>
    <row r="3198" spans="4:4">
      <c r="D3198" s="66"/>
    </row>
    <row r="3199" spans="4:4">
      <c r="D3199" s="66"/>
    </row>
    <row r="3200" spans="4:4">
      <c r="D3200" s="66"/>
    </row>
    <row r="3201" spans="4:4">
      <c r="D3201" s="66"/>
    </row>
    <row r="3202" spans="4:4">
      <c r="D3202" s="66"/>
    </row>
    <row r="3203" spans="4:4">
      <c r="D3203" s="66"/>
    </row>
    <row r="3204" spans="4:4">
      <c r="D3204" s="66"/>
    </row>
    <row r="3205" spans="4:4">
      <c r="D3205" s="66"/>
    </row>
    <row r="3206" spans="4:4">
      <c r="D3206" s="66"/>
    </row>
    <row r="3207" spans="4:4">
      <c r="D3207" s="66"/>
    </row>
    <row r="3208" spans="4:4">
      <c r="D3208" s="66"/>
    </row>
    <row r="3209" spans="4:4">
      <c r="D3209" s="66"/>
    </row>
    <row r="3210" spans="4:4">
      <c r="D3210" s="66"/>
    </row>
    <row r="3211" spans="4:4">
      <c r="D3211" s="66"/>
    </row>
    <row r="3212" spans="4:4">
      <c r="D3212" s="66"/>
    </row>
    <row r="3213" spans="4:4">
      <c r="D3213" s="66"/>
    </row>
    <row r="3214" spans="4:4">
      <c r="D3214" s="66"/>
    </row>
    <row r="3215" spans="4:4">
      <c r="D3215" s="66"/>
    </row>
    <row r="3216" spans="4:4">
      <c r="D3216" s="66"/>
    </row>
    <row r="3217" spans="4:4">
      <c r="D3217" s="66"/>
    </row>
    <row r="3218" spans="4:4">
      <c r="D3218" s="66"/>
    </row>
    <row r="3219" spans="4:4">
      <c r="D3219" s="66"/>
    </row>
    <row r="3220" spans="4:4">
      <c r="D3220" s="66"/>
    </row>
    <row r="3221" spans="4:4">
      <c r="D3221" s="66"/>
    </row>
    <row r="3222" spans="4:4">
      <c r="D3222" s="66"/>
    </row>
    <row r="3223" spans="4:4">
      <c r="D3223" s="66"/>
    </row>
    <row r="3224" spans="4:4">
      <c r="D3224" s="66"/>
    </row>
    <row r="3225" spans="4:4">
      <c r="D3225" s="66"/>
    </row>
    <row r="3226" spans="4:4">
      <c r="D3226" s="66"/>
    </row>
    <row r="3227" spans="4:4">
      <c r="D3227" s="66"/>
    </row>
    <row r="3228" spans="4:4">
      <c r="D3228" s="66"/>
    </row>
    <row r="3229" spans="4:4">
      <c r="D3229" s="66"/>
    </row>
    <row r="3230" spans="4:4">
      <c r="D3230" s="66"/>
    </row>
    <row r="3231" spans="4:4">
      <c r="D3231" s="66"/>
    </row>
    <row r="3232" spans="4:4">
      <c r="D3232" s="66"/>
    </row>
    <row r="3233" spans="4:4">
      <c r="D3233" s="66"/>
    </row>
    <row r="3234" spans="4:4">
      <c r="D3234" s="66"/>
    </row>
    <row r="3235" spans="4:4">
      <c r="D3235" s="66"/>
    </row>
    <row r="3236" spans="4:4">
      <c r="D3236" s="66"/>
    </row>
    <row r="3237" spans="4:4">
      <c r="D3237" s="66"/>
    </row>
    <row r="3238" spans="4:4">
      <c r="D3238" s="66"/>
    </row>
    <row r="3239" spans="4:4">
      <c r="D3239" s="66"/>
    </row>
    <row r="3240" spans="4:4">
      <c r="D3240" s="66"/>
    </row>
    <row r="3241" spans="4:4">
      <c r="D3241" s="66"/>
    </row>
    <row r="3242" spans="4:4">
      <c r="D3242" s="66"/>
    </row>
    <row r="3243" spans="4:4">
      <c r="D3243" s="66"/>
    </row>
    <row r="3244" spans="4:4">
      <c r="D3244" s="66"/>
    </row>
    <row r="3245" spans="4:4">
      <c r="D3245" s="66"/>
    </row>
    <row r="3246" spans="4:4">
      <c r="D3246" s="66"/>
    </row>
    <row r="3247" spans="4:4">
      <c r="D3247" s="66"/>
    </row>
    <row r="3248" spans="4:4">
      <c r="D3248" s="66"/>
    </row>
    <row r="3249" spans="4:4">
      <c r="D3249" s="66"/>
    </row>
    <row r="3250" spans="4:4">
      <c r="D3250" s="66"/>
    </row>
    <row r="3251" spans="4:4">
      <c r="D3251" s="66"/>
    </row>
    <row r="3252" spans="4:4">
      <c r="D3252" s="66"/>
    </row>
    <row r="3253" spans="4:4">
      <c r="D3253" s="66"/>
    </row>
    <row r="3254" spans="4:4">
      <c r="D3254" s="66"/>
    </row>
    <row r="3255" spans="4:4">
      <c r="D3255" s="66"/>
    </row>
    <row r="3256" spans="4:4">
      <c r="D3256" s="66"/>
    </row>
    <row r="3257" spans="4:4">
      <c r="D3257" s="66"/>
    </row>
    <row r="3258" spans="4:4">
      <c r="D3258" s="66"/>
    </row>
    <row r="3259" spans="4:4">
      <c r="D3259" s="66"/>
    </row>
    <row r="3260" spans="4:4">
      <c r="D3260" s="66"/>
    </row>
    <row r="3261" spans="4:4">
      <c r="D3261" s="66"/>
    </row>
    <row r="3262" spans="4:4">
      <c r="D3262" s="66"/>
    </row>
    <row r="3263" spans="4:4">
      <c r="D3263" s="66"/>
    </row>
    <row r="3264" spans="4:4">
      <c r="D3264" s="66"/>
    </row>
    <row r="3265" spans="4:4">
      <c r="D3265" s="66"/>
    </row>
    <row r="3266" spans="4:4">
      <c r="D3266" s="66"/>
    </row>
    <row r="3267" spans="4:4">
      <c r="D3267" s="66"/>
    </row>
    <row r="3268" spans="4:4">
      <c r="D3268" s="66"/>
    </row>
    <row r="3269" spans="4:4">
      <c r="D3269" s="66"/>
    </row>
    <row r="3270" spans="4:4">
      <c r="D3270" s="66"/>
    </row>
    <row r="3271" spans="4:4">
      <c r="D3271" s="66"/>
    </row>
    <row r="3272" spans="4:4">
      <c r="D3272" s="66"/>
    </row>
    <row r="3273" spans="4:4">
      <c r="D3273" s="66"/>
    </row>
    <row r="3274" spans="4:4">
      <c r="D3274" s="66"/>
    </row>
    <row r="3275" spans="4:4">
      <c r="D3275" s="66"/>
    </row>
    <row r="3276" spans="4:4">
      <c r="D3276" s="66"/>
    </row>
    <row r="3277" spans="4:4">
      <c r="D3277" s="66"/>
    </row>
    <row r="3278" spans="4:4">
      <c r="D3278" s="66"/>
    </row>
    <row r="3279" spans="4:4">
      <c r="D3279" s="66"/>
    </row>
    <row r="3280" spans="4:4">
      <c r="D3280" s="66"/>
    </row>
    <row r="3281" spans="4:4">
      <c r="D3281" s="66"/>
    </row>
    <row r="3282" spans="4:4">
      <c r="D3282" s="66"/>
    </row>
    <row r="3283" spans="4:4">
      <c r="D3283" s="66"/>
    </row>
    <row r="3284" spans="4:4">
      <c r="D3284" s="66"/>
    </row>
    <row r="3285" spans="4:4">
      <c r="D3285" s="66"/>
    </row>
    <row r="3286" spans="4:4">
      <c r="D3286" s="66"/>
    </row>
    <row r="3287" spans="4:4">
      <c r="D3287" s="66"/>
    </row>
    <row r="3288" spans="4:4">
      <c r="D3288" s="66"/>
    </row>
    <row r="3289" spans="4:4">
      <c r="D3289" s="66"/>
    </row>
    <row r="3290" spans="4:4">
      <c r="D3290" s="66"/>
    </row>
    <row r="3291" spans="4:4">
      <c r="D3291" s="66"/>
    </row>
    <row r="3292" spans="4:4">
      <c r="D3292" s="66"/>
    </row>
    <row r="3293" spans="4:4">
      <c r="D3293" s="66"/>
    </row>
    <row r="3294" spans="4:4">
      <c r="D3294" s="66"/>
    </row>
    <row r="3295" spans="4:4">
      <c r="D3295" s="66"/>
    </row>
    <row r="3296" spans="4:4">
      <c r="D3296" s="66"/>
    </row>
    <row r="3297" spans="4:4">
      <c r="D3297" s="66"/>
    </row>
    <row r="3298" spans="4:4">
      <c r="D3298" s="66"/>
    </row>
    <row r="3299" spans="4:4">
      <c r="D3299" s="66"/>
    </row>
    <row r="3300" spans="4:4">
      <c r="D3300" s="66"/>
    </row>
    <row r="3301" spans="4:4">
      <c r="D3301" s="66"/>
    </row>
    <row r="3302" spans="4:4">
      <c r="D3302" s="66"/>
    </row>
    <row r="3303" spans="4:4">
      <c r="D3303" s="66"/>
    </row>
    <row r="3304" spans="4:4">
      <c r="D3304" s="66"/>
    </row>
    <row r="3305" spans="4:4">
      <c r="D3305" s="66"/>
    </row>
    <row r="3306" spans="4:4">
      <c r="D3306" s="66"/>
    </row>
    <row r="3307" spans="4:4">
      <c r="D3307" s="66"/>
    </row>
    <row r="3308" spans="4:4">
      <c r="D3308" s="66"/>
    </row>
    <row r="3309" spans="4:4">
      <c r="D3309" s="66"/>
    </row>
    <row r="3310" spans="4:4">
      <c r="D3310" s="66"/>
    </row>
    <row r="3311" spans="4:4">
      <c r="D3311" s="66"/>
    </row>
    <row r="3312" spans="4:4">
      <c r="D3312" s="66"/>
    </row>
    <row r="3313" spans="4:4">
      <c r="D3313" s="66"/>
    </row>
    <row r="3314" spans="4:4">
      <c r="D3314" s="66"/>
    </row>
    <row r="3315" spans="4:4">
      <c r="D3315" s="66"/>
    </row>
    <row r="3316" spans="4:4">
      <c r="D3316" s="66"/>
    </row>
    <row r="3317" spans="4:4">
      <c r="D3317" s="66"/>
    </row>
    <row r="3318" spans="4:4">
      <c r="D3318" s="66"/>
    </row>
    <row r="3319" spans="4:4">
      <c r="D3319" s="66"/>
    </row>
    <row r="3320" spans="4:4">
      <c r="D3320" s="66"/>
    </row>
    <row r="3321" spans="4:4">
      <c r="D3321" s="66"/>
    </row>
    <row r="3322" spans="4:4">
      <c r="D3322" s="66"/>
    </row>
    <row r="3323" spans="4:4">
      <c r="D3323" s="66"/>
    </row>
    <row r="3324" spans="4:4">
      <c r="D3324" s="66"/>
    </row>
    <row r="3325" spans="4:4">
      <c r="D3325" s="66"/>
    </row>
    <row r="3326" spans="4:4">
      <c r="D3326" s="66"/>
    </row>
    <row r="3327" spans="4:4">
      <c r="D3327" s="66"/>
    </row>
    <row r="3328" spans="4:4">
      <c r="D3328" s="66"/>
    </row>
    <row r="3329" spans="4:4">
      <c r="D3329" s="66"/>
    </row>
    <row r="3330" spans="4:4">
      <c r="D3330" s="66"/>
    </row>
  </sheetData>
  <autoFilter ref="A3:AA457" xr:uid="{00000000-0009-0000-0000-00000F000000}"/>
  <sortState ref="B4:B34">
    <sortCondition ref="B3"/>
  </sortState>
  <pageMargins left="0.7" right="0.7" top="0.75" bottom="0.75" header="0.3" footer="0.3"/>
  <pageSetup orientation="portrait" r:id="rId1"/>
  <drawing r:id="rId2"/>
  <legacyDrawing r:id="rId3"/>
  <tableParts count="1">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57CEB4-808C-4796-82B2-E30F43D7DF6A}">
  <dimension ref="A1:C10"/>
  <sheetViews>
    <sheetView workbookViewId="0">
      <selection activeCell="C5" sqref="C5"/>
    </sheetView>
  </sheetViews>
  <sheetFormatPr defaultRowHeight="15.75"/>
  <cols>
    <col min="1" max="1" width="12.75" bestFit="1" customWidth="1"/>
    <col min="2" max="2" width="17.5" bestFit="1" customWidth="1"/>
    <col min="3" max="3" width="15.875" bestFit="1" customWidth="1"/>
  </cols>
  <sheetData>
    <row r="1" spans="1:3">
      <c r="A1" s="538" t="s">
        <v>22</v>
      </c>
      <c r="B1" s="530" t="s">
        <v>2706</v>
      </c>
    </row>
    <row r="2" spans="1:3">
      <c r="A2" s="538" t="s">
        <v>128</v>
      </c>
      <c r="B2" s="530" t="s">
        <v>44</v>
      </c>
    </row>
    <row r="4" spans="1:3">
      <c r="A4" s="538" t="s">
        <v>1628</v>
      </c>
      <c r="B4" s="530" t="s">
        <v>1889</v>
      </c>
      <c r="C4" s="530" t="s">
        <v>2882</v>
      </c>
    </row>
    <row r="5" spans="1:3">
      <c r="A5" s="529" t="s">
        <v>361</v>
      </c>
      <c r="B5" s="528">
        <v>3</v>
      </c>
      <c r="C5" s="528">
        <v>2924</v>
      </c>
    </row>
    <row r="6" spans="1:3">
      <c r="A6" s="529" t="s">
        <v>306</v>
      </c>
      <c r="B6" s="528">
        <v>3</v>
      </c>
      <c r="C6" s="528">
        <v>1743</v>
      </c>
    </row>
    <row r="7" spans="1:3">
      <c r="A7" s="529" t="s">
        <v>403</v>
      </c>
      <c r="B7" s="528">
        <v>3</v>
      </c>
      <c r="C7" s="528">
        <v>8760</v>
      </c>
    </row>
    <row r="8" spans="1:3">
      <c r="A8" s="529" t="s">
        <v>406</v>
      </c>
      <c r="B8" s="528">
        <v>15</v>
      </c>
      <c r="C8" s="528">
        <v>68391</v>
      </c>
    </row>
    <row r="9" spans="1:3">
      <c r="A9" s="529" t="s">
        <v>299</v>
      </c>
      <c r="B9" s="528">
        <v>51</v>
      </c>
      <c r="C9" s="528">
        <v>276890</v>
      </c>
    </row>
    <row r="10" spans="1:3">
      <c r="A10" s="529" t="s">
        <v>1630</v>
      </c>
      <c r="B10" s="528">
        <v>75</v>
      </c>
      <c r="C10" s="528">
        <v>358708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898C"/>
  </sheetPr>
  <dimension ref="A1:DV81"/>
  <sheetViews>
    <sheetView zoomScale="95" zoomScaleNormal="95" zoomScaleSheetLayoutView="40" workbookViewId="0">
      <pane xSplit="8" ySplit="6" topLeftCell="CU60" activePane="bottomRight" state="frozen"/>
      <selection pane="topRight" activeCell="I1" sqref="I1"/>
      <selection pane="bottomLeft" activeCell="A7" sqref="A7"/>
      <selection pane="bottomRight" activeCell="H69" sqref="H69"/>
    </sheetView>
  </sheetViews>
  <sheetFormatPr defaultColWidth="9" defaultRowHeight="15.75" outlineLevelCol="1"/>
  <cols>
    <col min="1" max="1" width="9.125" style="34" customWidth="1"/>
    <col min="2" max="2" width="11.375" style="34" customWidth="1"/>
    <col min="3" max="3" width="10.375" style="20" customWidth="1"/>
    <col min="4" max="4" width="10.75" style="20" customWidth="1"/>
    <col min="5" max="5" width="12.625" style="20" customWidth="1"/>
    <col min="6" max="6" width="10.125" style="20" customWidth="1"/>
    <col min="7" max="7" width="9" style="20" customWidth="1"/>
    <col min="8" max="8" width="33.25" style="20" customWidth="1"/>
    <col min="9" max="9" width="7.75" style="20" customWidth="1"/>
    <col min="10" max="10" width="8.5" style="39" customWidth="1"/>
    <col min="11" max="11" width="14.875" style="20" customWidth="1"/>
    <col min="12" max="12" width="17.75" customWidth="1"/>
    <col min="13" max="13" width="12.125" customWidth="1"/>
    <col min="14" max="14" width="18.875" customWidth="1"/>
    <col min="15" max="15" width="17.25" style="35" customWidth="1"/>
    <col min="16" max="16" width="15.25" style="33" customWidth="1"/>
    <col min="17" max="17" width="16.625" style="33" customWidth="1"/>
    <col min="18" max="18" width="10.875" customWidth="1"/>
    <col min="19" max="21" width="16.5" customWidth="1"/>
    <col min="22" max="22" width="16.75" style="31" customWidth="1"/>
    <col min="23" max="24" width="13.125" style="31" customWidth="1"/>
    <col min="25" max="25" width="14.625" style="31" customWidth="1"/>
    <col min="26" max="30" width="13.125" style="31" customWidth="1"/>
    <col min="31" max="31" width="20.125" style="31" customWidth="1"/>
    <col min="32" max="32" width="16.5" style="20" customWidth="1"/>
    <col min="33" max="33" width="14.875" style="32" customWidth="1"/>
    <col min="34" max="34" width="13.25" style="32" customWidth="1"/>
    <col min="35" max="35" width="14.75" style="33" customWidth="1"/>
    <col min="36" max="36" width="13.125" style="33" customWidth="1"/>
    <col min="37" max="38" width="17.625" style="20" customWidth="1"/>
    <col min="39" max="40" width="17.625" style="33" customWidth="1"/>
    <col min="41" max="41" width="13.125" style="33" customWidth="1"/>
    <col min="42" max="42" width="15.625" style="33" customWidth="1"/>
    <col min="43" max="43" width="13.125" style="33" customWidth="1"/>
    <col min="44" max="44" width="16.875" style="36" customWidth="1"/>
    <col min="45" max="45" width="21.75" style="36" customWidth="1"/>
    <col min="46" max="46" width="12.375" style="36" customWidth="1"/>
    <col min="47" max="55" width="13.125" style="36" customWidth="1"/>
    <col min="56" max="56" width="26.75" customWidth="1"/>
    <col min="57" max="57" width="15.75" style="36" customWidth="1"/>
    <col min="58" max="58" width="16.75" style="36" customWidth="1"/>
    <col min="59" max="59" width="15.375" style="36" customWidth="1"/>
    <col min="60" max="61" width="13.125" style="36" customWidth="1"/>
    <col min="62" max="62" width="19.875" style="36" customWidth="1"/>
    <col min="63" max="63" width="16.875" style="36" customWidth="1"/>
    <col min="64" max="64" width="15.625" style="36" customWidth="1"/>
    <col min="65" max="66" width="13.125" style="36" hidden="1" customWidth="1" outlineLevel="1"/>
    <col min="67" max="67" width="11.125" style="36" hidden="1" customWidth="1" outlineLevel="1"/>
    <col min="68" max="68" width="15.5" hidden="1" customWidth="1" outlineLevel="1"/>
    <col min="69" max="69" width="20.375" style="33" hidden="1" customWidth="1" outlineLevel="1"/>
    <col min="70" max="70" width="20.625" style="33" hidden="1" customWidth="1" outlineLevel="1"/>
    <col min="71" max="71" width="17.125" style="33" hidden="1" customWidth="1" outlineLevel="1"/>
    <col min="72" max="72" width="13" style="33" hidden="1" customWidth="1" outlineLevel="1"/>
    <col min="73" max="73" width="15.75" style="31" customWidth="1" outlineLevel="1"/>
    <col min="74" max="74" width="13.25" style="31" hidden="1" customWidth="1" outlineLevel="1"/>
    <col min="75" max="75" width="18.875" style="31" customWidth="1" outlineLevel="1"/>
    <col min="76" max="76" width="13.125" style="33" customWidth="1" outlineLevel="1"/>
    <col min="77" max="77" width="14" style="31" customWidth="1" outlineLevel="1"/>
    <col min="78" max="78" width="15.5" style="31" customWidth="1" outlineLevel="1"/>
    <col min="79" max="79" width="18.375" style="33" customWidth="1" outlineLevel="1"/>
    <col min="80" max="80" width="18.25" style="33" customWidth="1" outlineLevel="1"/>
    <col min="81" max="81" width="15.625" style="33" customWidth="1" outlineLevel="1"/>
    <col min="82" max="82" width="12.75" style="33" customWidth="1" outlineLevel="1"/>
    <col min="83" max="83" width="19.25" style="33" customWidth="1" outlineLevel="1"/>
    <col min="84" max="84" width="9" customWidth="1" outlineLevel="1"/>
    <col min="85" max="85" width="12.125" style="32" customWidth="1" outlineLevel="1"/>
    <col min="86" max="86" width="15.25" style="33" customWidth="1" outlineLevel="1"/>
    <col min="87" max="87" width="18" customWidth="1" outlineLevel="1"/>
    <col min="88" max="88" width="16.375" style="33" customWidth="1" outlineLevel="1"/>
    <col min="89" max="89" width="13.25" style="33" customWidth="1" outlineLevel="1"/>
    <col min="90" max="90" width="12" style="33" customWidth="1" outlineLevel="1"/>
    <col min="91" max="91" width="15.5" style="33" hidden="1" customWidth="1" outlineLevel="1"/>
    <col min="92" max="92" width="23.125" style="33" customWidth="1" outlineLevel="1"/>
    <col min="93" max="93" width="14.25" style="33" customWidth="1" outlineLevel="1"/>
    <col min="94" max="94" width="11.875" style="33" customWidth="1" outlineLevel="1"/>
    <col min="95" max="95" width="17.875" customWidth="1" outlineLevel="1"/>
    <col min="96" max="96" width="17.875" style="530" customWidth="1" outlineLevel="1"/>
    <col min="97" max="98" width="16.375" style="414" customWidth="1"/>
    <col min="99" max="102" width="12" style="33" customWidth="1"/>
    <col min="103" max="103" width="11.75" customWidth="1"/>
    <col min="104" max="104" width="13.75" style="33" customWidth="1"/>
    <col min="105" max="105" width="24.375" style="33" customWidth="1"/>
    <col min="106" max="108" width="16.625" style="33" customWidth="1"/>
    <col min="109" max="109" width="22.75" style="36" customWidth="1"/>
    <col min="110" max="111" width="12" style="31" customWidth="1"/>
    <col min="112" max="113" width="12" style="33" customWidth="1"/>
    <col min="115" max="115" width="15.375" style="33" customWidth="1"/>
    <col min="116" max="116" width="10.125" style="37" customWidth="1"/>
    <col min="117" max="117" width="12" style="37" customWidth="1"/>
    <col min="118" max="118" width="21.125" style="38" bestFit="1" customWidth="1"/>
    <col min="119" max="119" width="11.25" style="38" customWidth="1"/>
    <col min="120" max="120" width="13.75" style="38" customWidth="1"/>
    <col min="121" max="121" width="24.875" style="38" customWidth="1"/>
    <col min="122" max="122" width="9.125" style="38" customWidth="1"/>
    <col min="123" max="123" width="10.625" style="38" customWidth="1"/>
    <col min="124" max="124" width="15.375" style="38" customWidth="1"/>
    <col min="125" max="125" width="9.5" style="38" customWidth="1"/>
    <col min="126" max="126" width="14.5" style="38" customWidth="1"/>
    <col min="127" max="127" width="9" style="20" customWidth="1"/>
    <col min="128" max="16384" width="9" style="20"/>
  </cols>
  <sheetData>
    <row r="1" spans="1:126" s="19" customFormat="1" ht="16.5" hidden="1" customHeight="1" thickBot="1">
      <c r="A1" s="252"/>
      <c r="B1" s="258" t="s">
        <v>2385</v>
      </c>
      <c r="C1" s="258"/>
      <c r="D1" s="258"/>
      <c r="E1" s="256" t="s">
        <v>2383</v>
      </c>
      <c r="F1" s="247"/>
      <c r="G1" s="247"/>
      <c r="H1" s="247"/>
      <c r="I1" s="247"/>
      <c r="J1" s="247"/>
      <c r="K1" s="956" t="s">
        <v>2384</v>
      </c>
      <c r="L1" s="957"/>
      <c r="M1" s="72"/>
      <c r="N1" s="72"/>
      <c r="O1" s="72"/>
      <c r="P1" s="72"/>
      <c r="Q1" s="72"/>
      <c r="R1" s="72"/>
      <c r="S1" s="72"/>
      <c r="T1" s="253" t="s">
        <v>2002</v>
      </c>
      <c r="U1" s="253"/>
      <c r="V1" s="253"/>
      <c r="W1" s="253"/>
      <c r="X1" s="253"/>
      <c r="Y1" s="253"/>
      <c r="Z1" s="253"/>
      <c r="AA1" s="253"/>
      <c r="AB1" s="253"/>
      <c r="AC1" s="253"/>
      <c r="AD1" s="253"/>
      <c r="AE1" s="253"/>
      <c r="AF1" s="254" t="s">
        <v>2003</v>
      </c>
      <c r="AG1" s="254"/>
      <c r="AH1" s="254"/>
      <c r="AI1" s="254"/>
      <c r="AJ1" s="254"/>
      <c r="AK1" s="254"/>
      <c r="AL1" s="254"/>
      <c r="AM1" s="254"/>
      <c r="AN1" s="254"/>
      <c r="AO1" s="254"/>
      <c r="AP1" s="254"/>
      <c r="AQ1" s="254"/>
      <c r="AR1" s="254"/>
      <c r="AS1" s="254"/>
      <c r="AT1" s="255" t="s">
        <v>2004</v>
      </c>
      <c r="AU1" s="255"/>
      <c r="AV1" s="255"/>
      <c r="AW1" s="255"/>
      <c r="AX1" s="255"/>
      <c r="AY1" s="255"/>
      <c r="AZ1" s="255"/>
      <c r="BA1" s="255"/>
      <c r="BB1" s="255"/>
      <c r="BC1" s="255"/>
      <c r="BD1" s="255"/>
      <c r="BE1" s="333"/>
      <c r="BF1" s="333"/>
      <c r="BG1" s="333"/>
      <c r="BH1" s="333"/>
      <c r="BI1" s="333"/>
      <c r="BJ1" s="333"/>
      <c r="BK1" s="333"/>
      <c r="BL1" s="333"/>
      <c r="BM1" s="73" t="s">
        <v>114</v>
      </c>
      <c r="BN1" s="73"/>
      <c r="BO1" s="73"/>
      <c r="BP1" s="73"/>
      <c r="BQ1" s="75"/>
      <c r="BR1" s="73"/>
      <c r="BS1" s="73"/>
      <c r="BT1" s="73"/>
      <c r="BU1" s="75"/>
      <c r="BV1" s="75"/>
      <c r="BW1" s="73"/>
      <c r="BX1" s="73"/>
      <c r="BY1" s="73"/>
      <c r="BZ1" s="73"/>
      <c r="CA1" s="73"/>
      <c r="CB1" s="75"/>
      <c r="CC1" s="75"/>
      <c r="CD1" s="73"/>
      <c r="CE1" s="73"/>
      <c r="CF1" s="73"/>
      <c r="CG1" s="73"/>
      <c r="CH1" s="75"/>
      <c r="CI1" s="75"/>
      <c r="CJ1" s="75"/>
      <c r="CK1" s="75"/>
      <c r="CL1" s="75"/>
      <c r="CM1" s="73"/>
      <c r="CN1" s="73"/>
      <c r="CO1" s="73"/>
      <c r="CP1" s="73"/>
      <c r="CQ1" s="73"/>
      <c r="CR1" s="73"/>
      <c r="CS1" s="161"/>
      <c r="CT1" s="161"/>
      <c r="CU1" s="162"/>
      <c r="CV1" s="162"/>
      <c r="CW1" s="162"/>
      <c r="CX1" s="162"/>
      <c r="CY1" s="162"/>
      <c r="CZ1" s="162"/>
      <c r="DA1" s="162"/>
      <c r="DB1" s="162"/>
      <c r="DC1" s="162"/>
      <c r="DD1" s="162"/>
      <c r="DE1" s="162"/>
    </row>
    <row r="2" spans="1:126" s="633" customFormat="1" ht="21" hidden="1" customHeight="1" thickBot="1">
      <c r="A2" s="246" t="s">
        <v>0</v>
      </c>
      <c r="B2" s="257" t="s">
        <v>1</v>
      </c>
      <c r="C2" s="257" t="s">
        <v>2</v>
      </c>
      <c r="D2" s="257" t="s">
        <v>3</v>
      </c>
      <c r="E2" s="247" t="s">
        <v>4</v>
      </c>
      <c r="F2" s="247" t="s">
        <v>1154</v>
      </c>
      <c r="G2" s="247" t="s">
        <v>5</v>
      </c>
      <c r="H2" s="247" t="s">
        <v>6</v>
      </c>
      <c r="I2" s="247" t="s">
        <v>51</v>
      </c>
      <c r="J2" s="247" t="s">
        <v>52</v>
      </c>
      <c r="K2" s="245" t="s">
        <v>55</v>
      </c>
      <c r="L2" s="245" t="s">
        <v>57</v>
      </c>
      <c r="M2" s="246" t="s">
        <v>59</v>
      </c>
      <c r="N2" s="246" t="s">
        <v>115</v>
      </c>
      <c r="O2" s="246" t="s">
        <v>116</v>
      </c>
      <c r="P2" s="246" t="s">
        <v>61</v>
      </c>
      <c r="Q2" s="246" t="s">
        <v>60</v>
      </c>
      <c r="R2" s="246" t="s">
        <v>62</v>
      </c>
      <c r="S2" s="246" t="s">
        <v>1155</v>
      </c>
      <c r="T2" s="625" t="s">
        <v>64</v>
      </c>
      <c r="U2" s="625" t="s">
        <v>65</v>
      </c>
      <c r="V2" s="625" t="s">
        <v>66</v>
      </c>
      <c r="W2" s="625" t="s">
        <v>67</v>
      </c>
      <c r="X2" s="625" t="s">
        <v>1156</v>
      </c>
      <c r="Y2" s="625" t="s">
        <v>68</v>
      </c>
      <c r="Z2" s="625" t="s">
        <v>69</v>
      </c>
      <c r="AA2" s="625" t="s">
        <v>70</v>
      </c>
      <c r="AB2" s="625" t="s">
        <v>71</v>
      </c>
      <c r="AC2" s="625" t="s">
        <v>1290</v>
      </c>
      <c r="AD2" s="625" t="s">
        <v>1291</v>
      </c>
      <c r="AE2" s="625" t="s">
        <v>1292</v>
      </c>
      <c r="AF2" s="620" t="s">
        <v>1293</v>
      </c>
      <c r="AG2" s="620" t="s">
        <v>1294</v>
      </c>
      <c r="AH2" s="620" t="s">
        <v>1295</v>
      </c>
      <c r="AI2" s="620" t="s">
        <v>1296</v>
      </c>
      <c r="AJ2" s="620" t="s">
        <v>1297</v>
      </c>
      <c r="AK2" s="620" t="s">
        <v>1298</v>
      </c>
      <c r="AL2" s="620" t="s">
        <v>1299</v>
      </c>
      <c r="AM2" s="620" t="s">
        <v>1987</v>
      </c>
      <c r="AN2" s="620" t="s">
        <v>1989</v>
      </c>
      <c r="AO2" s="620" t="s">
        <v>2235</v>
      </c>
      <c r="AP2" s="620" t="s">
        <v>2345</v>
      </c>
      <c r="AQ2" s="620" t="s">
        <v>2346</v>
      </c>
      <c r="AR2" s="620" t="s">
        <v>2347</v>
      </c>
      <c r="AS2" s="620" t="s">
        <v>2348</v>
      </c>
      <c r="AT2" s="621" t="s">
        <v>2350</v>
      </c>
      <c r="AU2" s="621" t="s">
        <v>2351</v>
      </c>
      <c r="AV2" s="621" t="s">
        <v>2352</v>
      </c>
      <c r="AW2" s="621" t="s">
        <v>2353</v>
      </c>
      <c r="AX2" s="621" t="s">
        <v>2354</v>
      </c>
      <c r="AY2" s="621" t="s">
        <v>2355</v>
      </c>
      <c r="AZ2" s="621" t="s">
        <v>2356</v>
      </c>
      <c r="BA2" s="621" t="s">
        <v>2357</v>
      </c>
      <c r="BB2" s="621" t="s">
        <v>2358</v>
      </c>
      <c r="BC2" s="621" t="s">
        <v>2359</v>
      </c>
      <c r="BD2" s="621" t="s">
        <v>2360</v>
      </c>
      <c r="BE2" s="622" t="s">
        <v>2361</v>
      </c>
      <c r="BF2" s="622" t="s">
        <v>2365</v>
      </c>
      <c r="BG2" s="622" t="s">
        <v>2366</v>
      </c>
      <c r="BH2" s="622" t="s">
        <v>2368</v>
      </c>
      <c r="BI2" s="623" t="s">
        <v>2370</v>
      </c>
      <c r="BJ2" s="624" t="s">
        <v>2371</v>
      </c>
      <c r="BK2" s="624" t="s">
        <v>2372</v>
      </c>
      <c r="BL2" s="624" t="s">
        <v>2472</v>
      </c>
      <c r="BM2" s="958" t="s">
        <v>2041</v>
      </c>
      <c r="BN2" s="959"/>
      <c r="BO2" s="960"/>
      <c r="BP2" s="962"/>
      <c r="BQ2" s="964" t="s">
        <v>2531</v>
      </c>
      <c r="BR2" s="965" t="s">
        <v>2042</v>
      </c>
      <c r="BS2" s="966"/>
      <c r="BT2" s="952"/>
      <c r="BU2" s="952" t="s">
        <v>76</v>
      </c>
      <c r="BV2" s="977"/>
      <c r="BW2" s="980" t="s">
        <v>2536</v>
      </c>
      <c r="BX2" s="981"/>
      <c r="BY2" s="984" t="s">
        <v>2535</v>
      </c>
      <c r="BZ2" s="985"/>
      <c r="CA2" s="595"/>
      <c r="CB2" s="979" t="s">
        <v>2539</v>
      </c>
      <c r="CC2" s="979"/>
      <c r="CD2" s="972"/>
      <c r="CE2" s="973" t="s">
        <v>1940</v>
      </c>
      <c r="CF2" s="974"/>
      <c r="CG2" s="971"/>
      <c r="CH2" s="626" t="s">
        <v>1884</v>
      </c>
      <c r="CI2" s="627"/>
      <c r="CJ2" s="627"/>
      <c r="CK2" s="627"/>
      <c r="CL2" s="627"/>
      <c r="CM2" s="628"/>
      <c r="CN2" s="629" t="s">
        <v>1940</v>
      </c>
      <c r="CO2" s="630"/>
      <c r="CP2" s="627"/>
      <c r="CQ2" s="627"/>
      <c r="CR2" s="896"/>
      <c r="CS2" s="631" t="s">
        <v>7</v>
      </c>
      <c r="CT2" s="632" t="s">
        <v>8</v>
      </c>
      <c r="CU2" s="632" t="s">
        <v>9</v>
      </c>
      <c r="CV2" s="632" t="s">
        <v>10</v>
      </c>
      <c r="CW2" s="632" t="s">
        <v>11</v>
      </c>
      <c r="CX2" s="632" t="s">
        <v>12</v>
      </c>
      <c r="CY2" s="632" t="s">
        <v>13</v>
      </c>
      <c r="CZ2" s="632" t="s">
        <v>14</v>
      </c>
      <c r="DA2" s="632" t="s">
        <v>15</v>
      </c>
      <c r="DB2" s="632"/>
      <c r="DC2" s="632"/>
      <c r="DD2" s="632"/>
      <c r="DE2" s="632"/>
    </row>
    <row r="3" spans="1:126" s="281" customFormat="1" ht="90.75" hidden="1" customHeight="1" thickBot="1">
      <c r="A3" s="339" t="s">
        <v>2392</v>
      </c>
      <c r="B3" s="340" t="s">
        <v>2393</v>
      </c>
      <c r="C3" s="340" t="s">
        <v>2394</v>
      </c>
      <c r="D3" s="340" t="s">
        <v>2395</v>
      </c>
      <c r="E3" s="341" t="s">
        <v>2396</v>
      </c>
      <c r="F3" s="341" t="s">
        <v>2397</v>
      </c>
      <c r="G3" s="341" t="s">
        <v>2398</v>
      </c>
      <c r="H3" s="341" t="s">
        <v>2399</v>
      </c>
      <c r="I3" s="341" t="s">
        <v>2441</v>
      </c>
      <c r="J3" s="341" t="s">
        <v>2440</v>
      </c>
      <c r="K3" s="342" t="s">
        <v>2400</v>
      </c>
      <c r="L3" s="342" t="s">
        <v>2401</v>
      </c>
      <c r="M3" s="339" t="s">
        <v>2503</v>
      </c>
      <c r="N3" s="339" t="s">
        <v>1991</v>
      </c>
      <c r="O3" s="339" t="s">
        <v>2403</v>
      </c>
      <c r="P3" s="339" t="s">
        <v>2405</v>
      </c>
      <c r="Q3" s="339" t="s">
        <v>2407</v>
      </c>
      <c r="R3" s="339" t="s">
        <v>2408</v>
      </c>
      <c r="S3" s="343" t="s">
        <v>2409</v>
      </c>
      <c r="T3" s="344"/>
      <c r="U3" s="344"/>
      <c r="V3" s="344"/>
      <c r="W3" s="344"/>
      <c r="X3" s="344"/>
      <c r="Y3" s="344"/>
      <c r="Z3" s="344"/>
      <c r="AA3" s="344"/>
      <c r="AB3" s="344"/>
      <c r="AC3" s="344"/>
      <c r="AD3" s="344"/>
      <c r="AE3" s="344"/>
      <c r="AF3" s="345"/>
      <c r="AG3" s="345"/>
      <c r="AH3" s="345"/>
      <c r="AI3" s="345"/>
      <c r="AJ3" s="346"/>
      <c r="AK3" s="347"/>
      <c r="AL3" s="340"/>
      <c r="AM3" s="348"/>
      <c r="AN3" s="349"/>
      <c r="AO3" s="349"/>
      <c r="AP3" s="349"/>
      <c r="AQ3" s="349"/>
      <c r="AR3" s="349"/>
      <c r="AS3" s="349"/>
      <c r="AT3" s="350"/>
      <c r="AU3" s="350"/>
      <c r="AV3" s="350"/>
      <c r="AW3" s="351"/>
      <c r="AX3" s="350"/>
      <c r="AY3" s="350"/>
      <c r="AZ3" s="352"/>
      <c r="BA3" s="350"/>
      <c r="BB3" s="350"/>
      <c r="BC3" s="352"/>
      <c r="BD3" s="352"/>
      <c r="BE3" s="352"/>
      <c r="BF3" s="352"/>
      <c r="BG3" s="352"/>
      <c r="BH3" s="352"/>
      <c r="BI3" s="352"/>
      <c r="BJ3" s="352"/>
      <c r="BK3" s="352"/>
      <c r="BL3" s="352"/>
      <c r="BM3" s="961"/>
      <c r="BN3" s="962"/>
      <c r="BO3" s="963"/>
      <c r="BP3" s="962"/>
      <c r="BQ3" s="964"/>
      <c r="BR3" s="967"/>
      <c r="BS3" s="968"/>
      <c r="BT3" s="952"/>
      <c r="BU3" s="952" t="s">
        <v>76</v>
      </c>
      <c r="BV3" s="978"/>
      <c r="BW3" s="982"/>
      <c r="BX3" s="983"/>
      <c r="BY3" s="684"/>
      <c r="BZ3" s="685"/>
      <c r="CA3" s="464"/>
      <c r="CB3" s="979" t="s">
        <v>2539</v>
      </c>
      <c r="CC3" s="979"/>
      <c r="CD3" s="972"/>
      <c r="CE3" s="975"/>
      <c r="CF3" s="976"/>
      <c r="CG3" s="971"/>
      <c r="CH3" s="372" t="s">
        <v>2543</v>
      </c>
      <c r="CI3" s="371"/>
      <c r="CJ3" s="371"/>
      <c r="CK3" s="372" t="s">
        <v>2542</v>
      </c>
      <c r="CL3" s="377" t="s">
        <v>1617</v>
      </c>
      <c r="CM3" s="378"/>
      <c r="CN3" s="384"/>
      <c r="CO3" s="381"/>
      <c r="CP3" s="371"/>
      <c r="CQ3" s="371"/>
      <c r="CR3" s="897"/>
      <c r="CS3" s="279"/>
      <c r="CT3" s="280"/>
      <c r="CU3" s="280"/>
      <c r="CV3" s="280"/>
      <c r="CW3" s="280"/>
      <c r="CX3" s="280"/>
      <c r="CY3" s="280"/>
      <c r="CZ3" s="280"/>
      <c r="DA3" s="280"/>
      <c r="DB3" s="280"/>
      <c r="DC3" s="280"/>
      <c r="DD3" s="280"/>
      <c r="DE3" s="280"/>
    </row>
    <row r="4" spans="1:126" s="669" customFormat="1" ht="87" customHeight="1" thickBot="1">
      <c r="A4" s="334" t="s">
        <v>2317</v>
      </c>
      <c r="B4" s="335" t="s">
        <v>2319</v>
      </c>
      <c r="C4" s="335" t="s">
        <v>2321</v>
      </c>
      <c r="D4" s="335" t="s">
        <v>2323</v>
      </c>
      <c r="E4" s="336" t="s">
        <v>22</v>
      </c>
      <c r="F4" s="336" t="s">
        <v>23</v>
      </c>
      <c r="G4" s="336" t="s">
        <v>2325</v>
      </c>
      <c r="H4" s="336" t="s">
        <v>2327</v>
      </c>
      <c r="I4" s="336" t="s">
        <v>25</v>
      </c>
      <c r="J4" s="336" t="s">
        <v>1896</v>
      </c>
      <c r="K4" s="337" t="s">
        <v>2329</v>
      </c>
      <c r="L4" s="337" t="s">
        <v>2331</v>
      </c>
      <c r="M4" s="334" t="s">
        <v>2490</v>
      </c>
      <c r="N4" s="334" t="s">
        <v>1988</v>
      </c>
      <c r="O4" s="334" t="s">
        <v>1990</v>
      </c>
      <c r="P4" s="334" t="s">
        <v>2333</v>
      </c>
      <c r="Q4" s="334" t="s">
        <v>2334</v>
      </c>
      <c r="R4" s="334" t="s">
        <v>2336</v>
      </c>
      <c r="S4" s="338" t="s">
        <v>2337</v>
      </c>
      <c r="T4" s="672" t="s">
        <v>2909</v>
      </c>
      <c r="U4" s="672" t="s">
        <v>2920</v>
      </c>
      <c r="V4" s="672" t="s">
        <v>2999</v>
      </c>
      <c r="W4" s="672" t="s">
        <v>3000</v>
      </c>
      <c r="X4" s="673" t="s">
        <v>2966</v>
      </c>
      <c r="Y4" s="673" t="s">
        <v>2967</v>
      </c>
      <c r="Z4" s="673" t="s">
        <v>2968</v>
      </c>
      <c r="AA4" s="673" t="s">
        <v>2969</v>
      </c>
      <c r="AB4" s="673" t="s">
        <v>2910</v>
      </c>
      <c r="AC4" s="673" t="s">
        <v>2919</v>
      </c>
      <c r="AD4" s="673" t="s">
        <v>2970</v>
      </c>
      <c r="AE4" s="674" t="s">
        <v>3013</v>
      </c>
      <c r="AF4" s="675" t="s">
        <v>2971</v>
      </c>
      <c r="AG4" s="675" t="s">
        <v>2972</v>
      </c>
      <c r="AH4" s="675" t="s">
        <v>2973</v>
      </c>
      <c r="AI4" s="675" t="s">
        <v>2974</v>
      </c>
      <c r="AJ4" s="675" t="s">
        <v>2975</v>
      </c>
      <c r="AK4" s="675" t="s">
        <v>2976</v>
      </c>
      <c r="AL4" s="675" t="s">
        <v>2977</v>
      </c>
      <c r="AM4" s="675" t="s">
        <v>2978</v>
      </c>
      <c r="AN4" s="675" t="s">
        <v>2979</v>
      </c>
      <c r="AO4" s="675" t="s">
        <v>2980</v>
      </c>
      <c r="AP4" s="675" t="s">
        <v>2981</v>
      </c>
      <c r="AQ4" s="676" t="s">
        <v>2908</v>
      </c>
      <c r="AR4" s="675" t="s">
        <v>2982</v>
      </c>
      <c r="AS4" s="677" t="s">
        <v>3012</v>
      </c>
      <c r="AT4" s="678" t="s">
        <v>2983</v>
      </c>
      <c r="AU4" s="678" t="s">
        <v>2984</v>
      </c>
      <c r="AV4" s="678" t="s">
        <v>2985</v>
      </c>
      <c r="AW4" s="678" t="s">
        <v>2986</v>
      </c>
      <c r="AX4" s="678" t="s">
        <v>2987</v>
      </c>
      <c r="AY4" s="678" t="s">
        <v>2988</v>
      </c>
      <c r="AZ4" s="679" t="s">
        <v>2989</v>
      </c>
      <c r="BA4" s="678" t="s">
        <v>2995</v>
      </c>
      <c r="BB4" s="678" t="s">
        <v>3054</v>
      </c>
      <c r="BC4" s="678" t="s">
        <v>2990</v>
      </c>
      <c r="BD4" s="680" t="s">
        <v>3010</v>
      </c>
      <c r="BE4" s="681" t="s">
        <v>2992</v>
      </c>
      <c r="BF4" s="681" t="s">
        <v>2993</v>
      </c>
      <c r="BG4" s="681" t="s">
        <v>2994</v>
      </c>
      <c r="BH4" s="681" t="s">
        <v>2912</v>
      </c>
      <c r="BI4" s="682" t="s">
        <v>2914</v>
      </c>
      <c r="BJ4" s="683" t="s">
        <v>2915</v>
      </c>
      <c r="BK4" s="683" t="s">
        <v>2916</v>
      </c>
      <c r="BL4" s="683" t="s">
        <v>2917</v>
      </c>
      <c r="BM4" s="650" t="s">
        <v>3014</v>
      </c>
      <c r="BN4" s="651" t="s">
        <v>3015</v>
      </c>
      <c r="BO4" s="652" t="s">
        <v>2530</v>
      </c>
      <c r="BP4" s="651" t="s">
        <v>3018</v>
      </c>
      <c r="BQ4" s="654" t="s">
        <v>117</v>
      </c>
      <c r="BR4" s="653" t="s">
        <v>1890</v>
      </c>
      <c r="BS4" s="654" t="s">
        <v>118</v>
      </c>
      <c r="BT4" s="653" t="s">
        <v>3020</v>
      </c>
      <c r="BU4" s="655" t="s">
        <v>2533</v>
      </c>
      <c r="BV4" s="656" t="s">
        <v>119</v>
      </c>
      <c r="BW4" s="650" t="s">
        <v>120</v>
      </c>
      <c r="BX4" s="657" t="s">
        <v>2540</v>
      </c>
      <c r="BY4" s="650" t="s">
        <v>122</v>
      </c>
      <c r="BZ4" s="657" t="s">
        <v>121</v>
      </c>
      <c r="CA4" s="658" t="s">
        <v>3055</v>
      </c>
      <c r="CB4" s="658" t="s">
        <v>2538</v>
      </c>
      <c r="CC4" s="659" t="s">
        <v>2391</v>
      </c>
      <c r="CD4" s="660" t="s">
        <v>124</v>
      </c>
      <c r="CE4" s="661" t="s">
        <v>123</v>
      </c>
      <c r="CF4" s="662" t="s">
        <v>2996</v>
      </c>
      <c r="CG4" s="663" t="s">
        <v>2997</v>
      </c>
      <c r="CH4" s="664" t="s">
        <v>78</v>
      </c>
      <c r="CI4" s="664" t="s">
        <v>1924</v>
      </c>
      <c r="CJ4" s="664" t="s">
        <v>1925</v>
      </c>
      <c r="CK4" s="664" t="s">
        <v>1923</v>
      </c>
      <c r="CL4" s="665" t="s">
        <v>2544</v>
      </c>
      <c r="CM4" s="666" t="s">
        <v>125</v>
      </c>
      <c r="CN4" s="667" t="s">
        <v>2998</v>
      </c>
      <c r="CO4" s="668" t="s">
        <v>126</v>
      </c>
      <c r="CP4" s="664" t="s">
        <v>127</v>
      </c>
      <c r="CQ4" s="664" t="s">
        <v>2781</v>
      </c>
      <c r="CR4" s="681" t="s">
        <v>3215</v>
      </c>
      <c r="CS4" s="298" t="s">
        <v>28</v>
      </c>
      <c r="CT4" s="299" t="s">
        <v>29</v>
      </c>
      <c r="CU4" s="299" t="s">
        <v>129</v>
      </c>
      <c r="CV4" s="299" t="s">
        <v>30</v>
      </c>
      <c r="CW4" s="299" t="s">
        <v>31</v>
      </c>
      <c r="CX4" s="299" t="s">
        <v>32</v>
      </c>
      <c r="CY4" s="299" t="s">
        <v>33</v>
      </c>
      <c r="CZ4" s="299" t="s">
        <v>34</v>
      </c>
      <c r="DA4" s="299" t="s">
        <v>35</v>
      </c>
      <c r="DB4" s="299"/>
      <c r="DC4" s="299"/>
      <c r="DD4" s="299"/>
      <c r="DE4" s="299" t="s">
        <v>36</v>
      </c>
      <c r="DF4" s="969" t="s">
        <v>3169</v>
      </c>
      <c r="DG4" s="970"/>
      <c r="DH4" s="970"/>
    </row>
    <row r="5" spans="1:126" s="300" customFormat="1" ht="27" customHeight="1" thickBot="1">
      <c r="A5" s="294" t="s">
        <v>16</v>
      </c>
      <c r="B5" s="295" t="s">
        <v>16</v>
      </c>
      <c r="C5" s="295" t="s">
        <v>16</v>
      </c>
      <c r="D5" s="295" t="s">
        <v>18</v>
      </c>
      <c r="E5" s="296" t="s">
        <v>16</v>
      </c>
      <c r="F5" s="296" t="s">
        <v>16</v>
      </c>
      <c r="G5" s="296" t="s">
        <v>2468</v>
      </c>
      <c r="H5" s="296" t="s">
        <v>16</v>
      </c>
      <c r="I5" s="296" t="s">
        <v>17</v>
      </c>
      <c r="J5" s="296" t="s">
        <v>17</v>
      </c>
      <c r="K5" s="297" t="s">
        <v>19</v>
      </c>
      <c r="L5" s="297" t="s">
        <v>19</v>
      </c>
      <c r="M5" s="294" t="s">
        <v>17</v>
      </c>
      <c r="N5" s="294" t="s">
        <v>17</v>
      </c>
      <c r="O5" s="294" t="s">
        <v>17</v>
      </c>
      <c r="P5" s="294" t="s">
        <v>17</v>
      </c>
      <c r="Q5" s="294" t="s">
        <v>2335</v>
      </c>
      <c r="R5" s="294" t="s">
        <v>17</v>
      </c>
      <c r="S5" s="294" t="s">
        <v>17</v>
      </c>
      <c r="T5" s="636" t="s">
        <v>17</v>
      </c>
      <c r="U5" s="636" t="s">
        <v>17</v>
      </c>
      <c r="V5" s="636" t="s">
        <v>17</v>
      </c>
      <c r="W5" s="636" t="s">
        <v>17</v>
      </c>
      <c r="X5" s="636" t="s">
        <v>17</v>
      </c>
      <c r="Y5" s="636" t="s">
        <v>17</v>
      </c>
      <c r="Z5" s="636" t="s">
        <v>17</v>
      </c>
      <c r="AA5" s="636" t="s">
        <v>17</v>
      </c>
      <c r="AB5" s="636" t="s">
        <v>17</v>
      </c>
      <c r="AC5" s="636" t="s">
        <v>17</v>
      </c>
      <c r="AD5" s="636" t="s">
        <v>17</v>
      </c>
      <c r="AE5" s="636" t="s">
        <v>18</v>
      </c>
      <c r="AF5" s="637" t="s">
        <v>17</v>
      </c>
      <c r="AG5" s="637" t="s">
        <v>17</v>
      </c>
      <c r="AH5" s="637" t="s">
        <v>17</v>
      </c>
      <c r="AI5" s="637" t="s">
        <v>56</v>
      </c>
      <c r="AJ5" s="637" t="s">
        <v>17</v>
      </c>
      <c r="AK5" s="637" t="s">
        <v>56</v>
      </c>
      <c r="AL5" s="637" t="s">
        <v>56</v>
      </c>
      <c r="AM5" s="637" t="s">
        <v>56</v>
      </c>
      <c r="AN5" s="637" t="s">
        <v>56</v>
      </c>
      <c r="AO5" s="637" t="s">
        <v>17</v>
      </c>
      <c r="AP5" s="637" t="s">
        <v>17</v>
      </c>
      <c r="AQ5" s="637" t="s">
        <v>17</v>
      </c>
      <c r="AR5" s="637" t="s">
        <v>2335</v>
      </c>
      <c r="AS5" s="637" t="s">
        <v>18</v>
      </c>
      <c r="AT5" s="638" t="s">
        <v>17</v>
      </c>
      <c r="AU5" s="638" t="s">
        <v>17</v>
      </c>
      <c r="AV5" s="638" t="s">
        <v>17</v>
      </c>
      <c r="AW5" s="638" t="s">
        <v>17</v>
      </c>
      <c r="AX5" s="638" t="s">
        <v>17</v>
      </c>
      <c r="AY5" s="638" t="s">
        <v>17</v>
      </c>
      <c r="AZ5" s="638" t="s">
        <v>56</v>
      </c>
      <c r="BA5" s="638" t="s">
        <v>56</v>
      </c>
      <c r="BB5" s="638" t="s">
        <v>56</v>
      </c>
      <c r="BC5" s="638" t="s">
        <v>56</v>
      </c>
      <c r="BD5" s="638" t="s">
        <v>18</v>
      </c>
      <c r="BE5" s="639" t="s">
        <v>56</v>
      </c>
      <c r="BF5" s="639" t="s">
        <v>56</v>
      </c>
      <c r="BG5" s="639" t="s">
        <v>17</v>
      </c>
      <c r="BH5" s="639" t="s">
        <v>56</v>
      </c>
      <c r="BI5" s="619" t="s">
        <v>56</v>
      </c>
      <c r="BJ5" s="640" t="s">
        <v>2335</v>
      </c>
      <c r="BK5" s="640" t="s">
        <v>18</v>
      </c>
      <c r="BL5" s="640" t="s">
        <v>18</v>
      </c>
      <c r="BM5" s="953"/>
      <c r="BN5" s="954"/>
      <c r="BO5" s="955"/>
      <c r="BP5" s="354" t="s">
        <v>56</v>
      </c>
      <c r="BQ5" s="358" t="s">
        <v>17</v>
      </c>
      <c r="BR5" s="354" t="s">
        <v>56</v>
      </c>
      <c r="BS5" s="360" t="s">
        <v>17</v>
      </c>
      <c r="BT5" s="360"/>
      <c r="BU5" s="360"/>
      <c r="BV5" s="363"/>
      <c r="BW5" s="953" t="s">
        <v>2043</v>
      </c>
      <c r="BX5" s="955"/>
      <c r="BY5" s="689" t="s">
        <v>17</v>
      </c>
      <c r="BZ5" s="690" t="s">
        <v>17</v>
      </c>
      <c r="CA5" s="671" t="s">
        <v>56</v>
      </c>
      <c r="CB5" s="693" t="s">
        <v>17</v>
      </c>
      <c r="CC5" s="694"/>
      <c r="CD5" s="670" t="s">
        <v>17</v>
      </c>
      <c r="CE5" s="695" t="s">
        <v>17</v>
      </c>
      <c r="CF5" s="696" t="s">
        <v>56</v>
      </c>
      <c r="CG5" s="367" t="s">
        <v>56</v>
      </c>
      <c r="CH5" s="373" t="s">
        <v>17</v>
      </c>
      <c r="CI5" s="374" t="s">
        <v>17</v>
      </c>
      <c r="CJ5" s="374" t="s">
        <v>17</v>
      </c>
      <c r="CK5" s="374" t="s">
        <v>17</v>
      </c>
      <c r="CL5" s="374"/>
      <c r="CM5" s="379" t="s">
        <v>56</v>
      </c>
      <c r="CN5" s="385" t="s">
        <v>56</v>
      </c>
      <c r="CO5" s="382" t="s">
        <v>56</v>
      </c>
      <c r="CP5" s="374" t="s">
        <v>56</v>
      </c>
      <c r="CQ5" s="501"/>
      <c r="CR5" s="639" t="s">
        <v>56</v>
      </c>
      <c r="CS5" s="298"/>
      <c r="CT5" s="299"/>
      <c r="CU5" s="299"/>
      <c r="CV5" s="299"/>
      <c r="CW5" s="299"/>
      <c r="CX5" s="299"/>
      <c r="CY5" s="299"/>
      <c r="CZ5" s="299"/>
      <c r="DA5" s="299"/>
      <c r="DB5" s="299"/>
      <c r="DC5" s="299"/>
      <c r="DD5" s="299"/>
      <c r="DE5" s="299"/>
      <c r="DF5" s="619"/>
      <c r="DG5" s="619"/>
      <c r="DH5" s="619"/>
    </row>
    <row r="6" spans="1:126" s="264" customFormat="1" ht="48.75" customHeight="1" thickTop="1" thickBot="1">
      <c r="A6" s="259" t="s">
        <v>20</v>
      </c>
      <c r="B6" s="249" t="s">
        <v>2319</v>
      </c>
      <c r="C6" s="249" t="s">
        <v>2321</v>
      </c>
      <c r="D6" s="249" t="s">
        <v>27</v>
      </c>
      <c r="E6" s="250" t="s">
        <v>22</v>
      </c>
      <c r="F6" s="250" t="s">
        <v>23</v>
      </c>
      <c r="G6" s="250" t="s">
        <v>128</v>
      </c>
      <c r="H6" s="250" t="s">
        <v>24</v>
      </c>
      <c r="I6" s="250" t="s">
        <v>25</v>
      </c>
      <c r="J6" s="250" t="s">
        <v>26</v>
      </c>
      <c r="K6" s="251" t="s">
        <v>2329</v>
      </c>
      <c r="L6" s="251" t="s">
        <v>2331</v>
      </c>
      <c r="M6" s="259" t="s">
        <v>2529</v>
      </c>
      <c r="N6" s="259" t="s">
        <v>2378</v>
      </c>
      <c r="O6" s="259" t="s">
        <v>2379</v>
      </c>
      <c r="P6" s="259" t="s">
        <v>53</v>
      </c>
      <c r="Q6" s="259" t="s">
        <v>2489</v>
      </c>
      <c r="R6" s="259" t="s">
        <v>2380</v>
      </c>
      <c r="S6" s="259" t="s">
        <v>2381</v>
      </c>
      <c r="T6" s="260" t="s">
        <v>2925</v>
      </c>
      <c r="U6" s="260" t="s">
        <v>2926</v>
      </c>
      <c r="V6" s="260" t="s">
        <v>2924</v>
      </c>
      <c r="W6" s="260" t="s">
        <v>3001</v>
      </c>
      <c r="X6" s="248" t="s">
        <v>2928</v>
      </c>
      <c r="Y6" s="248" t="s">
        <v>2927</v>
      </c>
      <c r="Z6" s="248" t="s">
        <v>2929</v>
      </c>
      <c r="AA6" s="248" t="s">
        <v>2930</v>
      </c>
      <c r="AB6" s="248" t="s">
        <v>2931</v>
      </c>
      <c r="AC6" s="248" t="s">
        <v>2932</v>
      </c>
      <c r="AD6" s="248" t="s">
        <v>2933</v>
      </c>
      <c r="AE6" s="248" t="s">
        <v>2948</v>
      </c>
      <c r="AF6" s="641" t="s">
        <v>2934</v>
      </c>
      <c r="AG6" s="641" t="s">
        <v>2935</v>
      </c>
      <c r="AH6" s="641" t="s">
        <v>2936</v>
      </c>
      <c r="AI6" s="641" t="s">
        <v>2937</v>
      </c>
      <c r="AJ6" s="641" t="s">
        <v>2938</v>
      </c>
      <c r="AK6" s="641" t="s">
        <v>2939</v>
      </c>
      <c r="AL6" s="641" t="s">
        <v>2940</v>
      </c>
      <c r="AM6" s="641" t="s">
        <v>2942</v>
      </c>
      <c r="AN6" s="641" t="s">
        <v>2941</v>
      </c>
      <c r="AO6" s="641" t="s">
        <v>2943</v>
      </c>
      <c r="AP6" s="641" t="s">
        <v>2944</v>
      </c>
      <c r="AQ6" s="641" t="s">
        <v>2945</v>
      </c>
      <c r="AR6" s="641" t="s">
        <v>2946</v>
      </c>
      <c r="AS6" s="642" t="s">
        <v>2947</v>
      </c>
      <c r="AT6" s="643" t="s">
        <v>2951</v>
      </c>
      <c r="AU6" s="643" t="s">
        <v>2952</v>
      </c>
      <c r="AV6" s="643" t="s">
        <v>2953</v>
      </c>
      <c r="AW6" s="643" t="s">
        <v>2954</v>
      </c>
      <c r="AX6" s="643" t="s">
        <v>2955</v>
      </c>
      <c r="AY6" s="643" t="s">
        <v>2956</v>
      </c>
      <c r="AZ6" s="649" t="s">
        <v>2950</v>
      </c>
      <c r="BA6" s="649" t="s">
        <v>2949</v>
      </c>
      <c r="BB6" s="649" t="s">
        <v>3053</v>
      </c>
      <c r="BC6" s="649" t="s">
        <v>2957</v>
      </c>
      <c r="BD6" s="643" t="s">
        <v>3011</v>
      </c>
      <c r="BE6" s="644" t="s">
        <v>2964</v>
      </c>
      <c r="BF6" s="644" t="s">
        <v>2958</v>
      </c>
      <c r="BG6" s="898" t="s">
        <v>2959</v>
      </c>
      <c r="BH6" s="644" t="s">
        <v>2965</v>
      </c>
      <c r="BI6" s="645" t="s">
        <v>2960</v>
      </c>
      <c r="BJ6" s="646" t="s">
        <v>2961</v>
      </c>
      <c r="BK6" s="646" t="s">
        <v>2962</v>
      </c>
      <c r="BL6" s="688" t="s">
        <v>2963</v>
      </c>
      <c r="BM6" s="355" t="s">
        <v>3016</v>
      </c>
      <c r="BN6" s="356" t="s">
        <v>3017</v>
      </c>
      <c r="BO6" s="357" t="s">
        <v>2530</v>
      </c>
      <c r="BP6" s="353" t="s">
        <v>3019</v>
      </c>
      <c r="BQ6" s="359" t="s">
        <v>2532</v>
      </c>
      <c r="BR6" s="361" t="s">
        <v>2716</v>
      </c>
      <c r="BS6" s="359" t="s">
        <v>1627</v>
      </c>
      <c r="BT6" s="362" t="s">
        <v>3021</v>
      </c>
      <c r="BU6" s="387" t="s">
        <v>76</v>
      </c>
      <c r="BV6" s="364" t="s">
        <v>1620</v>
      </c>
      <c r="BW6" s="355" t="s">
        <v>1941</v>
      </c>
      <c r="BX6" s="357" t="s">
        <v>2534</v>
      </c>
      <c r="BY6" s="686" t="s">
        <v>122</v>
      </c>
      <c r="BZ6" s="687" t="s">
        <v>1621</v>
      </c>
      <c r="CA6" s="388" t="s">
        <v>3056</v>
      </c>
      <c r="CB6" s="388" t="s">
        <v>2539</v>
      </c>
      <c r="CC6" s="365" t="s">
        <v>2537</v>
      </c>
      <c r="CD6" s="366" t="s">
        <v>124</v>
      </c>
      <c r="CE6" s="369" t="s">
        <v>123</v>
      </c>
      <c r="CF6" s="370" t="s">
        <v>1942</v>
      </c>
      <c r="CG6" s="368" t="s">
        <v>1913</v>
      </c>
      <c r="CH6" s="375" t="s">
        <v>1914</v>
      </c>
      <c r="CI6" s="376" t="s">
        <v>1924</v>
      </c>
      <c r="CJ6" s="376" t="s">
        <v>1925</v>
      </c>
      <c r="CK6" s="375" t="s">
        <v>1926</v>
      </c>
      <c r="CL6" s="389" t="s">
        <v>2541</v>
      </c>
      <c r="CM6" s="380" t="s">
        <v>1622</v>
      </c>
      <c r="CN6" s="386" t="s">
        <v>1623</v>
      </c>
      <c r="CO6" s="383" t="s">
        <v>1624</v>
      </c>
      <c r="CP6" s="376" t="s">
        <v>1625</v>
      </c>
      <c r="CQ6" s="460" t="s">
        <v>2781</v>
      </c>
      <c r="CR6" s="898" t="s">
        <v>3216</v>
      </c>
      <c r="CS6" s="261" t="s">
        <v>28</v>
      </c>
      <c r="CT6" s="261" t="s">
        <v>29</v>
      </c>
      <c r="CU6" s="261" t="s">
        <v>129</v>
      </c>
      <c r="CV6" s="261" t="s">
        <v>30</v>
      </c>
      <c r="CW6" s="261" t="s">
        <v>31</v>
      </c>
      <c r="CX6" s="261" t="s">
        <v>32</v>
      </c>
      <c r="CY6" s="261" t="s">
        <v>33</v>
      </c>
      <c r="CZ6" s="261" t="s">
        <v>34</v>
      </c>
      <c r="DA6" s="262" t="s">
        <v>35</v>
      </c>
      <c r="DB6" s="754" t="s">
        <v>3109</v>
      </c>
      <c r="DC6" s="754" t="s">
        <v>3110</v>
      </c>
      <c r="DD6" s="754" t="s">
        <v>3111</v>
      </c>
      <c r="DE6" s="263" t="s">
        <v>36</v>
      </c>
      <c r="DF6" s="645" t="s">
        <v>3167</v>
      </c>
      <c r="DG6" s="645" t="s">
        <v>3168</v>
      </c>
      <c r="DH6" s="645" t="s">
        <v>3178</v>
      </c>
    </row>
    <row r="7" spans="1:126" hidden="1">
      <c r="A7" s="393" t="s">
        <v>2387</v>
      </c>
      <c r="B7" s="393" t="s">
        <v>270</v>
      </c>
      <c r="C7" s="399" t="s">
        <v>270</v>
      </c>
      <c r="D7" s="399" t="s">
        <v>2293</v>
      </c>
      <c r="E7" s="532" t="s">
        <v>2706</v>
      </c>
      <c r="F7" s="399" t="s">
        <v>406</v>
      </c>
      <c r="G7" s="532" t="str">
        <f>VLOOKUP(WWWW[[#This Row],[Site Name]],SiteDB6[[Site Name]:[Location Type]],8,FALSE)</f>
        <v>Camp</v>
      </c>
      <c r="H7" s="399" t="s">
        <v>416</v>
      </c>
      <c r="I7" s="401">
        <v>1249</v>
      </c>
      <c r="J7" s="401">
        <v>4717</v>
      </c>
      <c r="K7" s="407" t="s">
        <v>2673</v>
      </c>
      <c r="L7" s="408" t="s">
        <v>2674</v>
      </c>
      <c r="M7" s="401">
        <v>965</v>
      </c>
      <c r="N7" s="401"/>
      <c r="O7" s="401"/>
      <c r="P7" s="401" t="s">
        <v>2675</v>
      </c>
      <c r="Q7" s="400" t="s">
        <v>42</v>
      </c>
      <c r="R7" s="401">
        <v>13</v>
      </c>
      <c r="S7" s="401">
        <v>2</v>
      </c>
      <c r="T7" s="401"/>
      <c r="U7" s="401">
        <v>6</v>
      </c>
      <c r="V7" s="401">
        <v>756000</v>
      </c>
      <c r="W7" s="401">
        <v>978530</v>
      </c>
      <c r="X7" s="401">
        <v>4</v>
      </c>
      <c r="Y7" s="401">
        <v>2</v>
      </c>
      <c r="Z7" s="401">
        <v>4</v>
      </c>
      <c r="AA7" s="401"/>
      <c r="AB7" s="401"/>
      <c r="AC7" s="401"/>
      <c r="AD7" s="401"/>
      <c r="AE7" s="634"/>
      <c r="AF7" s="401">
        <v>169</v>
      </c>
      <c r="AG7" s="401">
        <v>178</v>
      </c>
      <c r="AH7" s="401">
        <v>7</v>
      </c>
      <c r="AI7" s="403"/>
      <c r="AJ7" s="401"/>
      <c r="AK7" s="403">
        <v>0.37</v>
      </c>
      <c r="AL7" s="403">
        <v>0.34</v>
      </c>
      <c r="AM7" s="403">
        <v>0.37</v>
      </c>
      <c r="AN7" s="403">
        <v>0.34</v>
      </c>
      <c r="AO7" s="401">
        <v>24</v>
      </c>
      <c r="AP7" s="401">
        <v>69</v>
      </c>
      <c r="AQ7" s="401">
        <v>4</v>
      </c>
      <c r="AR7" s="401" t="s">
        <v>42</v>
      </c>
      <c r="AS7" s="647"/>
      <c r="AT7" s="401"/>
      <c r="AU7" s="401"/>
      <c r="AV7" s="401"/>
      <c r="AW7" s="401"/>
      <c r="AX7" s="401">
        <v>1244</v>
      </c>
      <c r="AY7" s="401">
        <v>2423</v>
      </c>
      <c r="AZ7" s="401"/>
      <c r="BA7" s="401"/>
      <c r="BB7" s="401"/>
      <c r="BC7" s="403">
        <v>1</v>
      </c>
      <c r="BD7" s="647"/>
      <c r="BE7" s="403">
        <v>0.71</v>
      </c>
      <c r="BF7" s="403"/>
      <c r="BG7" s="401"/>
      <c r="BH7" s="403"/>
      <c r="BI7" s="403" t="e">
        <f>WWWW[[#This Row],[Cases of Acute watery diarrhea]]/WWWW[[#This Row],[Total consultations]]</f>
        <v>#DIV/0!</v>
      </c>
      <c r="BJ7" s="398"/>
      <c r="BK7" s="647"/>
      <c r="BL7" s="647"/>
      <c r="BM7" s="404">
        <f>IFERROR(WWWW[[#This Row],['#_Water samples _passed_at_water source]]/WWWW[[#This Row],['#_Water samples_Tested_at_water_source]],"no test")</f>
        <v>0.5</v>
      </c>
      <c r="BN7" s="403">
        <f>IFERROR(WWWW[[#This Row],['#_Water samples _passed_at_HH]]/WWWW[[#This Row],['#_Water samples_Tested_at_HH]],"no test")</f>
        <v>0</v>
      </c>
      <c r="BO7" s="402" t="str">
        <f>IF(AND(WWWW[[#This Row],[%of Water samples which passed at water source]]="no test",WWWW[[#This Row],[%Water samples which passed at HH]]="no test"),"No Test","Tested")</f>
        <v>Tested</v>
      </c>
      <c r="BP7" s="404">
        <f>IF(WWWW[[#This Row],[Total PoP ]]="","",IF(((WWWW[[#This Row],['#_Functional_improved_water_source]]*500)+(WWWW[[#This Row],['#_litres_of_water_supplied_by_existing_water_boating/trucking ]]/90/15)+(WWWW[[#This Row],['#_Functional_water_point_at_TLS/CFS]]*500))/WWWW[[#This Row],[Total PoP ]]&gt;1,1,((WWWW[[#This Row],['#_Functional_improved_water_source]]*500)+(WWWW[[#This Row],['#_litres_of_water_supplied_by_existing_water_boating/trucking ]]/90/15)+(WWWW[[#This Row],['#_Functional_water_point_at_TLS/CFS]]*500))/WWWW[[#This Row],[Total PoP ]]))</f>
        <v>0.11871952512189951</v>
      </c>
      <c r="BQ7" s="400">
        <f>WWWW[[#This Row],[Access to safe/improved water through improved water sources]]*WWWW[[#This Row],[Total PoP ]]</f>
        <v>560</v>
      </c>
      <c r="BR7" s="403">
        <f>IF((WWWW[[#This Row],['#_litres_of_water_stored_in_ponds]]/90/15)/WWWW[[#This Row],[Total PoP ]]&gt;1,1,(WWWW[[#This Row],['#_litres_of_water_stored_in_ponds]]/90/15)/WWWW[[#This Row],[Total PoP ]])</f>
        <v>0.15366483719250307</v>
      </c>
      <c r="BS7" s="400">
        <f>WWWW[[#This Row],[% Access to unimproved water points]]*WWWW[[#This Row],[Total PoP ]]</f>
        <v>724.83703703703702</v>
      </c>
      <c r="BT7" s="403">
        <f>IF(WWWW[[#This Row],[Access to safe/improved water through improved water sources]]+WWWW[[#This Row],[% Access to unimproved water points]]&gt;1,1,WWWW[[#This Row],[Access to safe/improved water through improved water sources]]+WWWW[[#This Row],[% Access to unimproved water points]])</f>
        <v>0.27238436231440255</v>
      </c>
      <c r="BU7" s="400">
        <f>IF(WWWW[[#This Row],['# people with equitable and continuous access to sufficient quantity of safe drinking water]]+WWWW[[#This Row],['#People access to unimproved water sources]]&gt;WWWW[[#This Row],[Total PoP ]],WWWW[[#This Row],[Total PoP ]],WWWW[[#This Row],['# people with equitable and continuous access to sufficient quantity of safe drinking water]]+WWWW[[#This Row],['#People access to unimproved water sources]])</f>
        <v>1284.8370370370371</v>
      </c>
      <c r="BV7" s="400">
        <f>WWWW[[#This Row],[HRP1]]/500</f>
        <v>2.5696740740740744</v>
      </c>
      <c r="BW7" s="405">
        <f>1-WWWW[[#This Row],[% HRP1]]</f>
        <v>0.72761563768559745</v>
      </c>
      <c r="BX7" s="400">
        <f>WWWW[[#This Row],[%equitable and continuous access to sufficient quantity of safe drinking and domestic water''s GAP]]*WWWW[[#This Row],[Total PoP ]]</f>
        <v>3432.1629629629633</v>
      </c>
      <c r="BY7" s="402">
        <f>ROUND(IF(WWWW[[#This Row],[Total PoP ]]&lt;500,1,WWWW[[#This Row],[Total PoP ]]/500),0)</f>
        <v>9</v>
      </c>
      <c r="BZ7" s="402">
        <f>IF(WWWW[[#This Row],[Total required water points]]-WWWW[[#This Row],['#Water points coverage]]&lt;0,0,WWWW[[#This Row],[Total required water points]]-WWWW[[#This Row],['#Water points coverage]])</f>
        <v>6.430325925925926</v>
      </c>
      <c r="CA7" s="403">
        <f>WWWW[[#This Row],[HRP2]]/WWWW[[#This Row],[Total PoP ]]</f>
        <v>0.87534449862200547</v>
      </c>
      <c r="CB7" s="400">
        <f>IF(WWWW[[#This Row],[Total PoP ]]="",0,IF(((WWWW[[#This Row],['#_Functional_adult_latrines]]*20)+(WWWW[[#This Row],['#_of_functional_children_latrines]]*20)+WWWW[[#This Row],['#_of_PWD_with_adapted_sanitation_option]]+(WWWW[[#This Row],['#_of_latrines_in_TLS/CFS]]*50))&gt;WWWW[[#This Row],[Total PoP ]],WWWW[[#This Row],[Total PoP ]],((WWWW[[#This Row],['#_Functional_adult_latrines]]*20)+(WWWW[[#This Row],['#_of_functional_children_latrines]]*20)+WWWW[[#This Row],['#_of_PWD_with_adapted_sanitation_option]]+(WWWW[[#This Row],['#_of_latrines_in_TLS/CFS]]*50))))</f>
        <v>4129</v>
      </c>
      <c r="CC7" s="402">
        <f>IF(WWWW[[#This Row],['#_of_latrines_in_TLS/CFS]]*50&gt;WWWW[[#This Row],['#_students at TLS_CFS]],WWWW[[#This Row],['#_students at TLS_CFS]],WWWW[[#This Row],['#_of_latrines_in_TLS/CFS]]*50)</f>
        <v>200</v>
      </c>
      <c r="CD7" s="402">
        <f>ROUND(IF(WWWW[[#This Row],[Location Type 1]]="camp",WWWW[[#This Row],[Total PoP ]]/20),0)</f>
        <v>236</v>
      </c>
      <c r="CE7" s="402">
        <f>IF(WWWW[[#This Row],[Total required Latrines]]-WWWW[[#This Row],['#_Existing_latrines]]&lt;0,0,WWWW[[#This Row],[Total required Latrines]]-WWWW[[#This Row],['#_Existing_latrines]])</f>
        <v>58</v>
      </c>
      <c r="CF7" s="71">
        <f>1-WWWW[[#This Row],[% HRP2]]</f>
        <v>0.12465550137799453</v>
      </c>
      <c r="CG7" s="404">
        <f>IF(WWWW[[#This Row],['#_Existing_latrines]]="","NA",(WWWW[[#This Row],['#_Existing_latrines]]-WWWW[[#This Row],['#_Functional_adult_latrines]])/WWWW[[#This Row],['#_Existing_latrines]])</f>
        <v>5.0561797752808987E-2</v>
      </c>
      <c r="CH7" s="400">
        <f>IF(WWWW[[#This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Row],[_'#_of_Girls_receiving_consultation_hygiene_promotion_messages_and_sessions]]&gt;WWWW[[#This Row],[Total PoP ]],WWWW[[#This Row],[Total PoP ]],WWWW[[#This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f>
        <v>0</v>
      </c>
      <c r="CI7" s="402">
        <f>IF(WWWW[[#This Row],['#_of_affected_households_receiving_a_sufficient_quantity_of_soap]]=0,0,IF(WWWW[[#This Row],['#_of_affected_households_receiving_a_sufficient_quantity_of_soap]]&gt;=WWWW[[#This Row],[Total HH]],WWWW[[#This Row],[Total PoP ]],IF(WWWW[[#This Row],['#_of_affected_households_receiving_a_sufficient_quantity_of_soap]]*5&gt;WWWW[[#This Row],[Total PoP ]],WWWW[[#This Row],[Total PoP ]],WWWW[[#This Row],['#_of_affected_households_receiving_a_sufficient_quantity_of_soap]]*5)))</f>
        <v>4717</v>
      </c>
      <c r="CJ7" s="402">
        <f>IF(WWWW[[#This Row],['#_of_affected_women_and_girls_receiving_a_sufficient_quantity_of_sanitary_pads]]&gt;WWWW[[#This Row],[Total PoP ]],WWWW[[#This Row],[Total PoP ]],WWWW[[#This Row],['#_of_affected_women_and_girls_receiving_a_sufficient_quantity_of_sanitary_pads]])</f>
        <v>2423</v>
      </c>
      <c r="CK7" s="402">
        <f>IF(WWWW[[#This Row],['# People with access to soap]]&gt;WWWW[[#This Row],['# People with access to Sanity Pads]],WWWW[[#This Row],['# People with access to soap]],WWWW[[#This Row],['# People with access to Sanity Pads]])</f>
        <v>4717</v>
      </c>
      <c r="CL7" s="402">
        <f>IF(WWWW[[#This Row],['# people reached by regular dedicated hygiene promotion_5]]&gt;WWWW[[#This Row],['# People received regular supply of hygiene items_6]],WWWW[[#This Row],['# people reached by regular dedicated hygiene promotion_5]],WWWW[[#This Row],['# People received regular supply of hygiene items_6]])</f>
        <v>4717</v>
      </c>
      <c r="CM7" s="405">
        <f>IF(WWWW[[#This Row],[HRP3]]/WWWW[[#This Row],[Total PoP ]]&gt;100%,100%,WWWW[[#This Row],[HRP3]]/WWWW[[#This Row],[Total PoP ]])</f>
        <v>1</v>
      </c>
      <c r="CN7" s="404">
        <f>1-WWWW[[#This Row],[Hygiene Coverage%]]</f>
        <v>0</v>
      </c>
      <c r="CO7" s="403">
        <f>WWWW[[#This Row],['# people reached by regular dedicated hygiene promotion_5]]/WWWW[[#This Row],[Total PoP ]]</f>
        <v>0</v>
      </c>
      <c r="CP7" s="403">
        <f>IF(WWWW[[#This Row],['#_of_affected_households_receiving_a_sufficient_quantity_of_soap]]/WWWW[[#This Row],[Total HH]]&gt;1,1,WWWW[[#This Row],['#_of_affected_households_receiving_a_sufficient_quantity_of_soap]]/WWWW[[#This Row],[Total HH]])</f>
        <v>0.99599679743795033</v>
      </c>
      <c r="CQ7" s="400" t="str">
        <f>IF(WWWW[[#This Row],['#_students at TLS_CFS]]="","No","Yes")</f>
        <v>Yes</v>
      </c>
      <c r="CR7" s="403"/>
      <c r="CS7" s="398" t="str">
        <f>VLOOKUP(WWWW[[#This Row],[Site Name]],SiteDB6[[Site Name]:[CCCM Management]],6,FALSE)</f>
        <v>Yes</v>
      </c>
      <c r="CT7" s="398" t="str">
        <f>VLOOKUP(WWWW[[#This Row],[Site Name]],SiteDB6[[Site Name]:[CCCM Focal Agency]],7,FALSE)</f>
        <v>LWF</v>
      </c>
      <c r="CU7" s="398" t="str">
        <f>VLOOKUP(WWWW[[#This Row],[Site Name]],SiteDB6[[Site Name]:[Location Type 1]],9,FALSE)</f>
        <v>Camp</v>
      </c>
      <c r="CV7" s="398" t="str">
        <f>VLOOKUP(WWWW[[#This Row],[Site Name]],SiteDB6[[Site Name]:[Type of Accommodation]],10,FALSE)</f>
        <v>Planned Camp</v>
      </c>
      <c r="CW7" s="398" t="str">
        <f>VLOOKUP(WWWW[[#This Row],[Site Name]],SiteDB6[[Site Name]:[Ethnic or GCA/NGCA]],11,FALSE)</f>
        <v>Muslim</v>
      </c>
      <c r="CX7" s="398">
        <f>VLOOKUP(WWWW[[#This Row],[Site Name]],SiteDB6[[Site Name]:[Lat]],12,FALSE)</f>
        <v>20.108101999999999</v>
      </c>
      <c r="CY7" s="398">
        <f>VLOOKUP(WWWW[[#This Row],[Site Name]],SiteDB6[[Site Name]:[Long]],13,FALSE)</f>
        <v>92.985095000000001</v>
      </c>
      <c r="CZ7" s="398" t="str">
        <f>VLOOKUP(WWWW[[#This Row],[Site Name]],SiteDB6[[Site Name]:[Pcode]],3,FALSE)</f>
        <v>MMR012CMP016</v>
      </c>
      <c r="DA7" s="406" t="str">
        <f t="shared" ref="DA7:DA38" si="0">IF(C7="none","Notcovered","Covered")</f>
        <v>Covered</v>
      </c>
      <c r="DB7" s="406">
        <f>VLOOKUP(WWWW[[#This Row],[Site Name]],SiteDB6[[Site Name]:[PWD_Total]],22,FALSE)</f>
        <v>79</v>
      </c>
      <c r="DC7" s="406">
        <f>VLOOKUP(WWWW[[#This Row],[Site Name]],SiteDB6[[Site Name]:[PWD_Total]],23,FALSE)</f>
        <v>615</v>
      </c>
      <c r="DD7" s="406">
        <f>VLOOKUP(WWWW[[#This Row],[Site Name]],SiteDB6[[Site Name]:[PWD_Total]],24,FALSE)</f>
        <v>694</v>
      </c>
      <c r="DE7" s="406"/>
      <c r="DF7" s="830"/>
      <c r="DG7" s="830"/>
      <c r="DH7" s="830"/>
      <c r="DJ7" s="37"/>
      <c r="DK7" s="37"/>
      <c r="DL7" s="38"/>
      <c r="DM7" s="38"/>
      <c r="DU7" s="20"/>
      <c r="DV7" s="20"/>
    </row>
    <row r="8" spans="1:126" hidden="1">
      <c r="A8" s="393" t="s">
        <v>2387</v>
      </c>
      <c r="B8" s="393" t="s">
        <v>2308</v>
      </c>
      <c r="C8" s="399" t="s">
        <v>2308</v>
      </c>
      <c r="D8" s="399" t="s">
        <v>41</v>
      </c>
      <c r="E8" s="532" t="s">
        <v>2706</v>
      </c>
      <c r="F8" s="399" t="s">
        <v>299</v>
      </c>
      <c r="G8" s="532" t="str">
        <f>VLOOKUP(WWWW[[#This Row],[Site Name]],SiteDB6[[Site Name]:[Location Type]],8,FALSE)</f>
        <v>Camp</v>
      </c>
      <c r="H8" s="399" t="s">
        <v>418</v>
      </c>
      <c r="I8" s="401">
        <v>397</v>
      </c>
      <c r="J8" s="401">
        <v>2111</v>
      </c>
      <c r="K8" s="407"/>
      <c r="L8" s="408">
        <v>44104</v>
      </c>
      <c r="M8" s="589">
        <v>1642</v>
      </c>
      <c r="N8" s="589">
        <v>16</v>
      </c>
      <c r="O8" s="589">
        <v>35</v>
      </c>
      <c r="P8" s="589">
        <v>0</v>
      </c>
      <c r="Q8" s="542" t="s">
        <v>130</v>
      </c>
      <c r="R8" s="589">
        <v>10</v>
      </c>
      <c r="S8" s="589">
        <v>5</v>
      </c>
      <c r="T8" s="589">
        <v>22</v>
      </c>
      <c r="U8" s="589">
        <v>25</v>
      </c>
      <c r="V8" s="401"/>
      <c r="W8" s="401"/>
      <c r="X8" s="589">
        <v>25</v>
      </c>
      <c r="Y8" s="589">
        <v>23</v>
      </c>
      <c r="Z8" s="589">
        <v>69</v>
      </c>
      <c r="AA8" s="589">
        <v>43</v>
      </c>
      <c r="AB8" s="589"/>
      <c r="AC8" s="401"/>
      <c r="AD8" s="589">
        <v>7</v>
      </c>
      <c r="AE8" s="634"/>
      <c r="AF8" s="589">
        <v>117</v>
      </c>
      <c r="AG8" s="589">
        <v>120</v>
      </c>
      <c r="AH8" s="589">
        <v>0</v>
      </c>
      <c r="AI8" s="534">
        <v>0.37</v>
      </c>
      <c r="AJ8" s="589">
        <v>40</v>
      </c>
      <c r="AK8" s="534">
        <v>1</v>
      </c>
      <c r="AL8" s="534">
        <v>1</v>
      </c>
      <c r="AM8" s="534">
        <v>0.91</v>
      </c>
      <c r="AN8" s="534">
        <v>0.91</v>
      </c>
      <c r="AO8" s="589"/>
      <c r="AP8" s="589"/>
      <c r="AQ8" s="589">
        <v>9</v>
      </c>
      <c r="AR8" s="589" t="s">
        <v>42</v>
      </c>
      <c r="AS8" s="647"/>
      <c r="AT8" s="589">
        <v>21</v>
      </c>
      <c r="AU8" s="589">
        <v>176</v>
      </c>
      <c r="AV8" s="589">
        <v>197</v>
      </c>
      <c r="AW8" s="589">
        <v>160</v>
      </c>
      <c r="AX8" s="589">
        <v>379</v>
      </c>
      <c r="AY8" s="589">
        <v>882</v>
      </c>
      <c r="AZ8" s="534"/>
      <c r="BA8" s="534"/>
      <c r="BB8" s="534"/>
      <c r="BC8" s="534">
        <v>0.78</v>
      </c>
      <c r="BD8" s="647"/>
      <c r="BE8" s="534"/>
      <c r="BF8" s="534"/>
      <c r="BG8" s="589">
        <f>100%*WWWW[[#This Row],[Total PoP ]]</f>
        <v>2111</v>
      </c>
      <c r="BH8" s="534">
        <v>0.5</v>
      </c>
      <c r="BI8" s="403"/>
      <c r="BJ8" s="537"/>
      <c r="BK8" s="648"/>
      <c r="BL8" s="648"/>
      <c r="BM8" s="404">
        <f>IFERROR(WWWW[[#This Row],['#_Water samples _passed_at_water source]]/WWWW[[#This Row],['#_Water samples_Tested_at_water_source]],"no test")</f>
        <v>0.92</v>
      </c>
      <c r="BN8" s="403">
        <f>IFERROR(WWWW[[#This Row],['#_Water samples _passed_at_HH]]/WWWW[[#This Row],['#_Water samples_Tested_at_HH]],"no test")</f>
        <v>0.62318840579710144</v>
      </c>
      <c r="BO8" s="402" t="str">
        <f>IF(AND(WWWW[[#This Row],[%of Water samples which passed at water source]]="no test",WWWW[[#This Row],[%Water samples which passed at HH]]="no test"),"No Test","Tested")</f>
        <v>Tested</v>
      </c>
      <c r="BP8" s="404">
        <f>IF(WWWW[[#This Row],[Total PoP ]]="","",IF(((WWWW[[#This Row],['#_Functional_improved_water_source]]*500)+(WWWW[[#This Row],['#_litres_of_water_supplied_by_existing_water_boating/trucking ]]/90/15)+(WWWW[[#This Row],['#_Functional_water_point_at_TLS/CFS]]*500))/WWWW[[#This Row],[Total PoP ]]&gt;1,1,((WWWW[[#This Row],['#_Functional_improved_water_source]]*500)+(WWWW[[#This Row],['#_litres_of_water_supplied_by_existing_water_boating/trucking ]]/90/15)+(WWWW[[#This Row],['#_Functional_water_point_at_TLS/CFS]]*500))/WWWW[[#This Row],[Total PoP ]]))</f>
        <v>1</v>
      </c>
      <c r="BQ8" s="400">
        <f>WWWW[[#This Row],[Access to safe/improved water through improved water sources]]*WWWW[[#This Row],[Total PoP ]]</f>
        <v>2111</v>
      </c>
      <c r="BR8" s="403">
        <f>IF((WWWW[[#This Row],['#_litres_of_water_stored_in_ponds]]/90/15)/WWWW[[#This Row],[Total PoP ]]&gt;1,1,(WWWW[[#This Row],['#_litres_of_water_stored_in_ponds]]/90/15)/WWWW[[#This Row],[Total PoP ]])</f>
        <v>0</v>
      </c>
      <c r="BS8" s="400">
        <f>WWWW[[#This Row],[% Access to unimproved water points]]*WWWW[[#This Row],[Total PoP ]]</f>
        <v>0</v>
      </c>
      <c r="BT8" s="403">
        <f>IF(WWWW[[#This Row],[Access to safe/improved water through improved water sources]]+WWWW[[#This Row],[% Access to unimproved water points]]&gt;1,1,WWWW[[#This Row],[Access to safe/improved water through improved water sources]]+WWWW[[#This Row],[% Access to unimproved water points]])</f>
        <v>1</v>
      </c>
      <c r="BU8" s="400">
        <f>IF(WWWW[[#This Row],['# people with equitable and continuous access to sufficient quantity of safe drinking water]]+WWWW[[#This Row],['#People access to unimproved water sources]]&gt;WWWW[[#This Row],[Total PoP ]],WWWW[[#This Row],[Total PoP ]],WWWW[[#This Row],['# people with equitable and continuous access to sufficient quantity of safe drinking water]]+WWWW[[#This Row],['#People access to unimproved water sources]])</f>
        <v>2111</v>
      </c>
      <c r="BV8" s="400">
        <f>WWWW[[#This Row],[HRP1]]/500</f>
        <v>4.2220000000000004</v>
      </c>
      <c r="BW8" s="405">
        <f>1-WWWW[[#This Row],[% HRP1]]</f>
        <v>0</v>
      </c>
      <c r="BX8" s="400">
        <f>WWWW[[#This Row],[%equitable and continuous access to sufficient quantity of safe drinking and domestic water''s GAP]]*WWWW[[#This Row],[Total PoP ]]</f>
        <v>0</v>
      </c>
      <c r="BY8" s="402">
        <f>ROUND(IF(WWWW[[#This Row],[Total PoP ]]&lt;500,1,WWWW[[#This Row],[Total PoP ]]/500),0)</f>
        <v>4</v>
      </c>
      <c r="BZ8" s="402">
        <f>IF(WWWW[[#This Row],[Total required water points]]-WWWW[[#This Row],['#Water points coverage]]&lt;0,0,WWWW[[#This Row],[Total required water points]]-WWWW[[#This Row],['#Water points coverage]])</f>
        <v>0</v>
      </c>
      <c r="CA8" s="403">
        <f>WWWW[[#This Row],[HRP2]]/WWWW[[#This Row],[Total PoP ]]</f>
        <v>1</v>
      </c>
      <c r="CB8" s="400">
        <f>IF(WWWW[[#This Row],[Total PoP ]]="",0,IF(((WWWW[[#This Row],['#_Functional_adult_latrines]]*20)+(WWWW[[#This Row],['#_of_functional_children_latrines]]*20)+WWWW[[#This Row],['#_of_PWD_with_adapted_sanitation_option]]+(WWWW[[#This Row],['#_of_latrines_in_TLS/CFS]]*50))&gt;WWWW[[#This Row],[Total PoP ]],WWWW[[#This Row],[Total PoP ]],((WWWW[[#This Row],['#_Functional_adult_latrines]]*20)+(WWWW[[#This Row],['#_of_functional_children_latrines]]*20)+WWWW[[#This Row],['#_of_PWD_with_adapted_sanitation_option]]+(WWWW[[#This Row],['#_of_latrines_in_TLS/CFS]]*50))))</f>
        <v>2111</v>
      </c>
      <c r="CC8" s="402">
        <f>IF(WWWW[[#This Row],['#_of_latrines_in_TLS/CFS]]*50&gt;WWWW[[#This Row],['#_students at TLS_CFS]],WWWW[[#This Row],['#_students at TLS_CFS]],WWWW[[#This Row],['#_of_latrines_in_TLS/CFS]]*50)</f>
        <v>450</v>
      </c>
      <c r="CD8" s="402">
        <f>ROUND(IF(WWWW[[#This Row],[Location Type 1]]="camp",WWWW[[#This Row],[Total PoP ]]/20),0)</f>
        <v>106</v>
      </c>
      <c r="CE8" s="402">
        <f>IF(WWWW[[#This Row],[Total required Latrines]]-WWWW[[#This Row],['#_Existing_latrines]]&lt;0,0,WWWW[[#This Row],[Total required Latrines]]-WWWW[[#This Row],['#_Existing_latrines]])</f>
        <v>0</v>
      </c>
      <c r="CF8" s="541">
        <f>1-WWWW[[#This Row],[% HRP2]]</f>
        <v>0</v>
      </c>
      <c r="CG8" s="404">
        <f>IF(WWWW[[#This Row],['#_Existing_latrines]]="","NA",(WWWW[[#This Row],['#_Existing_latrines]]-WWWW[[#This Row],['#_Functional_adult_latrines]])/WWWW[[#This Row],['#_Existing_latrines]])</f>
        <v>2.5000000000000001E-2</v>
      </c>
      <c r="CH8" s="400">
        <f>IF(WWWW[[#This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Row],[_'#_of_Girls_receiving_consultation_hygiene_promotion_messages_and_sessions]]&gt;WWWW[[#This Row],[Total PoP ]],WWWW[[#This Row],[Total PoP ]],WWWW[[#This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f>
        <v>554</v>
      </c>
      <c r="CI8" s="402">
        <f>IF(WWWW[[#This Row],['#_of_affected_households_receiving_a_sufficient_quantity_of_soap]]=0,0,IF(WWWW[[#This Row],['#_of_affected_households_receiving_a_sufficient_quantity_of_soap]]&gt;=WWWW[[#This Row],[Total HH]],WWWW[[#This Row],[Total PoP ]],IF(WWWW[[#This Row],['#_of_affected_households_receiving_a_sufficient_quantity_of_soap]]*5&gt;WWWW[[#This Row],[Total PoP ]],WWWW[[#This Row],[Total PoP ]],WWWW[[#This Row],['#_of_affected_households_receiving_a_sufficient_quantity_of_soap]]*5)))</f>
        <v>1895</v>
      </c>
      <c r="CJ8" s="402">
        <f>IF(WWWW[[#This Row],['#_of_affected_women_and_girls_receiving_a_sufficient_quantity_of_sanitary_pads]]&gt;WWWW[[#This Row],[Total PoP ]],WWWW[[#This Row],[Total PoP ]],WWWW[[#This Row],['#_of_affected_women_and_girls_receiving_a_sufficient_quantity_of_sanitary_pads]])</f>
        <v>882</v>
      </c>
      <c r="CK8" s="402">
        <f>IF(WWWW[[#This Row],['# People with access to soap]]&gt;WWWW[[#This Row],['# People with access to Sanity Pads]],WWWW[[#This Row],['# People with access to soap]],WWWW[[#This Row],['# People with access to Sanity Pads]])</f>
        <v>1895</v>
      </c>
      <c r="CL8" s="402">
        <f>IF(WWWW[[#This Row],['# people reached by regular dedicated hygiene promotion_5]]&gt;WWWW[[#This Row],['# People received regular supply of hygiene items_6]],WWWW[[#This Row],['# people reached by regular dedicated hygiene promotion_5]],WWWW[[#This Row],['# People received regular supply of hygiene items_6]])</f>
        <v>1895</v>
      </c>
      <c r="CM8" s="405">
        <f>IF(WWWW[[#This Row],[HRP3]]/WWWW[[#This Row],[Total PoP ]]&gt;100%,100%,WWWW[[#This Row],[HRP3]]/WWWW[[#This Row],[Total PoP ]])</f>
        <v>0.89767882520132636</v>
      </c>
      <c r="CN8" s="404">
        <f>1-WWWW[[#This Row],[Hygiene Coverage%]]</f>
        <v>0.10232117479867364</v>
      </c>
      <c r="CO8" s="403">
        <f>WWWW[[#This Row],['# people reached by regular dedicated hygiene promotion_5]]/WWWW[[#This Row],[Total PoP ]]</f>
        <v>0.26243486499289437</v>
      </c>
      <c r="CP8" s="403">
        <f>IF(WWWW[[#This Row],['#_of_affected_households_receiving_a_sufficient_quantity_of_soap]]/WWWW[[#This Row],[Total HH]]&gt;1,1,WWWW[[#This Row],['#_of_affected_households_receiving_a_sufficient_quantity_of_soap]]/WWWW[[#This Row],[Total HH]])</f>
        <v>0.95465994962216627</v>
      </c>
      <c r="CQ8" s="400" t="str">
        <f>IF(WWWW[[#This Row],['#_students at TLS_CFS]]="","No","Yes")</f>
        <v>Yes</v>
      </c>
      <c r="CR8" s="403">
        <f>WWWW[[#This Row],['#_of_affected_people_surveyed_who_report_feeling_informed_about_the_different_WASH_services_available_to_them]]/WWWW[[#This Row],[Total PoP ]]</f>
        <v>1</v>
      </c>
      <c r="CS8" s="398" t="str">
        <f>VLOOKUP(WWWW[[#This Row],[Site Name]],SiteDB6[[Site Name]:[CCCM Management]],6,FALSE)</f>
        <v>Yes</v>
      </c>
      <c r="CT8" s="398">
        <f>VLOOKUP(WWWW[[#This Row],[Site Name]],SiteDB6[[Site Name]:[CCCM Focal Agency]],7,FALSE)</f>
        <v>0</v>
      </c>
      <c r="CU8" s="398" t="str">
        <f>VLOOKUP(WWWW[[#This Row],[Site Name]],SiteDB6[[Site Name]:[Location Type 1]],9,FALSE)</f>
        <v>Camp</v>
      </c>
      <c r="CV8" s="398" t="str">
        <f>VLOOKUP(WWWW[[#This Row],[Site Name]],SiteDB6[[Site Name]:[Type of Accommodation]],10,FALSE)</f>
        <v>Planned Camp</v>
      </c>
      <c r="CW8" s="398" t="str">
        <f>VLOOKUP(WWWW[[#This Row],[Site Name]],SiteDB6[[Site Name]:[Ethnic or GCA/NGCA]],11,FALSE)</f>
        <v>Muslim</v>
      </c>
      <c r="CX8" s="398">
        <f>VLOOKUP(WWWW[[#This Row],[Site Name]],SiteDB6[[Site Name]:[Lat]],12,FALSE)</f>
        <v>20.128488999999998</v>
      </c>
      <c r="CY8" s="398">
        <f>VLOOKUP(WWWW[[#This Row],[Site Name]],SiteDB6[[Site Name]:[Long]],13,FALSE)</f>
        <v>92.875814000000005</v>
      </c>
      <c r="CZ8" s="398" t="str">
        <f>VLOOKUP(WWWW[[#This Row],[Site Name]],SiteDB6[[Site Name]:[Pcode]],3,FALSE)</f>
        <v>MMR012CMP039</v>
      </c>
      <c r="DA8" s="406" t="str">
        <f t="shared" si="0"/>
        <v>Covered</v>
      </c>
      <c r="DB8" s="406">
        <f>VLOOKUP(WWWW[[#This Row],[Site Name]],SiteDB6[[Site Name]:[PWD_Total]],22,FALSE)</f>
        <v>99</v>
      </c>
      <c r="DC8" s="406">
        <f>VLOOKUP(WWWW[[#This Row],[Site Name]],SiteDB6[[Site Name]:[PWD_Total]],23,FALSE)</f>
        <v>287</v>
      </c>
      <c r="DD8" s="406">
        <f>VLOOKUP(WWWW[[#This Row],[Site Name]],SiteDB6[[Site Name]:[PWD_Total]],24,FALSE)</f>
        <v>386</v>
      </c>
      <c r="DE8" s="406"/>
      <c r="DF8" s="830"/>
      <c r="DG8" s="830"/>
      <c r="DH8" s="830"/>
      <c r="DJ8" s="37"/>
      <c r="DK8" s="37"/>
      <c r="DL8" s="38"/>
      <c r="DM8" s="38"/>
      <c r="DU8" s="20"/>
      <c r="DV8" s="20"/>
    </row>
    <row r="9" spans="1:126" hidden="1">
      <c r="A9" s="393" t="s">
        <v>2387</v>
      </c>
      <c r="B9" s="393" t="s">
        <v>2308</v>
      </c>
      <c r="C9" s="399" t="s">
        <v>2308</v>
      </c>
      <c r="D9" s="399" t="s">
        <v>41</v>
      </c>
      <c r="E9" s="532" t="s">
        <v>2706</v>
      </c>
      <c r="F9" s="399" t="s">
        <v>299</v>
      </c>
      <c r="G9" s="532" t="str">
        <f>VLOOKUP(WWWW[[#This Row],[Site Name]],SiteDB6[[Site Name]:[Location Type]],8,FALSE)</f>
        <v>Camp</v>
      </c>
      <c r="H9" s="399" t="s">
        <v>429</v>
      </c>
      <c r="I9" s="401">
        <v>1016</v>
      </c>
      <c r="J9" s="401">
        <v>4892</v>
      </c>
      <c r="K9" s="407"/>
      <c r="L9" s="408">
        <v>44104</v>
      </c>
      <c r="M9" s="589">
        <v>3364</v>
      </c>
      <c r="N9" s="589">
        <v>49</v>
      </c>
      <c r="O9" s="589">
        <f>115+108</f>
        <v>223</v>
      </c>
      <c r="P9" s="589">
        <v>0</v>
      </c>
      <c r="Q9" s="542" t="s">
        <v>130</v>
      </c>
      <c r="R9" s="589">
        <f>8+8</f>
        <v>16</v>
      </c>
      <c r="S9" s="589">
        <v>7</v>
      </c>
      <c r="T9" s="589">
        <v>39</v>
      </c>
      <c r="U9" s="589">
        <v>50</v>
      </c>
      <c r="V9" s="401"/>
      <c r="W9" s="401"/>
      <c r="X9" s="589">
        <v>3</v>
      </c>
      <c r="Y9" s="589">
        <v>3</v>
      </c>
      <c r="Z9" s="401"/>
      <c r="AA9" s="401"/>
      <c r="AB9" s="401"/>
      <c r="AC9" s="401"/>
      <c r="AD9" s="401">
        <v>6</v>
      </c>
      <c r="AE9" s="634"/>
      <c r="AF9" s="589">
        <v>169</v>
      </c>
      <c r="AG9" s="589">
        <v>254</v>
      </c>
      <c r="AH9" s="589">
        <v>150</v>
      </c>
      <c r="AI9" s="534">
        <v>0.8</v>
      </c>
      <c r="AJ9" s="589">
        <v>536</v>
      </c>
      <c r="AK9" s="534">
        <v>0.98</v>
      </c>
      <c r="AL9" s="534">
        <v>0.9</v>
      </c>
      <c r="AM9" s="534">
        <v>0.9</v>
      </c>
      <c r="AN9" s="534">
        <v>0.9</v>
      </c>
      <c r="AO9" s="589"/>
      <c r="AP9" s="589"/>
      <c r="AQ9" s="589">
        <v>15</v>
      </c>
      <c r="AR9" s="589" t="s">
        <v>42</v>
      </c>
      <c r="AS9" s="647"/>
      <c r="AT9" s="589">
        <v>208</v>
      </c>
      <c r="AU9" s="589">
        <v>817</v>
      </c>
      <c r="AV9" s="589">
        <v>1151</v>
      </c>
      <c r="AW9" s="589">
        <v>1169</v>
      </c>
      <c r="AX9" s="589">
        <v>1016</v>
      </c>
      <c r="AY9" s="589">
        <v>1602</v>
      </c>
      <c r="AZ9" s="401"/>
      <c r="BA9" s="401"/>
      <c r="BB9" s="401"/>
      <c r="BC9" s="403">
        <v>0.8</v>
      </c>
      <c r="BD9" s="647"/>
      <c r="BE9" s="534"/>
      <c r="BF9" s="534"/>
      <c r="BG9" s="589">
        <f>98%*WWWW[[#This Row],[Total PoP ]]</f>
        <v>4794.16</v>
      </c>
      <c r="BH9" s="534">
        <v>0.63</v>
      </c>
      <c r="BI9" s="403" t="e">
        <f>WWWW[[#This Row],[Cases of Acute watery diarrhea]]/WWWW[[#This Row],[Total consultations]]</f>
        <v>#DIV/0!</v>
      </c>
      <c r="BJ9" s="398"/>
      <c r="BK9" s="647"/>
      <c r="BL9" s="647"/>
      <c r="BM9" s="404">
        <f>IFERROR(WWWW[[#This Row],['#_Water samples _passed_at_water source]]/WWWW[[#This Row],['#_Water samples_Tested_at_water_source]],"no test")</f>
        <v>1</v>
      </c>
      <c r="BN9" s="403" t="str">
        <f>IFERROR(WWWW[[#This Row],['#_Water samples _passed_at_HH]]/WWWW[[#This Row],['#_Water samples_Tested_at_HH]],"no test")</f>
        <v>no test</v>
      </c>
      <c r="BO9" s="402" t="str">
        <f>IF(AND(WWWW[[#This Row],[%of Water samples which passed at water source]]="no test",WWWW[[#This Row],[%Water samples which passed at HH]]="no test"),"No Test","Tested")</f>
        <v>Tested</v>
      </c>
      <c r="BP9" s="404">
        <f>IF(WWWW[[#This Row],[Total PoP ]]="","",IF(((WWWW[[#This Row],['#_Functional_improved_water_source]]*500)+(WWWW[[#This Row],['#_litres_of_water_supplied_by_existing_water_boating/trucking ]]/90/15)+(WWWW[[#This Row],['#_Functional_water_point_at_TLS/CFS]]*500))/WWWW[[#This Row],[Total PoP ]]&gt;1,1,((WWWW[[#This Row],['#_Functional_improved_water_source]]*500)+(WWWW[[#This Row],['#_litres_of_water_supplied_by_existing_water_boating/trucking ]]/90/15)+(WWWW[[#This Row],['#_Functional_water_point_at_TLS/CFS]]*500))/WWWW[[#This Row],[Total PoP ]]))</f>
        <v>1</v>
      </c>
      <c r="BQ9" s="400">
        <f>WWWW[[#This Row],[Access to safe/improved water through improved water sources]]*WWWW[[#This Row],[Total PoP ]]</f>
        <v>4892</v>
      </c>
      <c r="BR9" s="403">
        <f>IF((WWWW[[#This Row],['#_litres_of_water_stored_in_ponds]]/90/15)/WWWW[[#This Row],[Total PoP ]]&gt;1,1,(WWWW[[#This Row],['#_litres_of_water_stored_in_ponds]]/90/15)/WWWW[[#This Row],[Total PoP ]])</f>
        <v>0</v>
      </c>
      <c r="BS9" s="400">
        <f>WWWW[[#This Row],[% Access to unimproved water points]]*WWWW[[#This Row],[Total PoP ]]</f>
        <v>0</v>
      </c>
      <c r="BT9" s="403">
        <f>IF(WWWW[[#This Row],[Access to safe/improved water through improved water sources]]+WWWW[[#This Row],[% Access to unimproved water points]]&gt;1,1,WWWW[[#This Row],[Access to safe/improved water through improved water sources]]+WWWW[[#This Row],[% Access to unimproved water points]])</f>
        <v>1</v>
      </c>
      <c r="BU9" s="400">
        <f>IF(WWWW[[#This Row],['# people with equitable and continuous access to sufficient quantity of safe drinking water]]+WWWW[[#This Row],['#People access to unimproved water sources]]&gt;WWWW[[#This Row],[Total PoP ]],WWWW[[#This Row],[Total PoP ]],WWWW[[#This Row],['# people with equitable and continuous access to sufficient quantity of safe drinking water]]+WWWW[[#This Row],['#People access to unimproved water sources]])</f>
        <v>4892</v>
      </c>
      <c r="BV9" s="400">
        <f>WWWW[[#This Row],[HRP1]]/500</f>
        <v>9.7840000000000007</v>
      </c>
      <c r="BW9" s="405">
        <f>1-WWWW[[#This Row],[% HRP1]]</f>
        <v>0</v>
      </c>
      <c r="BX9" s="400">
        <f>WWWW[[#This Row],[%equitable and continuous access to sufficient quantity of safe drinking and domestic water''s GAP]]*WWWW[[#This Row],[Total PoP ]]</f>
        <v>0</v>
      </c>
      <c r="BY9" s="402">
        <f>ROUND(IF(WWWW[[#This Row],[Total PoP ]]&lt;500,1,WWWW[[#This Row],[Total PoP ]]/500),0)</f>
        <v>10</v>
      </c>
      <c r="BZ9" s="402">
        <f>IF(WWWW[[#This Row],[Total required water points]]-WWWW[[#This Row],['#Water points coverage]]&lt;0,0,WWWW[[#This Row],[Total required water points]]-WWWW[[#This Row],['#Water points coverage]])</f>
        <v>0.2159999999999993</v>
      </c>
      <c r="CA9" s="403">
        <f>WWWW[[#This Row],[HRP2]]/WWWW[[#This Row],[Total PoP ]]</f>
        <v>0.84423548650858549</v>
      </c>
      <c r="CB9" s="400">
        <f>IF(WWWW[[#This Row],[Total PoP ]]="",0,IF(((WWWW[[#This Row],['#_Functional_adult_latrines]]*20)+(WWWW[[#This Row],['#_of_functional_children_latrines]]*20)+WWWW[[#This Row],['#_of_PWD_with_adapted_sanitation_option]]+(WWWW[[#This Row],['#_of_latrines_in_TLS/CFS]]*50))&gt;WWWW[[#This Row],[Total PoP ]],WWWW[[#This Row],[Total PoP ]],((WWWW[[#This Row],['#_Functional_adult_latrines]]*20)+(WWWW[[#This Row],['#_of_functional_children_latrines]]*20)+WWWW[[#This Row],['#_of_PWD_with_adapted_sanitation_option]]+(WWWW[[#This Row],['#_of_latrines_in_TLS/CFS]]*50))))</f>
        <v>4130</v>
      </c>
      <c r="CC9" s="402">
        <f>IF(WWWW[[#This Row],['#_of_latrines_in_TLS/CFS]]*50&gt;WWWW[[#This Row],['#_students at TLS_CFS]],WWWW[[#This Row],['#_students at TLS_CFS]],WWWW[[#This Row],['#_of_latrines_in_TLS/CFS]]*50)</f>
        <v>750</v>
      </c>
      <c r="CD9" s="402">
        <f>ROUND(IF(WWWW[[#This Row],[Location Type 1]]="camp",WWWW[[#This Row],[Total PoP ]]/20),0)</f>
        <v>245</v>
      </c>
      <c r="CE9" s="402">
        <f>IF(WWWW[[#This Row],[Total required Latrines]]-WWWW[[#This Row],['#_Existing_latrines]]&lt;0,0,WWWW[[#This Row],[Total required Latrines]]-WWWW[[#This Row],['#_Existing_latrines]])</f>
        <v>0</v>
      </c>
      <c r="CF9" s="71">
        <f>1-WWWW[[#This Row],[% HRP2]]</f>
        <v>0.15576451349141451</v>
      </c>
      <c r="CG9" s="404">
        <f>IF(WWWW[[#This Row],['#_Existing_latrines]]="","NA",(WWWW[[#This Row],['#_Existing_latrines]]-WWWW[[#This Row],['#_Functional_adult_latrines]])/WWWW[[#This Row],['#_Existing_latrines]])</f>
        <v>0.3346456692913386</v>
      </c>
      <c r="CH9" s="400">
        <f>IF(WWWW[[#This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Row],[_'#_of_Girls_receiving_consultation_hygiene_promotion_messages_and_sessions]]&gt;WWWW[[#This Row],[Total PoP ]],WWWW[[#This Row],[Total PoP ]],WWWW[[#This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f>
        <v>3345</v>
      </c>
      <c r="CI9" s="402">
        <f>IF(WWWW[[#This Row],['#_of_affected_households_receiving_a_sufficient_quantity_of_soap]]=0,0,IF(WWWW[[#This Row],['#_of_affected_households_receiving_a_sufficient_quantity_of_soap]]&gt;=WWWW[[#This Row],[Total HH]],WWWW[[#This Row],[Total PoP ]],IF(WWWW[[#This Row],['#_of_affected_households_receiving_a_sufficient_quantity_of_soap]]*5&gt;WWWW[[#This Row],[Total PoP ]],WWWW[[#This Row],[Total PoP ]],WWWW[[#This Row],['#_of_affected_households_receiving_a_sufficient_quantity_of_soap]]*5)))</f>
        <v>4892</v>
      </c>
      <c r="CJ9" s="402">
        <f>IF(WWWW[[#This Row],['#_of_affected_women_and_girls_receiving_a_sufficient_quantity_of_sanitary_pads]]&gt;WWWW[[#This Row],[Total PoP ]],WWWW[[#This Row],[Total PoP ]],WWWW[[#This Row],['#_of_affected_women_and_girls_receiving_a_sufficient_quantity_of_sanitary_pads]])</f>
        <v>1602</v>
      </c>
      <c r="CK9" s="402">
        <f>IF(WWWW[[#This Row],['# People with access to soap]]&gt;WWWW[[#This Row],['# People with access to Sanity Pads]],WWWW[[#This Row],['# People with access to soap]],WWWW[[#This Row],['# People with access to Sanity Pads]])</f>
        <v>4892</v>
      </c>
      <c r="CL9" s="402">
        <f>IF(WWWW[[#This Row],['# people reached by regular dedicated hygiene promotion_5]]&gt;WWWW[[#This Row],['# People received regular supply of hygiene items_6]],WWWW[[#This Row],['# people reached by regular dedicated hygiene promotion_5]],WWWW[[#This Row],['# People received regular supply of hygiene items_6]])</f>
        <v>4892</v>
      </c>
      <c r="CM9" s="405">
        <f>IF(WWWW[[#This Row],[HRP3]]/WWWW[[#This Row],[Total PoP ]]&gt;100%,100%,WWWW[[#This Row],[HRP3]]/WWWW[[#This Row],[Total PoP ]])</f>
        <v>1</v>
      </c>
      <c r="CN9" s="404">
        <f>1-WWWW[[#This Row],[Hygiene Coverage%]]</f>
        <v>0</v>
      </c>
      <c r="CO9" s="403">
        <f>WWWW[[#This Row],['# people reached by regular dedicated hygiene promotion_5]]/WWWW[[#This Row],[Total PoP ]]</f>
        <v>0.68376941946034342</v>
      </c>
      <c r="CP9" s="403">
        <f>IF(WWWW[[#This Row],['#_of_affected_households_receiving_a_sufficient_quantity_of_soap]]/WWWW[[#This Row],[Total HH]]&gt;1,1,WWWW[[#This Row],['#_of_affected_households_receiving_a_sufficient_quantity_of_soap]]/WWWW[[#This Row],[Total HH]])</f>
        <v>1</v>
      </c>
      <c r="CQ9" s="400" t="str">
        <f>IF(WWWW[[#This Row],['#_students at TLS_CFS]]="","No","Yes")</f>
        <v>Yes</v>
      </c>
      <c r="CR9" s="403">
        <f>WWWW[[#This Row],['#_of_affected_people_surveyed_who_report_feeling_informed_about_the_different_WASH_services_available_to_them]]/WWWW[[#This Row],[Total PoP ]]</f>
        <v>0.98</v>
      </c>
      <c r="CS9" s="398" t="str">
        <f>VLOOKUP(WWWW[[#This Row],[Site Name]],SiteDB6[[Site Name]:[CCCM Management]],6,FALSE)</f>
        <v>Yes</v>
      </c>
      <c r="CT9" s="398">
        <f>VLOOKUP(WWWW[[#This Row],[Site Name]],SiteDB6[[Site Name]:[CCCM Focal Agency]],7,FALSE)</f>
        <v>0</v>
      </c>
      <c r="CU9" s="398" t="str">
        <f>VLOOKUP(WWWW[[#This Row],[Site Name]],SiteDB6[[Site Name]:[Location Type 1]],9,FALSE)</f>
        <v>Camp</v>
      </c>
      <c r="CV9" s="398" t="str">
        <f>VLOOKUP(WWWW[[#This Row],[Site Name]],SiteDB6[[Site Name]:[Type of Accommodation]],10,FALSE)</f>
        <v>Planned Camp</v>
      </c>
      <c r="CW9" s="398" t="str">
        <f>VLOOKUP(WWWW[[#This Row],[Site Name]],SiteDB6[[Site Name]:[Ethnic or GCA/NGCA]],11,FALSE)</f>
        <v>Muslim</v>
      </c>
      <c r="CX9" s="398">
        <f>VLOOKUP(WWWW[[#This Row],[Site Name]],SiteDB6[[Site Name]:[Lat]],12,FALSE)</f>
        <v>20.179417000000001</v>
      </c>
      <c r="CY9" s="398">
        <f>VLOOKUP(WWWW[[#This Row],[Site Name]],SiteDB6[[Site Name]:[Long]],13,FALSE)</f>
        <v>92.813028000000003</v>
      </c>
      <c r="CZ9" s="398" t="str">
        <f>VLOOKUP(WWWW[[#This Row],[Site Name]],SiteDB6[[Site Name]:[Pcode]],3,FALSE)</f>
        <v>MMR012CMP113</v>
      </c>
      <c r="DA9" s="406" t="str">
        <f t="shared" si="0"/>
        <v>Covered</v>
      </c>
      <c r="DB9" s="406">
        <f>VLOOKUP(WWWW[[#This Row],[Site Name]],SiteDB6[[Site Name]:[PWD_Total]],22,FALSE)</f>
        <v>124</v>
      </c>
      <c r="DC9" s="406">
        <f>VLOOKUP(WWWW[[#This Row],[Site Name]],SiteDB6[[Site Name]:[PWD_Total]],23,FALSE)</f>
        <v>410</v>
      </c>
      <c r="DD9" s="406">
        <f>VLOOKUP(WWWW[[#This Row],[Site Name]],SiteDB6[[Site Name]:[PWD_Total]],24,FALSE)</f>
        <v>534</v>
      </c>
      <c r="DE9" s="406"/>
      <c r="DF9" s="830"/>
      <c r="DG9" s="830"/>
      <c r="DH9" s="830"/>
      <c r="DJ9" s="37"/>
      <c r="DK9" s="37"/>
      <c r="DL9" s="38"/>
      <c r="DM9" s="38"/>
      <c r="DU9" s="20"/>
      <c r="DV9" s="20"/>
    </row>
    <row r="10" spans="1:126" hidden="1">
      <c r="A10" s="393" t="s">
        <v>2387</v>
      </c>
      <c r="B10" s="393" t="s">
        <v>2308</v>
      </c>
      <c r="C10" s="399" t="s">
        <v>2308</v>
      </c>
      <c r="D10" s="399" t="s">
        <v>41</v>
      </c>
      <c r="E10" s="532" t="s">
        <v>2706</v>
      </c>
      <c r="F10" s="399" t="s">
        <v>299</v>
      </c>
      <c r="G10" s="532" t="str">
        <f>VLOOKUP(WWWW[[#This Row],[Site Name]],SiteDB6[[Site Name]:[Location Type]],8,FALSE)</f>
        <v>Camp</v>
      </c>
      <c r="H10" s="399" t="s">
        <v>431</v>
      </c>
      <c r="I10" s="401">
        <v>1311</v>
      </c>
      <c r="J10" s="401">
        <v>6936</v>
      </c>
      <c r="K10" s="407"/>
      <c r="L10" s="408">
        <v>44104</v>
      </c>
      <c r="M10" s="589">
        <v>3041</v>
      </c>
      <c r="N10" s="401"/>
      <c r="O10" s="401"/>
      <c r="P10" s="401" t="s">
        <v>2675</v>
      </c>
      <c r="Q10" s="400"/>
      <c r="R10" s="401"/>
      <c r="S10" s="401"/>
      <c r="T10" s="589">
        <v>63</v>
      </c>
      <c r="U10" s="589">
        <v>80</v>
      </c>
      <c r="V10" s="401"/>
      <c r="W10" s="401"/>
      <c r="X10" s="401"/>
      <c r="Y10" s="401"/>
      <c r="Z10" s="401"/>
      <c r="AA10" s="401"/>
      <c r="AB10" s="401"/>
      <c r="AC10" s="401"/>
      <c r="AD10" s="401">
        <v>2</v>
      </c>
      <c r="AE10" s="634"/>
      <c r="AF10" s="589">
        <v>259</v>
      </c>
      <c r="AG10" s="589">
        <v>328</v>
      </c>
      <c r="AH10" s="589"/>
      <c r="AI10" s="534"/>
      <c r="AJ10" s="589"/>
      <c r="AK10" s="534"/>
      <c r="AL10" s="534"/>
      <c r="AM10" s="534"/>
      <c r="AN10" s="534"/>
      <c r="AO10" s="589"/>
      <c r="AP10" s="589"/>
      <c r="AQ10" s="589">
        <v>13</v>
      </c>
      <c r="AR10" s="589" t="s">
        <v>42</v>
      </c>
      <c r="AS10" s="647"/>
      <c r="AT10" s="589"/>
      <c r="AU10" s="589"/>
      <c r="AV10" s="589"/>
      <c r="AW10" s="589"/>
      <c r="AX10" s="589">
        <v>1311</v>
      </c>
      <c r="AY10" s="589">
        <v>2133</v>
      </c>
      <c r="AZ10" s="401"/>
      <c r="BA10" s="401"/>
      <c r="BB10" s="401"/>
      <c r="BC10" s="403">
        <v>0.85</v>
      </c>
      <c r="BD10" s="647"/>
      <c r="BE10" s="534"/>
      <c r="BF10" s="534"/>
      <c r="BG10" s="589"/>
      <c r="BH10" s="534"/>
      <c r="BI10" s="403"/>
      <c r="BJ10" s="398"/>
      <c r="BK10" s="647"/>
      <c r="BL10" s="647"/>
      <c r="BM10" s="404" t="str">
        <f>IFERROR(WWWW[[#This Row],['#_Water samples _passed_at_water source]]/WWWW[[#This Row],['#_Water samples_Tested_at_water_source]],"no test")</f>
        <v>no test</v>
      </c>
      <c r="BN10" s="403" t="str">
        <f>IFERROR(WWWW[[#This Row],['#_Water samples _passed_at_HH]]/WWWW[[#This Row],['#_Water samples_Tested_at_HH]],"no test")</f>
        <v>no test</v>
      </c>
      <c r="BO10" s="402" t="str">
        <f>IF(AND(WWWW[[#This Row],[%of Water samples which passed at water source]]="no test",WWWW[[#This Row],[%Water samples which passed at HH]]="no test"),"No Test","Tested")</f>
        <v>No Test</v>
      </c>
      <c r="BP10" s="404">
        <f>IF(WWWW[[#This Row],[Total PoP ]]="","",IF(((WWWW[[#This Row],['#_Functional_improved_water_source]]*500)+(WWWW[[#This Row],['#_litres_of_water_supplied_by_existing_water_boating/trucking ]]/90/15)+(WWWW[[#This Row],['#_Functional_water_point_at_TLS/CFS]]*500))/WWWW[[#This Row],[Total PoP ]]&gt;1,1,((WWWW[[#This Row],['#_Functional_improved_water_source]]*500)+(WWWW[[#This Row],['#_litres_of_water_supplied_by_existing_water_boating/trucking ]]/90/15)+(WWWW[[#This Row],['#_Functional_water_point_at_TLS/CFS]]*500))/WWWW[[#This Row],[Total PoP ]]))</f>
        <v>1</v>
      </c>
      <c r="BQ10" s="400">
        <f>WWWW[[#This Row],[Access to safe/improved water through improved water sources]]*WWWW[[#This Row],[Total PoP ]]</f>
        <v>6936</v>
      </c>
      <c r="BR10" s="403">
        <f>IF((WWWW[[#This Row],['#_litres_of_water_stored_in_ponds]]/90/15)/WWWW[[#This Row],[Total PoP ]]&gt;1,1,(WWWW[[#This Row],['#_litres_of_water_stored_in_ponds]]/90/15)/WWWW[[#This Row],[Total PoP ]])</f>
        <v>0</v>
      </c>
      <c r="BS10" s="400">
        <f>WWWW[[#This Row],[% Access to unimproved water points]]*WWWW[[#This Row],[Total PoP ]]</f>
        <v>0</v>
      </c>
      <c r="BT10" s="403">
        <f>IF(WWWW[[#This Row],[Access to safe/improved water through improved water sources]]+WWWW[[#This Row],[% Access to unimproved water points]]&gt;1,1,WWWW[[#This Row],[Access to safe/improved water through improved water sources]]+WWWW[[#This Row],[% Access to unimproved water points]])</f>
        <v>1</v>
      </c>
      <c r="BU10" s="400">
        <f>IF(WWWW[[#This Row],['# people with equitable and continuous access to sufficient quantity of safe drinking water]]+WWWW[[#This Row],['#People access to unimproved water sources]]&gt;WWWW[[#This Row],[Total PoP ]],WWWW[[#This Row],[Total PoP ]],WWWW[[#This Row],['# people with equitable and continuous access to sufficient quantity of safe drinking water]]+WWWW[[#This Row],['#People access to unimproved water sources]])</f>
        <v>6936</v>
      </c>
      <c r="BV10" s="400">
        <f>WWWW[[#This Row],[HRP1]]/500</f>
        <v>13.872</v>
      </c>
      <c r="BW10" s="405">
        <f>1-WWWW[[#This Row],[% HRP1]]</f>
        <v>0</v>
      </c>
      <c r="BX10" s="400">
        <f>WWWW[[#This Row],[%equitable and continuous access to sufficient quantity of safe drinking and domestic water''s GAP]]*WWWW[[#This Row],[Total PoP ]]</f>
        <v>0</v>
      </c>
      <c r="BY10" s="402">
        <f>ROUND(IF(WWWW[[#This Row],[Total PoP ]]&lt;500,1,WWWW[[#This Row],[Total PoP ]]/500),0)</f>
        <v>14</v>
      </c>
      <c r="BZ10" s="402">
        <f>IF(WWWW[[#This Row],[Total required water points]]-WWWW[[#This Row],['#Water points coverage]]&lt;0,0,WWWW[[#This Row],[Total required water points]]-WWWW[[#This Row],['#Water points coverage]])</f>
        <v>0.12800000000000011</v>
      </c>
      <c r="CA10" s="403">
        <f>WWWW[[#This Row],[HRP2]]/WWWW[[#This Row],[Total PoP ]]</f>
        <v>0.84054209919261824</v>
      </c>
      <c r="CB10" s="400">
        <f>IF(WWWW[[#This Row],[Total PoP ]]="",0,IF(((WWWW[[#This Row],['#_Functional_adult_latrines]]*20)+(WWWW[[#This Row],['#_of_functional_children_latrines]]*20)+WWWW[[#This Row],['#_of_PWD_with_adapted_sanitation_option]]+(WWWW[[#This Row],['#_of_latrines_in_TLS/CFS]]*50))&gt;WWWW[[#This Row],[Total PoP ]],WWWW[[#This Row],[Total PoP ]],((WWWW[[#This Row],['#_Functional_adult_latrines]]*20)+(WWWW[[#This Row],['#_of_functional_children_latrines]]*20)+WWWW[[#This Row],['#_of_PWD_with_adapted_sanitation_option]]+(WWWW[[#This Row],['#_of_latrines_in_TLS/CFS]]*50))))</f>
        <v>5830</v>
      </c>
      <c r="CC10" s="402">
        <f>IF(WWWW[[#This Row],['#_of_latrines_in_TLS/CFS]]*50&gt;WWWW[[#This Row],['#_students at TLS_CFS]],WWWW[[#This Row],['#_students at TLS_CFS]],WWWW[[#This Row],['#_of_latrines_in_TLS/CFS]]*50)</f>
        <v>650</v>
      </c>
      <c r="CD10" s="402">
        <f>ROUND(IF(WWWW[[#This Row],[Location Type 1]]="camp",WWWW[[#This Row],[Total PoP ]]/20),0)</f>
        <v>347</v>
      </c>
      <c r="CE10" s="402">
        <f>IF(WWWW[[#This Row],[Total required Latrines]]-WWWW[[#This Row],['#_Existing_latrines]]&lt;0,0,WWWW[[#This Row],[Total required Latrines]]-WWWW[[#This Row],['#_Existing_latrines]])</f>
        <v>19</v>
      </c>
      <c r="CF10" s="541">
        <f>1-WWWW[[#This Row],[% HRP2]]</f>
        <v>0.15945790080738176</v>
      </c>
      <c r="CG10" s="404">
        <f>IF(WWWW[[#This Row],['#_Existing_latrines]]="","NA",(WWWW[[#This Row],['#_Existing_latrines]]-WWWW[[#This Row],['#_Functional_adult_latrines]])/WWWW[[#This Row],['#_Existing_latrines]])</f>
        <v>0.21036585365853658</v>
      </c>
      <c r="CH10" s="400">
        <f>IF(WWWW[[#This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Row],[_'#_of_Girls_receiving_consultation_hygiene_promotion_messages_and_sessions]]&gt;WWWW[[#This Row],[Total PoP ]],WWWW[[#This Row],[Total PoP ]],WWWW[[#This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f>
        <v>0</v>
      </c>
      <c r="CI10" s="402">
        <f>IF(WWWW[[#This Row],['#_of_affected_households_receiving_a_sufficient_quantity_of_soap]]=0,0,IF(WWWW[[#This Row],['#_of_affected_households_receiving_a_sufficient_quantity_of_soap]]&gt;=WWWW[[#This Row],[Total HH]],WWWW[[#This Row],[Total PoP ]],IF(WWWW[[#This Row],['#_of_affected_households_receiving_a_sufficient_quantity_of_soap]]*5&gt;WWWW[[#This Row],[Total PoP ]],WWWW[[#This Row],[Total PoP ]],WWWW[[#This Row],['#_of_affected_households_receiving_a_sufficient_quantity_of_soap]]*5)))</f>
        <v>6936</v>
      </c>
      <c r="CJ10" s="402">
        <f>IF(WWWW[[#This Row],['#_of_affected_women_and_girls_receiving_a_sufficient_quantity_of_sanitary_pads]]&gt;WWWW[[#This Row],[Total PoP ]],WWWW[[#This Row],[Total PoP ]],WWWW[[#This Row],['#_of_affected_women_and_girls_receiving_a_sufficient_quantity_of_sanitary_pads]])</f>
        <v>2133</v>
      </c>
      <c r="CK10" s="402">
        <f>IF(WWWW[[#This Row],['# People with access to soap]]&gt;WWWW[[#This Row],['# People with access to Sanity Pads]],WWWW[[#This Row],['# People with access to soap]],WWWW[[#This Row],['# People with access to Sanity Pads]])</f>
        <v>6936</v>
      </c>
      <c r="CL10" s="402">
        <f>IF(WWWW[[#This Row],['# people reached by regular dedicated hygiene promotion_5]]&gt;WWWW[[#This Row],['# People received regular supply of hygiene items_6]],WWWW[[#This Row],['# people reached by regular dedicated hygiene promotion_5]],WWWW[[#This Row],['# People received regular supply of hygiene items_6]])</f>
        <v>6936</v>
      </c>
      <c r="CM10" s="405">
        <f>IF(WWWW[[#This Row],[HRP3]]/WWWW[[#This Row],[Total PoP ]]&gt;100%,100%,WWWW[[#This Row],[HRP3]]/WWWW[[#This Row],[Total PoP ]])</f>
        <v>1</v>
      </c>
      <c r="CN10" s="404">
        <f>1-WWWW[[#This Row],[Hygiene Coverage%]]</f>
        <v>0</v>
      </c>
      <c r="CO10" s="403">
        <f>WWWW[[#This Row],['# people reached by regular dedicated hygiene promotion_5]]/WWWW[[#This Row],[Total PoP ]]</f>
        <v>0</v>
      </c>
      <c r="CP10" s="403">
        <f>IF(WWWW[[#This Row],['#_of_affected_households_receiving_a_sufficient_quantity_of_soap]]/WWWW[[#This Row],[Total HH]]&gt;1,1,WWWW[[#This Row],['#_of_affected_households_receiving_a_sufficient_quantity_of_soap]]/WWWW[[#This Row],[Total HH]])</f>
        <v>1</v>
      </c>
      <c r="CQ10" s="400" t="str">
        <f>IF(WWWW[[#This Row],['#_students at TLS_CFS]]="","No","Yes")</f>
        <v>Yes</v>
      </c>
      <c r="CR10" s="403"/>
      <c r="CS10" s="398" t="str">
        <f>VLOOKUP(WWWW[[#This Row],[Site Name]],SiteDB6[[Site Name]:[CCCM Management]],6,FALSE)</f>
        <v>Yes</v>
      </c>
      <c r="CT10" s="398">
        <f>VLOOKUP(WWWW[[#This Row],[Site Name]],SiteDB6[[Site Name]:[CCCM Focal Agency]],7,FALSE)</f>
        <v>0</v>
      </c>
      <c r="CU10" s="398" t="str">
        <f>VLOOKUP(WWWW[[#This Row],[Site Name]],SiteDB6[[Site Name]:[Location Type 1]],9,FALSE)</f>
        <v>Camp</v>
      </c>
      <c r="CV10" s="398" t="str">
        <f>VLOOKUP(WWWW[[#This Row],[Site Name]],SiteDB6[[Site Name]:[Type of Accommodation]],10,FALSE)</f>
        <v>Planned Camp</v>
      </c>
      <c r="CW10" s="398" t="str">
        <f>VLOOKUP(WWWW[[#This Row],[Site Name]],SiteDB6[[Site Name]:[Ethnic or GCA/NGCA]],11,FALSE)</f>
        <v>Muslim</v>
      </c>
      <c r="CX10" s="398">
        <f>VLOOKUP(WWWW[[#This Row],[Site Name]],SiteDB6[[Site Name]:[Lat]],12,FALSE)</f>
        <v>20.181405999999999</v>
      </c>
      <c r="CY10" s="398">
        <f>VLOOKUP(WWWW[[#This Row],[Site Name]],SiteDB6[[Site Name]:[Long]],13,FALSE)</f>
        <v>92.807552000000001</v>
      </c>
      <c r="CZ10" s="398" t="str">
        <f>VLOOKUP(WWWW[[#This Row],[Site Name]],SiteDB6[[Site Name]:[Pcode]],3,FALSE)</f>
        <v>MMR012CMP114</v>
      </c>
      <c r="DA10" s="406" t="str">
        <f t="shared" si="0"/>
        <v>Covered</v>
      </c>
      <c r="DB10" s="406">
        <f>VLOOKUP(WWWW[[#This Row],[Site Name]],SiteDB6[[Site Name]:[PWD_Total]],22,FALSE)</f>
        <v>193</v>
      </c>
      <c r="DC10" s="406">
        <f>VLOOKUP(WWWW[[#This Row],[Site Name]],SiteDB6[[Site Name]:[PWD_Total]],23,FALSE)</f>
        <v>637</v>
      </c>
      <c r="DD10" s="406">
        <f>VLOOKUP(WWWW[[#This Row],[Site Name]],SiteDB6[[Site Name]:[PWD_Total]],24,FALSE)</f>
        <v>830</v>
      </c>
      <c r="DE10" s="406"/>
      <c r="DF10" s="830"/>
      <c r="DG10" s="830"/>
      <c r="DH10" s="830"/>
      <c r="DJ10" s="37"/>
      <c r="DK10" s="37"/>
      <c r="DL10" s="38"/>
      <c r="DM10" s="38"/>
      <c r="DU10" s="20"/>
      <c r="DV10" s="20"/>
    </row>
    <row r="11" spans="1:126" hidden="1">
      <c r="A11" s="393" t="s">
        <v>2387</v>
      </c>
      <c r="B11" s="393" t="s">
        <v>2308</v>
      </c>
      <c r="C11" s="399" t="s">
        <v>2308</v>
      </c>
      <c r="D11" s="399"/>
      <c r="E11" s="532" t="s">
        <v>2706</v>
      </c>
      <c r="F11" s="399" t="s">
        <v>299</v>
      </c>
      <c r="G11" s="532" t="str">
        <f>VLOOKUP(WWWW[[#This Row],[Site Name]],SiteDB6[[Site Name]:[Location Type]],8,FALSE)</f>
        <v>Camp</v>
      </c>
      <c r="H11" s="399" t="s">
        <v>2699</v>
      </c>
      <c r="I11" s="401">
        <v>22</v>
      </c>
      <c r="J11" s="401">
        <v>114</v>
      </c>
      <c r="K11" s="407"/>
      <c r="L11" s="408"/>
      <c r="M11" s="589">
        <v>211</v>
      </c>
      <c r="N11" s="401"/>
      <c r="O11" s="401"/>
      <c r="P11" s="401" t="s">
        <v>2675</v>
      </c>
      <c r="Q11" s="400"/>
      <c r="R11" s="401"/>
      <c r="S11" s="401"/>
      <c r="T11" s="401"/>
      <c r="U11" s="401"/>
      <c r="V11" s="401"/>
      <c r="W11" s="401"/>
      <c r="X11" s="401"/>
      <c r="Y11" s="401"/>
      <c r="Z11" s="401"/>
      <c r="AA11" s="401"/>
      <c r="AB11" s="401"/>
      <c r="AC11" s="401"/>
      <c r="AD11" s="401">
        <v>2</v>
      </c>
      <c r="AE11" s="634"/>
      <c r="AF11" s="589"/>
      <c r="AG11" s="589"/>
      <c r="AH11" s="589"/>
      <c r="AI11" s="534"/>
      <c r="AJ11" s="589"/>
      <c r="AK11" s="534"/>
      <c r="AL11" s="534"/>
      <c r="AM11" s="534"/>
      <c r="AN11" s="534"/>
      <c r="AO11" s="589"/>
      <c r="AP11" s="589"/>
      <c r="AQ11" s="589">
        <v>2</v>
      </c>
      <c r="AR11" s="589" t="s">
        <v>130</v>
      </c>
      <c r="AS11" s="647"/>
      <c r="AT11" s="589"/>
      <c r="AU11" s="589"/>
      <c r="AV11" s="589"/>
      <c r="AW11" s="589"/>
      <c r="AX11" s="589">
        <v>22</v>
      </c>
      <c r="AY11" s="589">
        <v>40</v>
      </c>
      <c r="AZ11" s="401"/>
      <c r="BA11" s="401"/>
      <c r="BB11" s="401"/>
      <c r="BC11" s="403">
        <v>0.5</v>
      </c>
      <c r="BD11" s="647"/>
      <c r="BE11" s="534"/>
      <c r="BF11" s="534"/>
      <c r="BG11" s="589"/>
      <c r="BH11" s="534"/>
      <c r="BI11" s="403"/>
      <c r="BJ11" s="398"/>
      <c r="BK11" s="647"/>
      <c r="BL11" s="647"/>
      <c r="BM11" s="404" t="str">
        <f>IFERROR(WWWW[[#This Row],['#_Water samples _passed_at_water source]]/WWWW[[#This Row],['#_Water samples_Tested_at_water_source]],"no test")</f>
        <v>no test</v>
      </c>
      <c r="BN11" s="403" t="str">
        <f>IFERROR(WWWW[[#This Row],['#_Water samples _passed_at_HH]]/WWWW[[#This Row],['#_Water samples_Tested_at_HH]],"no test")</f>
        <v>no test</v>
      </c>
      <c r="BO11" s="402" t="str">
        <f>IF(AND(WWWW[[#This Row],[%of Water samples which passed at water source]]="no test",WWWW[[#This Row],[%Water samples which passed at HH]]="no test"),"No Test","Tested")</f>
        <v>No Test</v>
      </c>
      <c r="BP11" s="404">
        <f>IF(WWWW[[#This Row],[Total PoP ]]="","",IF(((WWWW[[#This Row],['#_Functional_improved_water_source]]*500)+(WWWW[[#This Row],['#_litres_of_water_supplied_by_existing_water_boating/trucking ]]/90/15)+(WWWW[[#This Row],['#_Functional_water_point_at_TLS/CFS]]*500))/WWWW[[#This Row],[Total PoP ]]&gt;1,1,((WWWW[[#This Row],['#_Functional_improved_water_source]]*500)+(WWWW[[#This Row],['#_litres_of_water_supplied_by_existing_water_boating/trucking ]]/90/15)+(WWWW[[#This Row],['#_Functional_water_point_at_TLS/CFS]]*500))/WWWW[[#This Row],[Total PoP ]]))</f>
        <v>1</v>
      </c>
      <c r="BQ11" s="400">
        <f>WWWW[[#This Row],[Access to safe/improved water through improved water sources]]*WWWW[[#This Row],[Total PoP ]]</f>
        <v>114</v>
      </c>
      <c r="BR11" s="403">
        <f>IF((WWWW[[#This Row],['#_litres_of_water_stored_in_ponds]]/90/15)/WWWW[[#This Row],[Total PoP ]]&gt;1,1,(WWWW[[#This Row],['#_litres_of_water_stored_in_ponds]]/90/15)/WWWW[[#This Row],[Total PoP ]])</f>
        <v>0</v>
      </c>
      <c r="BS11" s="400">
        <f>WWWW[[#This Row],[% Access to unimproved water points]]*WWWW[[#This Row],[Total PoP ]]</f>
        <v>0</v>
      </c>
      <c r="BT11" s="403">
        <f>IF(WWWW[[#This Row],[Access to safe/improved water through improved water sources]]+WWWW[[#This Row],[% Access to unimproved water points]]&gt;1,1,WWWW[[#This Row],[Access to safe/improved water through improved water sources]]+WWWW[[#This Row],[% Access to unimproved water points]])</f>
        <v>1</v>
      </c>
      <c r="BU11" s="400">
        <f>IF(WWWW[[#This Row],['# people with equitable and continuous access to sufficient quantity of safe drinking water]]+WWWW[[#This Row],['#People access to unimproved water sources]]&gt;WWWW[[#This Row],[Total PoP ]],WWWW[[#This Row],[Total PoP ]],WWWW[[#This Row],['# people with equitable and continuous access to sufficient quantity of safe drinking water]]+WWWW[[#This Row],['#People access to unimproved water sources]])</f>
        <v>114</v>
      </c>
      <c r="BV11" s="400">
        <f>WWWW[[#This Row],[HRP1]]/500</f>
        <v>0.22800000000000001</v>
      </c>
      <c r="BW11" s="405">
        <f>1-WWWW[[#This Row],[% HRP1]]</f>
        <v>0</v>
      </c>
      <c r="BX11" s="400">
        <f>WWWW[[#This Row],[%equitable and continuous access to sufficient quantity of safe drinking and domestic water''s GAP]]*WWWW[[#This Row],[Total PoP ]]</f>
        <v>0</v>
      </c>
      <c r="BY11" s="402">
        <f>ROUND(IF(WWWW[[#This Row],[Total PoP ]]&lt;500,1,WWWW[[#This Row],[Total PoP ]]/500),0)</f>
        <v>1</v>
      </c>
      <c r="BZ11" s="402">
        <f>IF(WWWW[[#This Row],[Total required water points]]-WWWW[[#This Row],['#Water points coverage]]&lt;0,0,WWWW[[#This Row],[Total required water points]]-WWWW[[#This Row],['#Water points coverage]])</f>
        <v>0.77200000000000002</v>
      </c>
      <c r="CA11" s="403">
        <f>WWWW[[#This Row],[HRP2]]/WWWW[[#This Row],[Total PoP ]]</f>
        <v>0.8771929824561403</v>
      </c>
      <c r="CB11" s="400">
        <f>IF(WWWW[[#This Row],[Total PoP ]]="",0,IF(((WWWW[[#This Row],['#_Functional_adult_latrines]]*20)+(WWWW[[#This Row],['#_of_functional_children_latrines]]*20)+WWWW[[#This Row],['#_of_PWD_with_adapted_sanitation_option]]+(WWWW[[#This Row],['#_of_latrines_in_TLS/CFS]]*50))&gt;WWWW[[#This Row],[Total PoP ]],WWWW[[#This Row],[Total PoP ]],((WWWW[[#This Row],['#_Functional_adult_latrines]]*20)+(WWWW[[#This Row],['#_of_functional_children_latrines]]*20)+WWWW[[#This Row],['#_of_PWD_with_adapted_sanitation_option]]+(WWWW[[#This Row],['#_of_latrines_in_TLS/CFS]]*50))))</f>
        <v>100</v>
      </c>
      <c r="CC11" s="402">
        <f>IF(WWWW[[#This Row],['#_of_latrines_in_TLS/CFS]]*50&gt;WWWW[[#This Row],['#_students at TLS_CFS]],WWWW[[#This Row],['#_students at TLS_CFS]],WWWW[[#This Row],['#_of_latrines_in_TLS/CFS]]*50)</f>
        <v>100</v>
      </c>
      <c r="CD11" s="402">
        <f>ROUND(IF(WWWW[[#This Row],[Location Type 1]]="camp",WWWW[[#This Row],[Total PoP ]]/20),0)</f>
        <v>6</v>
      </c>
      <c r="CE11" s="402">
        <f>IF(WWWW[[#This Row],[Total required Latrines]]-WWWW[[#This Row],['#_Existing_latrines]]&lt;0,0,WWWW[[#This Row],[Total required Latrines]]-WWWW[[#This Row],['#_Existing_latrines]])</f>
        <v>6</v>
      </c>
      <c r="CF11" s="71">
        <f>1-WWWW[[#This Row],[% HRP2]]</f>
        <v>0.1228070175438597</v>
      </c>
      <c r="CG11" s="404" t="str">
        <f>IF(WWWW[[#This Row],['#_Existing_latrines]]="","NA",(WWWW[[#This Row],['#_Existing_latrines]]-WWWW[[#This Row],['#_Functional_adult_latrines]])/WWWW[[#This Row],['#_Existing_latrines]])</f>
        <v>NA</v>
      </c>
      <c r="CH11" s="400">
        <f>IF(WWWW[[#This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Row],[_'#_of_Girls_receiving_consultation_hygiene_promotion_messages_and_sessions]]&gt;WWWW[[#This Row],[Total PoP ]],WWWW[[#This Row],[Total PoP ]],WWWW[[#This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f>
        <v>0</v>
      </c>
      <c r="CI11" s="402">
        <f>IF(WWWW[[#This Row],['#_of_affected_households_receiving_a_sufficient_quantity_of_soap]]=0,0,IF(WWWW[[#This Row],['#_of_affected_households_receiving_a_sufficient_quantity_of_soap]]&gt;=WWWW[[#This Row],[Total HH]],WWWW[[#This Row],[Total PoP ]],IF(WWWW[[#This Row],['#_of_affected_households_receiving_a_sufficient_quantity_of_soap]]*5&gt;WWWW[[#This Row],[Total PoP ]],WWWW[[#This Row],[Total PoP ]],WWWW[[#This Row],['#_of_affected_households_receiving_a_sufficient_quantity_of_soap]]*5)))</f>
        <v>114</v>
      </c>
      <c r="CJ11" s="402">
        <f>IF(WWWW[[#This Row],['#_of_affected_women_and_girls_receiving_a_sufficient_quantity_of_sanitary_pads]]&gt;WWWW[[#This Row],[Total PoP ]],WWWW[[#This Row],[Total PoP ]],WWWW[[#This Row],['#_of_affected_women_and_girls_receiving_a_sufficient_quantity_of_sanitary_pads]])</f>
        <v>40</v>
      </c>
      <c r="CK11" s="402">
        <f>IF(WWWW[[#This Row],['# People with access to soap]]&gt;WWWW[[#This Row],['# People with access to Sanity Pads]],WWWW[[#This Row],['# People with access to soap]],WWWW[[#This Row],['# People with access to Sanity Pads]])</f>
        <v>114</v>
      </c>
      <c r="CL11" s="402">
        <f>IF(WWWW[[#This Row],['# people reached by regular dedicated hygiene promotion_5]]&gt;WWWW[[#This Row],['# People received regular supply of hygiene items_6]],WWWW[[#This Row],['# people reached by regular dedicated hygiene promotion_5]],WWWW[[#This Row],['# People received regular supply of hygiene items_6]])</f>
        <v>114</v>
      </c>
      <c r="CM11" s="405">
        <f>IF(WWWW[[#This Row],[HRP3]]/WWWW[[#This Row],[Total PoP ]]&gt;100%,100%,WWWW[[#This Row],[HRP3]]/WWWW[[#This Row],[Total PoP ]])</f>
        <v>1</v>
      </c>
      <c r="CN11" s="404">
        <f>1-WWWW[[#This Row],[Hygiene Coverage%]]</f>
        <v>0</v>
      </c>
      <c r="CO11" s="403">
        <f>WWWW[[#This Row],['# people reached by regular dedicated hygiene promotion_5]]/WWWW[[#This Row],[Total PoP ]]</f>
        <v>0</v>
      </c>
      <c r="CP11" s="403">
        <f>IF(WWWW[[#This Row],['#_of_affected_households_receiving_a_sufficient_quantity_of_soap]]/WWWW[[#This Row],[Total HH]]&gt;1,1,WWWW[[#This Row],['#_of_affected_households_receiving_a_sufficient_quantity_of_soap]]/WWWW[[#This Row],[Total HH]])</f>
        <v>1</v>
      </c>
      <c r="CQ11" s="400" t="str">
        <f>IF(WWWW[[#This Row],['#_students at TLS_CFS]]="","No","Yes")</f>
        <v>Yes</v>
      </c>
      <c r="CR11" s="403"/>
      <c r="CS11" s="398" t="str">
        <f>VLOOKUP(WWWW[[#This Row],[Site Name]],SiteDB6[[Site Name]:[CCCM Management]],6,FALSE)</f>
        <v>Yes</v>
      </c>
      <c r="CT11" s="398">
        <f>VLOOKUP(WWWW[[#This Row],[Site Name]],SiteDB6[[Site Name]:[CCCM Focal Agency]],7,FALSE)</f>
        <v>0</v>
      </c>
      <c r="CU11" s="398" t="str">
        <f>VLOOKUP(WWWW[[#This Row],[Site Name]],SiteDB6[[Site Name]:[Location Type 1]],9,FALSE)</f>
        <v>Camp</v>
      </c>
      <c r="CV11" s="398" t="str">
        <f>VLOOKUP(WWWW[[#This Row],[Site Name]],SiteDB6[[Site Name]:[Type of Accommodation]],10,FALSE)</f>
        <v>Host Families</v>
      </c>
      <c r="CW11" s="398" t="str">
        <f>VLOOKUP(WWWW[[#This Row],[Site Name]],SiteDB6[[Site Name]:[Ethnic or GCA/NGCA]],11,FALSE)</f>
        <v>Muslim</v>
      </c>
      <c r="CX11" s="398">
        <f>VLOOKUP(WWWW[[#This Row],[Site Name]],SiteDB6[[Site Name]:[Lat]],12,FALSE)</f>
        <v>20.182987000000001</v>
      </c>
      <c r="CY11" s="398">
        <f>VLOOKUP(WWWW[[#This Row],[Site Name]],SiteDB6[[Site Name]:[Long]],13,FALSE)</f>
        <v>92.804803000000007</v>
      </c>
      <c r="CZ11" s="398" t="str">
        <f>VLOOKUP(WWWW[[#This Row],[Site Name]],SiteDB6[[Site Name]:[Pcode]],3,FALSE)</f>
        <v>MMR012CMP103</v>
      </c>
      <c r="DA11" s="406" t="str">
        <f t="shared" si="0"/>
        <v>Covered</v>
      </c>
      <c r="DB11" s="406">
        <f>VLOOKUP(WWWW[[#This Row],[Site Name]],SiteDB6[[Site Name]:[PWD_Total]],22,FALSE)</f>
        <v>0</v>
      </c>
      <c r="DC11" s="406">
        <f>VLOOKUP(WWWW[[#This Row],[Site Name]],SiteDB6[[Site Name]:[PWD_Total]],23,FALSE)</f>
        <v>0</v>
      </c>
      <c r="DD11" s="406">
        <f>VLOOKUP(WWWW[[#This Row],[Site Name]],SiteDB6[[Site Name]:[PWD_Total]],24,FALSE)</f>
        <v>0</v>
      </c>
      <c r="DE11" s="406"/>
      <c r="DF11" s="830"/>
      <c r="DG11" s="830"/>
      <c r="DH11" s="830"/>
      <c r="DJ11" s="37"/>
      <c r="DK11" s="37"/>
      <c r="DL11" s="38"/>
      <c r="DM11" s="38"/>
      <c r="DU11" s="20"/>
      <c r="DV11" s="20"/>
    </row>
    <row r="12" spans="1:126" hidden="1">
      <c r="A12" s="393" t="s">
        <v>2387</v>
      </c>
      <c r="B12" s="393" t="s">
        <v>2308</v>
      </c>
      <c r="C12" s="399" t="s">
        <v>2308</v>
      </c>
      <c r="D12" s="399" t="s">
        <v>41</v>
      </c>
      <c r="E12" s="532" t="s">
        <v>2706</v>
      </c>
      <c r="F12" s="399" t="s">
        <v>299</v>
      </c>
      <c r="G12" s="532" t="str">
        <f>VLOOKUP(WWWW[[#This Row],[Site Name]],SiteDB6[[Site Name]:[Location Type]],8,FALSE)</f>
        <v>Camp</v>
      </c>
      <c r="H12" s="399" t="s">
        <v>428</v>
      </c>
      <c r="I12" s="401">
        <v>2009</v>
      </c>
      <c r="J12" s="401">
        <v>11625</v>
      </c>
      <c r="K12" s="407"/>
      <c r="L12" s="408">
        <v>44104</v>
      </c>
      <c r="M12" s="589">
        <v>232</v>
      </c>
      <c r="N12" s="589">
        <v>49</v>
      </c>
      <c r="O12" s="589">
        <f>115+60</f>
        <v>175</v>
      </c>
      <c r="P12" s="589">
        <v>0</v>
      </c>
      <c r="Q12" s="542" t="s">
        <v>130</v>
      </c>
      <c r="R12" s="589">
        <f>2+8</f>
        <v>10</v>
      </c>
      <c r="S12" s="589">
        <v>7</v>
      </c>
      <c r="T12" s="589">
        <v>66</v>
      </c>
      <c r="U12" s="589">
        <v>83</v>
      </c>
      <c r="V12" s="401"/>
      <c r="W12" s="401"/>
      <c r="X12" s="401"/>
      <c r="Y12" s="401"/>
      <c r="Z12" s="401"/>
      <c r="AA12" s="401"/>
      <c r="AB12" s="401"/>
      <c r="AC12" s="401"/>
      <c r="AD12" s="401">
        <v>0</v>
      </c>
      <c r="AE12" s="634"/>
      <c r="AF12" s="589">
        <v>399</v>
      </c>
      <c r="AG12" s="589">
        <v>498</v>
      </c>
      <c r="AH12" s="589">
        <v>112</v>
      </c>
      <c r="AI12" s="534">
        <v>0.96</v>
      </c>
      <c r="AJ12" s="589">
        <v>375</v>
      </c>
      <c r="AK12" s="534">
        <v>0.98</v>
      </c>
      <c r="AL12" s="534">
        <v>0.91</v>
      </c>
      <c r="AM12" s="534">
        <v>0.7</v>
      </c>
      <c r="AN12" s="534">
        <v>0.7</v>
      </c>
      <c r="AO12" s="589">
        <v>4</v>
      </c>
      <c r="AP12" s="589"/>
      <c r="AQ12" s="589">
        <v>2</v>
      </c>
      <c r="AR12" s="589" t="s">
        <v>42</v>
      </c>
      <c r="AS12" s="647"/>
      <c r="AT12" s="589">
        <v>87</v>
      </c>
      <c r="AU12" s="589">
        <v>538</v>
      </c>
      <c r="AV12" s="589">
        <v>659</v>
      </c>
      <c r="AW12" s="589">
        <v>547</v>
      </c>
      <c r="AX12" s="589">
        <v>2009</v>
      </c>
      <c r="AY12" s="589">
        <v>3699</v>
      </c>
      <c r="AZ12" s="401"/>
      <c r="BA12" s="401"/>
      <c r="BB12" s="401"/>
      <c r="BC12" s="403"/>
      <c r="BD12" s="647"/>
      <c r="BE12" s="534"/>
      <c r="BF12" s="534"/>
      <c r="BG12" s="589">
        <f>100%*WWWW[[#This Row],[Total PoP ]]</f>
        <v>11625</v>
      </c>
      <c r="BH12" s="534">
        <v>0.62</v>
      </c>
      <c r="BI12" s="403" t="e">
        <f>WWWW[[#This Row],[Cases of Acute watery diarrhea]]/WWWW[[#This Row],[Total consultations]]</f>
        <v>#DIV/0!</v>
      </c>
      <c r="BJ12" s="398"/>
      <c r="BK12" s="647"/>
      <c r="BL12" s="647"/>
      <c r="BM12" s="404" t="str">
        <f>IFERROR(WWWW[[#This Row],['#_Water samples _passed_at_water source]]/WWWW[[#This Row],['#_Water samples_Tested_at_water_source]],"no test")</f>
        <v>no test</v>
      </c>
      <c r="BN12" s="403" t="str">
        <f>IFERROR(WWWW[[#This Row],['#_Water samples _passed_at_HH]]/WWWW[[#This Row],['#_Water samples_Tested_at_HH]],"no test")</f>
        <v>no test</v>
      </c>
      <c r="BO12" s="402" t="str">
        <f>IF(AND(WWWW[[#This Row],[%of Water samples which passed at water source]]="no test",WWWW[[#This Row],[%Water samples which passed at HH]]="no test"),"No Test","Tested")</f>
        <v>No Test</v>
      </c>
      <c r="BP12" s="404">
        <f>IF(WWWW[[#This Row],[Total PoP ]]="","",IF(((WWWW[[#This Row],['#_Functional_improved_water_source]]*500)+(WWWW[[#This Row],['#_litres_of_water_supplied_by_existing_water_boating/trucking ]]/90/15)+(WWWW[[#This Row],['#_Functional_water_point_at_TLS/CFS]]*500))/WWWW[[#This Row],[Total PoP ]]&gt;1,1,((WWWW[[#This Row],['#_Functional_improved_water_source]]*500)+(WWWW[[#This Row],['#_litres_of_water_supplied_by_existing_water_boating/trucking ]]/90/15)+(WWWW[[#This Row],['#_Functional_water_point_at_TLS/CFS]]*500))/WWWW[[#This Row],[Total PoP ]]))</f>
        <v>1</v>
      </c>
      <c r="BQ12" s="400">
        <f>WWWW[[#This Row],[Access to safe/improved water through improved water sources]]*WWWW[[#This Row],[Total PoP ]]</f>
        <v>11625</v>
      </c>
      <c r="BR12" s="403">
        <f>IF((WWWW[[#This Row],['#_litres_of_water_stored_in_ponds]]/90/15)/WWWW[[#This Row],[Total PoP ]]&gt;1,1,(WWWW[[#This Row],['#_litres_of_water_stored_in_ponds]]/90/15)/WWWW[[#This Row],[Total PoP ]])</f>
        <v>0</v>
      </c>
      <c r="BS12" s="400">
        <f>WWWW[[#This Row],[% Access to unimproved water points]]*WWWW[[#This Row],[Total PoP ]]</f>
        <v>0</v>
      </c>
      <c r="BT12" s="403">
        <f>IF(WWWW[[#This Row],[Access to safe/improved water through improved water sources]]+WWWW[[#This Row],[% Access to unimproved water points]]&gt;1,1,WWWW[[#This Row],[Access to safe/improved water through improved water sources]]+WWWW[[#This Row],[% Access to unimproved water points]])</f>
        <v>1</v>
      </c>
      <c r="BU12" s="400">
        <f>IF(WWWW[[#This Row],['# people with equitable and continuous access to sufficient quantity of safe drinking water]]+WWWW[[#This Row],['#People access to unimproved water sources]]&gt;WWWW[[#This Row],[Total PoP ]],WWWW[[#This Row],[Total PoP ]],WWWW[[#This Row],['# people with equitable and continuous access to sufficient quantity of safe drinking water]]+WWWW[[#This Row],['#People access to unimproved water sources]])</f>
        <v>11625</v>
      </c>
      <c r="BV12" s="400">
        <f>WWWW[[#This Row],[HRP1]]/500</f>
        <v>23.25</v>
      </c>
      <c r="BW12" s="405">
        <f>1-WWWW[[#This Row],[% HRP1]]</f>
        <v>0</v>
      </c>
      <c r="BX12" s="400">
        <f>WWWW[[#This Row],[%equitable and continuous access to sufficient quantity of safe drinking and domestic water''s GAP]]*WWWW[[#This Row],[Total PoP ]]</f>
        <v>0</v>
      </c>
      <c r="BY12" s="402">
        <f>ROUND(IF(WWWW[[#This Row],[Total PoP ]]&lt;500,1,WWWW[[#This Row],[Total PoP ]]/500),0)</f>
        <v>23</v>
      </c>
      <c r="BZ12" s="402">
        <f>IF(WWWW[[#This Row],[Total required water points]]-WWWW[[#This Row],['#Water points coverage]]&lt;0,0,WWWW[[#This Row],[Total required water points]]-WWWW[[#This Row],['#Water points coverage]])</f>
        <v>0</v>
      </c>
      <c r="CA12" s="403">
        <f>WWWW[[#This Row],[HRP2]]/WWWW[[#This Row],[Total PoP ]]</f>
        <v>0.70193548387096771</v>
      </c>
      <c r="CB12" s="400">
        <f>IF(WWWW[[#This Row],[Total PoP ]]="",0,IF(((WWWW[[#This Row],['#_Functional_adult_latrines]]*20)+(WWWW[[#This Row],['#_of_functional_children_latrines]]*20)+WWWW[[#This Row],['#_of_PWD_with_adapted_sanitation_option]]+(WWWW[[#This Row],['#_of_latrines_in_TLS/CFS]]*50))&gt;WWWW[[#This Row],[Total PoP ]],WWWW[[#This Row],[Total PoP ]],((WWWW[[#This Row],['#_Functional_adult_latrines]]*20)+(WWWW[[#This Row],['#_of_functional_children_latrines]]*20)+WWWW[[#This Row],['#_of_PWD_with_adapted_sanitation_option]]+(WWWW[[#This Row],['#_of_latrines_in_TLS/CFS]]*50))))</f>
        <v>8160</v>
      </c>
      <c r="CC12" s="402">
        <f>IF(WWWW[[#This Row],['#_of_latrines_in_TLS/CFS]]*50&gt;WWWW[[#This Row],['#_students at TLS_CFS]],WWWW[[#This Row],['#_students at TLS_CFS]],WWWW[[#This Row],['#_of_latrines_in_TLS/CFS]]*50)</f>
        <v>100</v>
      </c>
      <c r="CD12" s="402">
        <f>ROUND(IF(WWWW[[#This Row],[Location Type 1]]="camp",WWWW[[#This Row],[Total PoP ]]/20),0)</f>
        <v>581</v>
      </c>
      <c r="CE12" s="402">
        <f>IF(WWWW[[#This Row],[Total required Latrines]]-WWWW[[#This Row],['#_Existing_latrines]]&lt;0,0,WWWW[[#This Row],[Total required Latrines]]-WWWW[[#This Row],['#_Existing_latrines]])</f>
        <v>83</v>
      </c>
      <c r="CF12" s="541">
        <f>1-WWWW[[#This Row],[% HRP2]]</f>
        <v>0.29806451612903229</v>
      </c>
      <c r="CG12" s="404">
        <f>IF(WWWW[[#This Row],['#_Existing_latrines]]="","NA",(WWWW[[#This Row],['#_Existing_latrines]]-WWWW[[#This Row],['#_Functional_adult_latrines]])/WWWW[[#This Row],['#_Existing_latrines]])</f>
        <v>0.19879518072289157</v>
      </c>
      <c r="CH12" s="400">
        <f>IF(WWWW[[#This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Row],[_'#_of_Girls_receiving_consultation_hygiene_promotion_messages_and_sessions]]&gt;WWWW[[#This Row],[Total PoP ]],WWWW[[#This Row],[Total PoP ]],WWWW[[#This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f>
        <v>1831</v>
      </c>
      <c r="CI12" s="402">
        <f>IF(WWWW[[#This Row],['#_of_affected_households_receiving_a_sufficient_quantity_of_soap]]=0,0,IF(WWWW[[#This Row],['#_of_affected_households_receiving_a_sufficient_quantity_of_soap]]&gt;=WWWW[[#This Row],[Total HH]],WWWW[[#This Row],[Total PoP ]],IF(WWWW[[#This Row],['#_of_affected_households_receiving_a_sufficient_quantity_of_soap]]*5&gt;WWWW[[#This Row],[Total PoP ]],WWWW[[#This Row],[Total PoP ]],WWWW[[#This Row],['#_of_affected_households_receiving_a_sufficient_quantity_of_soap]]*5)))</f>
        <v>11625</v>
      </c>
      <c r="CJ12" s="402">
        <f>IF(WWWW[[#This Row],['#_of_affected_women_and_girls_receiving_a_sufficient_quantity_of_sanitary_pads]]&gt;WWWW[[#This Row],[Total PoP ]],WWWW[[#This Row],[Total PoP ]],WWWW[[#This Row],['#_of_affected_women_and_girls_receiving_a_sufficient_quantity_of_sanitary_pads]])</f>
        <v>3699</v>
      </c>
      <c r="CK12" s="402">
        <f>IF(WWWW[[#This Row],['# People with access to soap]]&gt;WWWW[[#This Row],['# People with access to Sanity Pads]],WWWW[[#This Row],['# People with access to soap]],WWWW[[#This Row],['# People with access to Sanity Pads]])</f>
        <v>11625</v>
      </c>
      <c r="CL12" s="402">
        <f>IF(WWWW[[#This Row],['# people reached by regular dedicated hygiene promotion_5]]&gt;WWWW[[#This Row],['# People received regular supply of hygiene items_6]],WWWW[[#This Row],['# people reached by regular dedicated hygiene promotion_5]],WWWW[[#This Row],['# People received regular supply of hygiene items_6]])</f>
        <v>11625</v>
      </c>
      <c r="CM12" s="405">
        <f>IF(WWWW[[#This Row],[HRP3]]/WWWW[[#This Row],[Total PoP ]]&gt;100%,100%,WWWW[[#This Row],[HRP3]]/WWWW[[#This Row],[Total PoP ]])</f>
        <v>1</v>
      </c>
      <c r="CN12" s="404">
        <f>1-WWWW[[#This Row],[Hygiene Coverage%]]</f>
        <v>0</v>
      </c>
      <c r="CO12" s="403">
        <f>WWWW[[#This Row],['# people reached by regular dedicated hygiene promotion_5]]/WWWW[[#This Row],[Total PoP ]]</f>
        <v>0.15750537634408601</v>
      </c>
      <c r="CP12" s="403">
        <f>IF(WWWW[[#This Row],['#_of_affected_households_receiving_a_sufficient_quantity_of_soap]]/WWWW[[#This Row],[Total HH]]&gt;1,1,WWWW[[#This Row],['#_of_affected_households_receiving_a_sufficient_quantity_of_soap]]/WWWW[[#This Row],[Total HH]])</f>
        <v>1</v>
      </c>
      <c r="CQ12" s="400" t="str">
        <f>IF(WWWW[[#This Row],['#_students at TLS_CFS]]="","No","Yes")</f>
        <v>Yes</v>
      </c>
      <c r="CR12" s="403">
        <f>WWWW[[#This Row],['#_of_affected_people_surveyed_who_report_feeling_informed_about_the_different_WASH_services_available_to_them]]/WWWW[[#This Row],[Total PoP ]]</f>
        <v>1</v>
      </c>
      <c r="CS12" s="398" t="str">
        <f>VLOOKUP(WWWW[[#This Row],[Site Name]],SiteDB6[[Site Name]:[CCCM Management]],6,FALSE)</f>
        <v>Yes</v>
      </c>
      <c r="CT12" s="398">
        <f>VLOOKUP(WWWW[[#This Row],[Site Name]],SiteDB6[[Site Name]:[CCCM Focal Agency]],7,FALSE)</f>
        <v>0</v>
      </c>
      <c r="CU12" s="398" t="str">
        <f>VLOOKUP(WWWW[[#This Row],[Site Name]],SiteDB6[[Site Name]:[Location Type 1]],9,FALSE)</f>
        <v>Camp</v>
      </c>
      <c r="CV12" s="398" t="str">
        <f>VLOOKUP(WWWW[[#This Row],[Site Name]],SiteDB6[[Site Name]:[Type of Accommodation]],10,FALSE)</f>
        <v>Planned Camp</v>
      </c>
      <c r="CW12" s="398" t="str">
        <f>VLOOKUP(WWWW[[#This Row],[Site Name]],SiteDB6[[Site Name]:[Ethnic or GCA/NGCA]],11,FALSE)</f>
        <v>Muslim</v>
      </c>
      <c r="CX12" s="398">
        <f>VLOOKUP(WWWW[[#This Row],[Site Name]],SiteDB6[[Site Name]:[Lat]],12,FALSE)</f>
        <v>20.16846</v>
      </c>
      <c r="CY12" s="398">
        <f>VLOOKUP(WWWW[[#This Row],[Site Name]],SiteDB6[[Site Name]:[Long]],13,FALSE)</f>
        <v>92.827427</v>
      </c>
      <c r="CZ12" s="398" t="str">
        <f>VLOOKUP(WWWW[[#This Row],[Site Name]],SiteDB6[[Site Name]:[Pcode]],3,FALSE)</f>
        <v>MMR012CMP041</v>
      </c>
      <c r="DA12" s="406" t="str">
        <f t="shared" si="0"/>
        <v>Covered</v>
      </c>
      <c r="DB12" s="406">
        <f>VLOOKUP(WWWW[[#This Row],[Site Name]],SiteDB6[[Site Name]:[PWD_Total]],22,FALSE)</f>
        <v>92</v>
      </c>
      <c r="DC12" s="406">
        <f>VLOOKUP(WWWW[[#This Row],[Site Name]],SiteDB6[[Site Name]:[PWD_Total]],23,FALSE)</f>
        <v>645</v>
      </c>
      <c r="DD12" s="406">
        <f>VLOOKUP(WWWW[[#This Row],[Site Name]],SiteDB6[[Site Name]:[PWD_Total]],24,FALSE)</f>
        <v>737</v>
      </c>
      <c r="DE12" s="406"/>
      <c r="DF12" s="830"/>
      <c r="DG12" s="830"/>
      <c r="DH12" s="830"/>
      <c r="DJ12" s="37"/>
      <c r="DK12" s="37"/>
      <c r="DL12" s="38"/>
      <c r="DM12" s="38"/>
      <c r="DU12" s="20"/>
      <c r="DV12" s="20"/>
    </row>
    <row r="13" spans="1:126" hidden="1">
      <c r="A13" s="393" t="s">
        <v>2387</v>
      </c>
      <c r="B13" s="393" t="s">
        <v>2308</v>
      </c>
      <c r="C13" s="399" t="s">
        <v>2308</v>
      </c>
      <c r="D13" s="399" t="s">
        <v>41</v>
      </c>
      <c r="E13" s="532" t="s">
        <v>2706</v>
      </c>
      <c r="F13" s="399" t="s">
        <v>299</v>
      </c>
      <c r="G13" s="532" t="str">
        <f>VLOOKUP(WWWW[[#This Row],[Site Name]],SiteDB6[[Site Name]:[Location Type]],8,FALSE)</f>
        <v>Camp</v>
      </c>
      <c r="H13" s="399" t="s">
        <v>427</v>
      </c>
      <c r="I13" s="401">
        <v>604</v>
      </c>
      <c r="J13" s="401">
        <v>3360</v>
      </c>
      <c r="K13" s="407"/>
      <c r="L13" s="408">
        <v>44104</v>
      </c>
      <c r="M13" s="401"/>
      <c r="N13" s="401"/>
      <c r="O13" s="401"/>
      <c r="P13" s="401" t="s">
        <v>2675</v>
      </c>
      <c r="Q13" s="400"/>
      <c r="R13" s="401"/>
      <c r="S13" s="401"/>
      <c r="T13" s="589">
        <v>19</v>
      </c>
      <c r="U13" s="589">
        <v>20</v>
      </c>
      <c r="V13" s="401"/>
      <c r="W13" s="401"/>
      <c r="X13" s="589">
        <v>5</v>
      </c>
      <c r="Y13" s="589">
        <v>5</v>
      </c>
      <c r="Z13" s="589"/>
      <c r="AA13" s="589"/>
      <c r="AB13" s="401"/>
      <c r="AC13" s="401"/>
      <c r="AD13" s="401"/>
      <c r="AE13" s="634"/>
      <c r="AF13" s="589"/>
      <c r="AG13" s="589"/>
      <c r="AH13" s="589"/>
      <c r="AI13" s="534"/>
      <c r="AJ13" s="589"/>
      <c r="AK13" s="534"/>
      <c r="AL13" s="534"/>
      <c r="AM13" s="534"/>
      <c r="AN13" s="534"/>
      <c r="AO13" s="589"/>
      <c r="AP13" s="589"/>
      <c r="AQ13" s="589"/>
      <c r="AR13" s="589" t="s">
        <v>130</v>
      </c>
      <c r="AS13" s="647"/>
      <c r="AT13" s="589">
        <v>120</v>
      </c>
      <c r="AU13" s="589">
        <v>333</v>
      </c>
      <c r="AV13" s="589">
        <v>108</v>
      </c>
      <c r="AW13" s="589">
        <v>102</v>
      </c>
      <c r="AX13" s="589">
        <v>604</v>
      </c>
      <c r="AY13" s="589">
        <v>1170</v>
      </c>
      <c r="AZ13" s="401"/>
      <c r="BA13" s="401"/>
      <c r="BB13" s="401"/>
      <c r="BC13" s="403"/>
      <c r="BD13" s="647"/>
      <c r="BE13" s="534"/>
      <c r="BF13" s="534"/>
      <c r="BG13" s="589"/>
      <c r="BH13" s="534"/>
      <c r="BI13" s="403" t="e">
        <f>WWWW[[#This Row],[Cases of Acute watery diarrhea]]/WWWW[[#This Row],[Total consultations]]</f>
        <v>#DIV/0!</v>
      </c>
      <c r="BJ13" s="398"/>
      <c r="BK13" s="647"/>
      <c r="BL13" s="647"/>
      <c r="BM13" s="404">
        <f>IFERROR(WWWW[[#This Row],['#_Water samples _passed_at_water source]]/WWWW[[#This Row],['#_Water samples_Tested_at_water_source]],"no test")</f>
        <v>1</v>
      </c>
      <c r="BN13" s="403" t="str">
        <f>IFERROR(WWWW[[#This Row],['#_Water samples _passed_at_HH]]/WWWW[[#This Row],['#_Water samples_Tested_at_HH]],"no test")</f>
        <v>no test</v>
      </c>
      <c r="BO13" s="402" t="str">
        <f>IF(AND(WWWW[[#This Row],[%of Water samples which passed at water source]]="no test",WWWW[[#This Row],[%Water samples which passed at HH]]="no test"),"No Test","Tested")</f>
        <v>Tested</v>
      </c>
      <c r="BP13" s="404">
        <f>IF(WWWW[[#This Row],[Total PoP ]]="","",IF(((WWWW[[#This Row],['#_Functional_improved_water_source]]*500)+(WWWW[[#This Row],['#_litres_of_water_supplied_by_existing_water_boating/trucking ]]/90/15)+(WWWW[[#This Row],['#_Functional_water_point_at_TLS/CFS]]*500))/WWWW[[#This Row],[Total PoP ]]&gt;1,1,((WWWW[[#This Row],['#_Functional_improved_water_source]]*500)+(WWWW[[#This Row],['#_litres_of_water_supplied_by_existing_water_boating/trucking ]]/90/15)+(WWWW[[#This Row],['#_Functional_water_point_at_TLS/CFS]]*500))/WWWW[[#This Row],[Total PoP ]]))</f>
        <v>1</v>
      </c>
      <c r="BQ13" s="400">
        <f>WWWW[[#This Row],[Access to safe/improved water through improved water sources]]*WWWW[[#This Row],[Total PoP ]]</f>
        <v>3360</v>
      </c>
      <c r="BR13" s="403">
        <f>IF((WWWW[[#This Row],['#_litres_of_water_stored_in_ponds]]/90/15)/WWWW[[#This Row],[Total PoP ]]&gt;1,1,(WWWW[[#This Row],['#_litres_of_water_stored_in_ponds]]/90/15)/WWWW[[#This Row],[Total PoP ]])</f>
        <v>0</v>
      </c>
      <c r="BS13" s="400">
        <f>WWWW[[#This Row],[% Access to unimproved water points]]*WWWW[[#This Row],[Total PoP ]]</f>
        <v>0</v>
      </c>
      <c r="BT13" s="403">
        <f>IF(WWWW[[#This Row],[Access to safe/improved water through improved water sources]]+WWWW[[#This Row],[% Access to unimproved water points]]&gt;1,1,WWWW[[#This Row],[Access to safe/improved water through improved water sources]]+WWWW[[#This Row],[% Access to unimproved water points]])</f>
        <v>1</v>
      </c>
      <c r="BU13" s="400">
        <f>IF(WWWW[[#This Row],['# people with equitable and continuous access to sufficient quantity of safe drinking water]]+WWWW[[#This Row],['#People access to unimproved water sources]]&gt;WWWW[[#This Row],[Total PoP ]],WWWW[[#This Row],[Total PoP ]],WWWW[[#This Row],['# people with equitable and continuous access to sufficient quantity of safe drinking water]]+WWWW[[#This Row],['#People access to unimproved water sources]])</f>
        <v>3360</v>
      </c>
      <c r="BV13" s="400">
        <f>WWWW[[#This Row],[HRP1]]/500</f>
        <v>6.72</v>
      </c>
      <c r="BW13" s="405">
        <f>1-WWWW[[#This Row],[% HRP1]]</f>
        <v>0</v>
      </c>
      <c r="BX13" s="400">
        <f>WWWW[[#This Row],[%equitable and continuous access to sufficient quantity of safe drinking and domestic water''s GAP]]*WWWW[[#This Row],[Total PoP ]]</f>
        <v>0</v>
      </c>
      <c r="BY13" s="402">
        <f>ROUND(IF(WWWW[[#This Row],[Total PoP ]]&lt;500,1,WWWW[[#This Row],[Total PoP ]]/500),0)</f>
        <v>7</v>
      </c>
      <c r="BZ13" s="402">
        <f>IF(WWWW[[#This Row],[Total required water points]]-WWWW[[#This Row],['#Water points coverage]]&lt;0,0,WWWW[[#This Row],[Total required water points]]-WWWW[[#This Row],['#Water points coverage]])</f>
        <v>0.28000000000000025</v>
      </c>
      <c r="CA13" s="403">
        <f>WWWW[[#This Row],[HRP2]]/WWWW[[#This Row],[Total PoP ]]</f>
        <v>0</v>
      </c>
      <c r="CB13" s="400">
        <f>IF(WWWW[[#This Row],[Total PoP ]]="",0,IF(((WWWW[[#This Row],['#_Functional_adult_latrines]]*20)+(WWWW[[#This Row],['#_of_functional_children_latrines]]*20)+WWWW[[#This Row],['#_of_PWD_with_adapted_sanitation_option]]+(WWWW[[#This Row],['#_of_latrines_in_TLS/CFS]]*50))&gt;WWWW[[#This Row],[Total PoP ]],WWWW[[#This Row],[Total PoP ]],((WWWW[[#This Row],['#_Functional_adult_latrines]]*20)+(WWWW[[#This Row],['#_of_functional_children_latrines]]*20)+WWWW[[#This Row],['#_of_PWD_with_adapted_sanitation_option]]+(WWWW[[#This Row],['#_of_latrines_in_TLS/CFS]]*50))))</f>
        <v>0</v>
      </c>
      <c r="CC13" s="402">
        <f>IF(WWWW[[#This Row],['#_of_latrines_in_TLS/CFS]]*50&gt;WWWW[[#This Row],['#_students at TLS_CFS]],WWWW[[#This Row],['#_students at TLS_CFS]],WWWW[[#This Row],['#_of_latrines_in_TLS/CFS]]*50)</f>
        <v>0</v>
      </c>
      <c r="CD13" s="402">
        <f>ROUND(IF(WWWW[[#This Row],[Location Type 1]]="camp",WWWW[[#This Row],[Total PoP ]]/20),0)</f>
        <v>168</v>
      </c>
      <c r="CE13" s="402">
        <f>IF(WWWW[[#This Row],[Total required Latrines]]-WWWW[[#This Row],['#_Existing_latrines]]&lt;0,0,WWWW[[#This Row],[Total required Latrines]]-WWWW[[#This Row],['#_Existing_latrines]])</f>
        <v>168</v>
      </c>
      <c r="CF13" s="71">
        <f>1-WWWW[[#This Row],[% HRP2]]</f>
        <v>1</v>
      </c>
      <c r="CG13" s="404" t="str">
        <f>IF(WWWW[[#This Row],['#_Existing_latrines]]="","NA",(WWWW[[#This Row],['#_Existing_latrines]]-WWWW[[#This Row],['#_Functional_adult_latrines]])/WWWW[[#This Row],['#_Existing_latrines]])</f>
        <v>NA</v>
      </c>
      <c r="CH13" s="400">
        <f>IF(WWWW[[#This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Row],[_'#_of_Girls_receiving_consultation_hygiene_promotion_messages_and_sessions]]&gt;WWWW[[#This Row],[Total PoP ]],WWWW[[#This Row],[Total PoP ]],WWWW[[#This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f>
        <v>663</v>
      </c>
      <c r="CI13" s="402">
        <f>IF(WWWW[[#This Row],['#_of_affected_households_receiving_a_sufficient_quantity_of_soap]]=0,0,IF(WWWW[[#This Row],['#_of_affected_households_receiving_a_sufficient_quantity_of_soap]]&gt;=WWWW[[#This Row],[Total HH]],WWWW[[#This Row],[Total PoP ]],IF(WWWW[[#This Row],['#_of_affected_households_receiving_a_sufficient_quantity_of_soap]]*5&gt;WWWW[[#This Row],[Total PoP ]],WWWW[[#This Row],[Total PoP ]],WWWW[[#This Row],['#_of_affected_households_receiving_a_sufficient_quantity_of_soap]]*5)))</f>
        <v>3360</v>
      </c>
      <c r="CJ13" s="402">
        <f>IF(WWWW[[#This Row],['#_of_affected_women_and_girls_receiving_a_sufficient_quantity_of_sanitary_pads]]&gt;WWWW[[#This Row],[Total PoP ]],WWWW[[#This Row],[Total PoP ]],WWWW[[#This Row],['#_of_affected_women_and_girls_receiving_a_sufficient_quantity_of_sanitary_pads]])</f>
        <v>1170</v>
      </c>
      <c r="CK13" s="402">
        <f>IF(WWWW[[#This Row],['# People with access to soap]]&gt;WWWW[[#This Row],['# People with access to Sanity Pads]],WWWW[[#This Row],['# People with access to soap]],WWWW[[#This Row],['# People with access to Sanity Pads]])</f>
        <v>3360</v>
      </c>
      <c r="CL13" s="402">
        <f>IF(WWWW[[#This Row],['# people reached by regular dedicated hygiene promotion_5]]&gt;WWWW[[#This Row],['# People received regular supply of hygiene items_6]],WWWW[[#This Row],['# people reached by regular dedicated hygiene promotion_5]],WWWW[[#This Row],['# People received regular supply of hygiene items_6]])</f>
        <v>3360</v>
      </c>
      <c r="CM13" s="405">
        <f>IF(WWWW[[#This Row],[HRP3]]/WWWW[[#This Row],[Total PoP ]]&gt;100%,100%,WWWW[[#This Row],[HRP3]]/WWWW[[#This Row],[Total PoP ]])</f>
        <v>1</v>
      </c>
      <c r="CN13" s="404">
        <f>1-WWWW[[#This Row],[Hygiene Coverage%]]</f>
        <v>0</v>
      </c>
      <c r="CO13" s="403">
        <f>WWWW[[#This Row],['# people reached by regular dedicated hygiene promotion_5]]/WWWW[[#This Row],[Total PoP ]]</f>
        <v>0.19732142857142856</v>
      </c>
      <c r="CP13" s="403">
        <f>IF(WWWW[[#This Row],['#_of_affected_households_receiving_a_sufficient_quantity_of_soap]]/WWWW[[#This Row],[Total HH]]&gt;1,1,WWWW[[#This Row],['#_of_affected_households_receiving_a_sufficient_quantity_of_soap]]/WWWW[[#This Row],[Total HH]])</f>
        <v>1</v>
      </c>
      <c r="CQ13" s="400" t="str">
        <f>IF(WWWW[[#This Row],['#_students at TLS_CFS]]="","No","Yes")</f>
        <v>No</v>
      </c>
      <c r="CR13" s="403"/>
      <c r="CS13" s="398" t="str">
        <f>VLOOKUP(WWWW[[#This Row],[Site Name]],SiteDB6[[Site Name]:[CCCM Management]],6,FALSE)</f>
        <v>Yes</v>
      </c>
      <c r="CT13" s="398">
        <f>VLOOKUP(WWWW[[#This Row],[Site Name]],SiteDB6[[Site Name]:[CCCM Focal Agency]],7,FALSE)</f>
        <v>0</v>
      </c>
      <c r="CU13" s="398" t="str">
        <f>VLOOKUP(WWWW[[#This Row],[Site Name]],SiteDB6[[Site Name]:[Location Type 1]],9,FALSE)</f>
        <v>Camp</v>
      </c>
      <c r="CV13" s="398" t="str">
        <f>VLOOKUP(WWWW[[#This Row],[Site Name]],SiteDB6[[Site Name]:[Type of Accommodation]],10,FALSE)</f>
        <v>Host Families</v>
      </c>
      <c r="CW13" s="398" t="str">
        <f>VLOOKUP(WWWW[[#This Row],[Site Name]],SiteDB6[[Site Name]:[Ethnic or GCA/NGCA]],11,FALSE)</f>
        <v>Muslim</v>
      </c>
      <c r="CX13" s="398">
        <f>VLOOKUP(WWWW[[#This Row],[Site Name]],SiteDB6[[Site Name]:[Lat]],12,FALSE)</f>
        <v>20.167421999999998</v>
      </c>
      <c r="CY13" s="398">
        <f>VLOOKUP(WWWW[[#This Row],[Site Name]],SiteDB6[[Site Name]:[Long]],13,FALSE)</f>
        <v>92.830074999999994</v>
      </c>
      <c r="CZ13" s="398" t="str">
        <f>VLOOKUP(WWWW[[#This Row],[Site Name]],SiteDB6[[Site Name]:[Pcode]],3,FALSE)</f>
        <v>MMR012CMP097</v>
      </c>
      <c r="DA13" s="406" t="str">
        <f t="shared" si="0"/>
        <v>Covered</v>
      </c>
      <c r="DB13" s="406">
        <f>VLOOKUP(WWWW[[#This Row],[Site Name]],SiteDB6[[Site Name]:[PWD_Total]],22,FALSE)</f>
        <v>0</v>
      </c>
      <c r="DC13" s="406">
        <f>VLOOKUP(WWWW[[#This Row],[Site Name]],SiteDB6[[Site Name]:[PWD_Total]],23,FALSE)</f>
        <v>0</v>
      </c>
      <c r="DD13" s="406">
        <f>VLOOKUP(WWWW[[#This Row],[Site Name]],SiteDB6[[Site Name]:[PWD_Total]],24,FALSE)</f>
        <v>0</v>
      </c>
      <c r="DE13" s="406"/>
      <c r="DF13" s="830"/>
      <c r="DG13" s="830"/>
      <c r="DH13" s="830"/>
      <c r="DJ13" s="37"/>
      <c r="DK13" s="37"/>
      <c r="DL13" s="38"/>
      <c r="DM13" s="38"/>
      <c r="DU13" s="20"/>
      <c r="DV13" s="20"/>
    </row>
    <row r="14" spans="1:126" hidden="1">
      <c r="A14" s="393" t="s">
        <v>2387</v>
      </c>
      <c r="B14" s="450" t="s">
        <v>2307</v>
      </c>
      <c r="C14" s="450" t="s">
        <v>2307</v>
      </c>
      <c r="D14" s="450" t="s">
        <v>41</v>
      </c>
      <c r="E14" s="532" t="s">
        <v>2706</v>
      </c>
      <c r="F14" s="399" t="s">
        <v>299</v>
      </c>
      <c r="G14" s="532" t="str">
        <f>VLOOKUP(WWWW[[#This Row],[Site Name]],SiteDB6[[Site Name]:[Location Type]],8,FALSE)</f>
        <v>Camp</v>
      </c>
      <c r="H14" s="399" t="s">
        <v>2309</v>
      </c>
      <c r="I14" s="401">
        <v>400</v>
      </c>
      <c r="J14" s="401">
        <v>2248</v>
      </c>
      <c r="K14" s="407"/>
      <c r="L14" s="408">
        <v>44104</v>
      </c>
      <c r="M14" s="589">
        <v>444</v>
      </c>
      <c r="N14" s="589">
        <v>20</v>
      </c>
      <c r="O14" s="589">
        <v>35</v>
      </c>
      <c r="P14" s="589">
        <v>0</v>
      </c>
      <c r="Q14" s="542" t="s">
        <v>130</v>
      </c>
      <c r="R14" s="589">
        <v>5</v>
      </c>
      <c r="S14" s="589">
        <v>6</v>
      </c>
      <c r="T14" s="589">
        <v>50</v>
      </c>
      <c r="U14" s="589">
        <v>51</v>
      </c>
      <c r="V14" s="401"/>
      <c r="W14" s="401"/>
      <c r="X14" s="589">
        <v>3</v>
      </c>
      <c r="Y14" s="589">
        <v>2</v>
      </c>
      <c r="Z14" s="589">
        <v>1</v>
      </c>
      <c r="AA14" s="589">
        <v>1</v>
      </c>
      <c r="AB14" s="401"/>
      <c r="AC14" s="401"/>
      <c r="AD14" s="401">
        <v>0</v>
      </c>
      <c r="AE14" s="634"/>
      <c r="AF14" s="589">
        <v>100</v>
      </c>
      <c r="AG14" s="589">
        <v>106</v>
      </c>
      <c r="AH14" s="589">
        <v>12</v>
      </c>
      <c r="AI14" s="534">
        <v>0.26</v>
      </c>
      <c r="AJ14" s="589">
        <v>91</v>
      </c>
      <c r="AK14" s="534">
        <v>1</v>
      </c>
      <c r="AL14" s="534">
        <v>0.36</v>
      </c>
      <c r="AM14" s="534">
        <v>1</v>
      </c>
      <c r="AN14" s="534">
        <v>1</v>
      </c>
      <c r="AO14" s="589"/>
      <c r="AP14" s="589"/>
      <c r="AQ14" s="589">
        <v>4</v>
      </c>
      <c r="AR14" s="589" t="s">
        <v>42</v>
      </c>
      <c r="AS14" s="647"/>
      <c r="AT14" s="589">
        <v>217</v>
      </c>
      <c r="AU14" s="589">
        <v>3095</v>
      </c>
      <c r="AV14" s="589">
        <v>0</v>
      </c>
      <c r="AW14" s="589">
        <v>535</v>
      </c>
      <c r="AX14" s="589">
        <v>400</v>
      </c>
      <c r="AY14" s="589"/>
      <c r="AZ14" s="401"/>
      <c r="BA14" s="401"/>
      <c r="BB14" s="401"/>
      <c r="BC14" s="403">
        <v>0.5</v>
      </c>
      <c r="BD14" s="647"/>
      <c r="BE14" s="534"/>
      <c r="BF14" s="534"/>
      <c r="BG14" s="589"/>
      <c r="BH14" s="534"/>
      <c r="BI14" s="403" t="e">
        <f>WWWW[[#This Row],[Cases of Acute watery diarrhea]]/WWWW[[#This Row],[Total consultations]]</f>
        <v>#DIV/0!</v>
      </c>
      <c r="BJ14" s="398"/>
      <c r="BK14" s="647"/>
      <c r="BL14" s="647"/>
      <c r="BM14" s="404">
        <f>IFERROR(WWWW[[#This Row],['#_Water samples _passed_at_water source]]/WWWW[[#This Row],['#_Water samples_Tested_at_water_source]],"no test")</f>
        <v>0.66666666666666663</v>
      </c>
      <c r="BN14" s="403">
        <f>IFERROR(WWWW[[#This Row],['#_Water samples _passed_at_HH]]/WWWW[[#This Row],['#_Water samples_Tested_at_HH]],"no test")</f>
        <v>1</v>
      </c>
      <c r="BO14" s="402" t="str">
        <f>IF(AND(WWWW[[#This Row],[%of Water samples which passed at water source]]="no test",WWWW[[#This Row],[%Water samples which passed at HH]]="no test"),"No Test","Tested")</f>
        <v>Tested</v>
      </c>
      <c r="BP14" s="404">
        <f>IF(WWWW[[#This Row],[Total PoP ]]="","",IF(((WWWW[[#This Row],['#_Functional_improved_water_source]]*500)+(WWWW[[#This Row],['#_litres_of_water_supplied_by_existing_water_boating/trucking ]]/90/15)+(WWWW[[#This Row],['#_Functional_water_point_at_TLS/CFS]]*500))/WWWW[[#This Row],[Total PoP ]]&gt;1,1,((WWWW[[#This Row],['#_Functional_improved_water_source]]*500)+(WWWW[[#This Row],['#_litres_of_water_supplied_by_existing_water_boating/trucking ]]/90/15)+(WWWW[[#This Row],['#_Functional_water_point_at_TLS/CFS]]*500))/WWWW[[#This Row],[Total PoP ]]))</f>
        <v>1</v>
      </c>
      <c r="BQ14" s="400">
        <f>WWWW[[#This Row],[Access to safe/improved water through improved water sources]]*WWWW[[#This Row],[Total PoP ]]</f>
        <v>2248</v>
      </c>
      <c r="BR14" s="403">
        <f>IF((WWWW[[#This Row],['#_litres_of_water_stored_in_ponds]]/90/15)/WWWW[[#This Row],[Total PoP ]]&gt;1,1,(WWWW[[#This Row],['#_litres_of_water_stored_in_ponds]]/90/15)/WWWW[[#This Row],[Total PoP ]])</f>
        <v>0</v>
      </c>
      <c r="BS14" s="400">
        <f>WWWW[[#This Row],[% Access to unimproved water points]]*WWWW[[#This Row],[Total PoP ]]</f>
        <v>0</v>
      </c>
      <c r="BT14" s="403">
        <f>IF(WWWW[[#This Row],[Access to safe/improved water through improved water sources]]+WWWW[[#This Row],[% Access to unimproved water points]]&gt;1,1,WWWW[[#This Row],[Access to safe/improved water through improved water sources]]+WWWW[[#This Row],[% Access to unimproved water points]])</f>
        <v>1</v>
      </c>
      <c r="BU14" s="400">
        <f>IF(WWWW[[#This Row],['# people with equitable and continuous access to sufficient quantity of safe drinking water]]+WWWW[[#This Row],['#People access to unimproved water sources]]&gt;WWWW[[#This Row],[Total PoP ]],WWWW[[#This Row],[Total PoP ]],WWWW[[#This Row],['# people with equitable and continuous access to sufficient quantity of safe drinking water]]+WWWW[[#This Row],['#People access to unimproved water sources]])</f>
        <v>2248</v>
      </c>
      <c r="BV14" s="400">
        <f>WWWW[[#This Row],[HRP1]]/500</f>
        <v>4.4960000000000004</v>
      </c>
      <c r="BW14" s="405">
        <f>1-WWWW[[#This Row],[% HRP1]]</f>
        <v>0</v>
      </c>
      <c r="BX14" s="400">
        <f>WWWW[[#This Row],[%equitable and continuous access to sufficient quantity of safe drinking and domestic water''s GAP]]*WWWW[[#This Row],[Total PoP ]]</f>
        <v>0</v>
      </c>
      <c r="BY14" s="402">
        <f>ROUND(IF(WWWW[[#This Row],[Total PoP ]]&lt;500,1,WWWW[[#This Row],[Total PoP ]]/500),0)</f>
        <v>4</v>
      </c>
      <c r="BZ14" s="402">
        <f>IF(WWWW[[#This Row],[Total required water points]]-WWWW[[#This Row],['#Water points coverage]]&lt;0,0,WWWW[[#This Row],[Total required water points]]-WWWW[[#This Row],['#Water points coverage]])</f>
        <v>0</v>
      </c>
      <c r="CA14" s="403">
        <f>WWWW[[#This Row],[HRP2]]/WWWW[[#This Row],[Total PoP ]]</f>
        <v>0.97864768683274017</v>
      </c>
      <c r="CB14" s="400">
        <f>IF(WWWW[[#This Row],[Total PoP ]]="",0,IF(((WWWW[[#This Row],['#_Functional_adult_latrines]]*20)+(WWWW[[#This Row],['#_of_functional_children_latrines]]*20)+WWWW[[#This Row],['#_of_PWD_with_adapted_sanitation_option]]+(WWWW[[#This Row],['#_of_latrines_in_TLS/CFS]]*50))&gt;WWWW[[#This Row],[Total PoP ]],WWWW[[#This Row],[Total PoP ]],((WWWW[[#This Row],['#_Functional_adult_latrines]]*20)+(WWWW[[#This Row],['#_of_functional_children_latrines]]*20)+WWWW[[#This Row],['#_of_PWD_with_adapted_sanitation_option]]+(WWWW[[#This Row],['#_of_latrines_in_TLS/CFS]]*50))))</f>
        <v>2200</v>
      </c>
      <c r="CC14" s="402">
        <f>IF(WWWW[[#This Row],['#_of_latrines_in_TLS/CFS]]*50&gt;WWWW[[#This Row],['#_students at TLS_CFS]],WWWW[[#This Row],['#_students at TLS_CFS]],WWWW[[#This Row],['#_of_latrines_in_TLS/CFS]]*50)</f>
        <v>200</v>
      </c>
      <c r="CD14" s="402">
        <f>ROUND(IF(WWWW[[#This Row],[Location Type 1]]="camp",WWWW[[#This Row],[Total PoP ]]/20),0)</f>
        <v>112</v>
      </c>
      <c r="CE14" s="402">
        <f>IF(WWWW[[#This Row],[Total required Latrines]]-WWWW[[#This Row],['#_Existing_latrines]]&lt;0,0,WWWW[[#This Row],[Total required Latrines]]-WWWW[[#This Row],['#_Existing_latrines]])</f>
        <v>6</v>
      </c>
      <c r="CF14" s="541">
        <f>1-WWWW[[#This Row],[% HRP2]]</f>
        <v>2.1352313167259829E-2</v>
      </c>
      <c r="CG14" s="404">
        <f>IF(WWWW[[#This Row],['#_Existing_latrines]]="","NA",(WWWW[[#This Row],['#_Existing_latrines]]-WWWW[[#This Row],['#_Functional_adult_latrines]])/WWWW[[#This Row],['#_Existing_latrines]])</f>
        <v>5.6603773584905662E-2</v>
      </c>
      <c r="CH14" s="400">
        <f>IF(WWWW[[#This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Row],[_'#_of_Girls_receiving_consultation_hygiene_promotion_messages_and_sessions]]&gt;WWWW[[#This Row],[Total PoP ]],WWWW[[#This Row],[Total PoP ]],WWWW[[#This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f>
        <v>2248</v>
      </c>
      <c r="CI14" s="402">
        <f>IF(WWWW[[#This Row],['#_of_affected_households_receiving_a_sufficient_quantity_of_soap]]=0,0,IF(WWWW[[#This Row],['#_of_affected_households_receiving_a_sufficient_quantity_of_soap]]&gt;=WWWW[[#This Row],[Total HH]],WWWW[[#This Row],[Total PoP ]],IF(WWWW[[#This Row],['#_of_affected_households_receiving_a_sufficient_quantity_of_soap]]*5&gt;WWWW[[#This Row],[Total PoP ]],WWWW[[#This Row],[Total PoP ]],WWWW[[#This Row],['#_of_affected_households_receiving_a_sufficient_quantity_of_soap]]*5)))</f>
        <v>2248</v>
      </c>
      <c r="CJ14" s="402">
        <f>IF(WWWW[[#This Row],['#_of_affected_women_and_girls_receiving_a_sufficient_quantity_of_sanitary_pads]]&gt;WWWW[[#This Row],[Total PoP ]],WWWW[[#This Row],[Total PoP ]],WWWW[[#This Row],['#_of_affected_women_and_girls_receiving_a_sufficient_quantity_of_sanitary_pads]])</f>
        <v>0</v>
      </c>
      <c r="CK14" s="402">
        <f>IF(WWWW[[#This Row],['# People with access to soap]]&gt;WWWW[[#This Row],['# People with access to Sanity Pads]],WWWW[[#This Row],['# People with access to soap]],WWWW[[#This Row],['# People with access to Sanity Pads]])</f>
        <v>2248</v>
      </c>
      <c r="CL14" s="402">
        <f>IF(WWWW[[#This Row],['# people reached by regular dedicated hygiene promotion_5]]&gt;WWWW[[#This Row],['# People received regular supply of hygiene items_6]],WWWW[[#This Row],['# people reached by regular dedicated hygiene promotion_5]],WWWW[[#This Row],['# People received regular supply of hygiene items_6]])</f>
        <v>2248</v>
      </c>
      <c r="CM14" s="405">
        <f>IF(WWWW[[#This Row],[HRP3]]/WWWW[[#This Row],[Total PoP ]]&gt;100%,100%,WWWW[[#This Row],[HRP3]]/WWWW[[#This Row],[Total PoP ]])</f>
        <v>1</v>
      </c>
      <c r="CN14" s="404">
        <f>1-WWWW[[#This Row],[Hygiene Coverage%]]</f>
        <v>0</v>
      </c>
      <c r="CO14" s="403">
        <f>WWWW[[#This Row],['# people reached by regular dedicated hygiene promotion_5]]/WWWW[[#This Row],[Total PoP ]]</f>
        <v>1</v>
      </c>
      <c r="CP14" s="403">
        <f>IF(WWWW[[#This Row],['#_of_affected_households_receiving_a_sufficient_quantity_of_soap]]/WWWW[[#This Row],[Total HH]]&gt;1,1,WWWW[[#This Row],['#_of_affected_households_receiving_a_sufficient_quantity_of_soap]]/WWWW[[#This Row],[Total HH]])</f>
        <v>1</v>
      </c>
      <c r="CQ14" s="400" t="str">
        <f>IF(WWWW[[#This Row],['#_students at TLS_CFS]]="","No","Yes")</f>
        <v>Yes</v>
      </c>
      <c r="CR14" s="403"/>
      <c r="CS14" s="398" t="str">
        <f>VLOOKUP(WWWW[[#This Row],[Site Name]],SiteDB6[[Site Name]:[CCCM Management]],6,FALSE)</f>
        <v>Yes</v>
      </c>
      <c r="CT14" s="398">
        <f>VLOOKUP(WWWW[[#This Row],[Site Name]],SiteDB6[[Site Name]:[CCCM Focal Agency]],7,FALSE)</f>
        <v>0</v>
      </c>
      <c r="CU14" s="398" t="str">
        <f>VLOOKUP(WWWW[[#This Row],[Site Name]],SiteDB6[[Site Name]:[Location Type 1]],9,FALSE)</f>
        <v>Camp</v>
      </c>
      <c r="CV14" s="398" t="str">
        <f>VLOOKUP(WWWW[[#This Row],[Site Name]],SiteDB6[[Site Name]:[Type of Accommodation]],10,FALSE)</f>
        <v>Planned Camp</v>
      </c>
      <c r="CW14" s="398" t="str">
        <f>VLOOKUP(WWWW[[#This Row],[Site Name]],SiteDB6[[Site Name]:[Ethnic or GCA/NGCA]],11,FALSE)</f>
        <v>Muslim</v>
      </c>
      <c r="CX14" s="398">
        <f>VLOOKUP(WWWW[[#This Row],[Site Name]],SiteDB6[[Site Name]:[Lat]],12,FALSE)</f>
        <v>20.181778000000001</v>
      </c>
      <c r="CY14" s="398">
        <f>VLOOKUP(WWWW[[#This Row],[Site Name]],SiteDB6[[Site Name]:[Long]],13,FALSE)</f>
        <v>92.823166999999998</v>
      </c>
      <c r="CZ14" s="398" t="str">
        <f>VLOOKUP(WWWW[[#This Row],[Site Name]],SiteDB6[[Site Name]:[Pcode]],3,FALSE)</f>
        <v>MMR012CMP042</v>
      </c>
      <c r="DA14" s="406" t="str">
        <f t="shared" si="0"/>
        <v>Covered</v>
      </c>
      <c r="DB14" s="406">
        <f>VLOOKUP(WWWW[[#This Row],[Site Name]],SiteDB6[[Site Name]:[PWD_Total]],22,FALSE)</f>
        <v>47</v>
      </c>
      <c r="DC14" s="406">
        <f>VLOOKUP(WWWW[[#This Row],[Site Name]],SiteDB6[[Site Name]:[PWD_Total]],23,FALSE)</f>
        <v>312</v>
      </c>
      <c r="DD14" s="406">
        <f>VLOOKUP(WWWW[[#This Row],[Site Name]],SiteDB6[[Site Name]:[PWD_Total]],24,FALSE)</f>
        <v>359</v>
      </c>
      <c r="DE14" s="406"/>
      <c r="DF14" s="830"/>
      <c r="DG14" s="830"/>
      <c r="DH14" s="830"/>
      <c r="DJ14" s="37"/>
      <c r="DK14" s="37"/>
      <c r="DL14" s="38"/>
      <c r="DM14" s="38"/>
      <c r="DU14" s="20"/>
      <c r="DV14" s="20"/>
    </row>
    <row r="15" spans="1:126" hidden="1">
      <c r="A15" s="393" t="s">
        <v>2387</v>
      </c>
      <c r="B15" s="393" t="s">
        <v>2308</v>
      </c>
      <c r="C15" s="399" t="s">
        <v>2308</v>
      </c>
      <c r="D15" s="399" t="s">
        <v>41</v>
      </c>
      <c r="E15" s="532" t="s">
        <v>2706</v>
      </c>
      <c r="F15" s="399" t="s">
        <v>299</v>
      </c>
      <c r="G15" s="532" t="str">
        <f>VLOOKUP(WWWW[[#This Row],[Site Name]],SiteDB6[[Site Name]:[Location Type]],8,FALSE)</f>
        <v>Camp</v>
      </c>
      <c r="H15" s="399" t="s">
        <v>2310</v>
      </c>
      <c r="I15" s="401">
        <v>400</v>
      </c>
      <c r="J15" s="401">
        <v>2186</v>
      </c>
      <c r="K15" s="407"/>
      <c r="L15" s="408">
        <v>44104</v>
      </c>
      <c r="M15" s="589">
        <v>357</v>
      </c>
      <c r="N15" s="589">
        <v>49</v>
      </c>
      <c r="O15" s="589">
        <f>115+54</f>
        <v>169</v>
      </c>
      <c r="P15" s="589">
        <v>0</v>
      </c>
      <c r="Q15" s="542" t="s">
        <v>130</v>
      </c>
      <c r="R15" s="589">
        <v>3</v>
      </c>
      <c r="S15" s="589">
        <v>2</v>
      </c>
      <c r="T15" s="589">
        <v>24</v>
      </c>
      <c r="U15" s="589">
        <v>28</v>
      </c>
      <c r="V15" s="401"/>
      <c r="W15" s="401"/>
      <c r="X15" s="401"/>
      <c r="Y15" s="401"/>
      <c r="Z15" s="401"/>
      <c r="AA15" s="401"/>
      <c r="AB15" s="401"/>
      <c r="AC15" s="401"/>
      <c r="AD15" s="401">
        <v>0</v>
      </c>
      <c r="AE15" s="634"/>
      <c r="AF15" s="589">
        <v>78</v>
      </c>
      <c r="AG15" s="589">
        <v>104</v>
      </c>
      <c r="AH15" s="589">
        <v>72</v>
      </c>
      <c r="AI15" s="534">
        <v>0.68</v>
      </c>
      <c r="AJ15" s="589">
        <v>67</v>
      </c>
      <c r="AK15" s="534">
        <v>1</v>
      </c>
      <c r="AL15" s="534">
        <v>0.91</v>
      </c>
      <c r="AM15" s="534">
        <v>1</v>
      </c>
      <c r="AN15" s="534">
        <v>1</v>
      </c>
      <c r="AO15" s="589"/>
      <c r="AP15" s="589"/>
      <c r="AQ15" s="589">
        <v>3</v>
      </c>
      <c r="AR15" s="589" t="s">
        <v>42</v>
      </c>
      <c r="AS15" s="647"/>
      <c r="AT15" s="589">
        <v>121</v>
      </c>
      <c r="AU15" s="589">
        <v>438</v>
      </c>
      <c r="AV15" s="589">
        <v>269</v>
      </c>
      <c r="AW15" s="589">
        <v>400</v>
      </c>
      <c r="AX15" s="589">
        <v>400</v>
      </c>
      <c r="AY15" s="589">
        <v>670</v>
      </c>
      <c r="AZ15" s="401"/>
      <c r="BA15" s="401"/>
      <c r="BB15" s="401"/>
      <c r="BC15" s="403">
        <v>1</v>
      </c>
      <c r="BD15" s="647"/>
      <c r="BE15" s="534"/>
      <c r="BF15" s="534"/>
      <c r="BG15" s="589">
        <f>100%*WWWW[[#This Row],[Total PoP ]]</f>
        <v>2186</v>
      </c>
      <c r="BH15" s="534">
        <v>1</v>
      </c>
      <c r="BI15" s="403" t="e">
        <f>WWWW[[#This Row],[Cases of Acute watery diarrhea]]/WWWW[[#This Row],[Total consultations]]</f>
        <v>#DIV/0!</v>
      </c>
      <c r="BJ15" s="398"/>
      <c r="BK15" s="648"/>
      <c r="BL15" s="647"/>
      <c r="BM15" s="404" t="str">
        <f>IFERROR(WWWW[[#This Row],['#_Water samples _passed_at_water source]]/WWWW[[#This Row],['#_Water samples_Tested_at_water_source]],"no test")</f>
        <v>no test</v>
      </c>
      <c r="BN15" s="403" t="str">
        <f>IFERROR(WWWW[[#This Row],['#_Water samples _passed_at_HH]]/WWWW[[#This Row],['#_Water samples_Tested_at_HH]],"no test")</f>
        <v>no test</v>
      </c>
      <c r="BO15" s="402" t="str">
        <f>IF(AND(WWWW[[#This Row],[%of Water samples which passed at water source]]="no test",WWWW[[#This Row],[%Water samples which passed at HH]]="no test"),"No Test","Tested")</f>
        <v>No Test</v>
      </c>
      <c r="BP15" s="404">
        <f>IF(WWWW[[#This Row],[Total PoP ]]="","",IF(((WWWW[[#This Row],['#_Functional_improved_water_source]]*500)+(WWWW[[#This Row],['#_litres_of_water_supplied_by_existing_water_boating/trucking ]]/90/15)+(WWWW[[#This Row],['#_Functional_water_point_at_TLS/CFS]]*500))/WWWW[[#This Row],[Total PoP ]]&gt;1,1,((WWWW[[#This Row],['#_Functional_improved_water_source]]*500)+(WWWW[[#This Row],['#_litres_of_water_supplied_by_existing_water_boating/trucking ]]/90/15)+(WWWW[[#This Row],['#_Functional_water_point_at_TLS/CFS]]*500))/WWWW[[#This Row],[Total PoP ]]))</f>
        <v>1</v>
      </c>
      <c r="BQ15" s="400">
        <f>WWWW[[#This Row],[Access to safe/improved water through improved water sources]]*WWWW[[#This Row],[Total PoP ]]</f>
        <v>2186</v>
      </c>
      <c r="BR15" s="403">
        <f>IF((WWWW[[#This Row],['#_litres_of_water_stored_in_ponds]]/90/15)/WWWW[[#This Row],[Total PoP ]]&gt;1,1,(WWWW[[#This Row],['#_litres_of_water_stored_in_ponds]]/90/15)/WWWW[[#This Row],[Total PoP ]])</f>
        <v>0</v>
      </c>
      <c r="BS15" s="400">
        <f>WWWW[[#This Row],[% Access to unimproved water points]]*WWWW[[#This Row],[Total PoP ]]</f>
        <v>0</v>
      </c>
      <c r="BT15" s="403">
        <f>IF(WWWW[[#This Row],[Access to safe/improved water through improved water sources]]+WWWW[[#This Row],[% Access to unimproved water points]]&gt;1,1,WWWW[[#This Row],[Access to safe/improved water through improved water sources]]+WWWW[[#This Row],[% Access to unimproved water points]])</f>
        <v>1</v>
      </c>
      <c r="BU15" s="400">
        <f>IF(WWWW[[#This Row],['# people with equitable and continuous access to sufficient quantity of safe drinking water]]+WWWW[[#This Row],['#People access to unimproved water sources]]&gt;WWWW[[#This Row],[Total PoP ]],WWWW[[#This Row],[Total PoP ]],WWWW[[#This Row],['# people with equitable and continuous access to sufficient quantity of safe drinking water]]+WWWW[[#This Row],['#People access to unimproved water sources]])</f>
        <v>2186</v>
      </c>
      <c r="BV15" s="400">
        <f>WWWW[[#This Row],[HRP1]]/500</f>
        <v>4.3719999999999999</v>
      </c>
      <c r="BW15" s="405">
        <f>1-WWWW[[#This Row],[% HRP1]]</f>
        <v>0</v>
      </c>
      <c r="BX15" s="400">
        <f>WWWW[[#This Row],[%equitable and continuous access to sufficient quantity of safe drinking and domestic water''s GAP]]*WWWW[[#This Row],[Total PoP ]]</f>
        <v>0</v>
      </c>
      <c r="BY15" s="402">
        <f>ROUND(IF(WWWW[[#This Row],[Total PoP ]]&lt;500,1,WWWW[[#This Row],[Total PoP ]]/500),0)</f>
        <v>4</v>
      </c>
      <c r="BZ15" s="402">
        <f>IF(WWWW[[#This Row],[Total required water points]]-WWWW[[#This Row],['#Water points coverage]]&lt;0,0,WWWW[[#This Row],[Total required water points]]-WWWW[[#This Row],['#Water points coverage]])</f>
        <v>0</v>
      </c>
      <c r="CA15" s="403">
        <f>WWWW[[#This Row],[HRP2]]/WWWW[[#This Row],[Total PoP ]]</f>
        <v>0.78225068618481242</v>
      </c>
      <c r="CB15" s="400">
        <f>IF(WWWW[[#This Row],[Total PoP ]]="",0,IF(((WWWW[[#This Row],['#_Functional_adult_latrines]]*20)+(WWWW[[#This Row],['#_of_functional_children_latrines]]*20)+WWWW[[#This Row],['#_of_PWD_with_adapted_sanitation_option]]+(WWWW[[#This Row],['#_of_latrines_in_TLS/CFS]]*50))&gt;WWWW[[#This Row],[Total PoP ]],WWWW[[#This Row],[Total PoP ]],((WWWW[[#This Row],['#_Functional_adult_latrines]]*20)+(WWWW[[#This Row],['#_of_functional_children_latrines]]*20)+WWWW[[#This Row],['#_of_PWD_with_adapted_sanitation_option]]+(WWWW[[#This Row],['#_of_latrines_in_TLS/CFS]]*50))))</f>
        <v>1710</v>
      </c>
      <c r="CC15" s="402">
        <f>IF(WWWW[[#This Row],['#_of_latrines_in_TLS/CFS]]*50&gt;WWWW[[#This Row],['#_students at TLS_CFS]],WWWW[[#This Row],['#_students at TLS_CFS]],WWWW[[#This Row],['#_of_latrines_in_TLS/CFS]]*50)</f>
        <v>150</v>
      </c>
      <c r="CD15" s="402">
        <f>ROUND(IF(WWWW[[#This Row],[Location Type 1]]="camp",WWWW[[#This Row],[Total PoP ]]/20),0)</f>
        <v>109</v>
      </c>
      <c r="CE15" s="402">
        <f>IF(WWWW[[#This Row],[Total required Latrines]]-WWWW[[#This Row],['#_Existing_latrines]]&lt;0,0,WWWW[[#This Row],[Total required Latrines]]-WWWW[[#This Row],['#_Existing_latrines]])</f>
        <v>5</v>
      </c>
      <c r="CF15" s="71">
        <f>1-WWWW[[#This Row],[% HRP2]]</f>
        <v>0.21774931381518758</v>
      </c>
      <c r="CG15" s="404">
        <f>IF(WWWW[[#This Row],['#_Existing_latrines]]="","NA",(WWWW[[#This Row],['#_Existing_latrines]]-WWWW[[#This Row],['#_Functional_adult_latrines]])/WWWW[[#This Row],['#_Existing_latrines]])</f>
        <v>0.25</v>
      </c>
      <c r="CH15" s="400">
        <f>IF(WWWW[[#This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Row],[_'#_of_Girls_receiving_consultation_hygiene_promotion_messages_and_sessions]]&gt;WWWW[[#This Row],[Total PoP ]],WWWW[[#This Row],[Total PoP ]],WWWW[[#This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f>
        <v>1228</v>
      </c>
      <c r="CI15" s="402">
        <f>IF(WWWW[[#This Row],['#_of_affected_households_receiving_a_sufficient_quantity_of_soap]]=0,0,IF(WWWW[[#This Row],['#_of_affected_households_receiving_a_sufficient_quantity_of_soap]]&gt;=WWWW[[#This Row],[Total HH]],WWWW[[#This Row],[Total PoP ]],IF(WWWW[[#This Row],['#_of_affected_households_receiving_a_sufficient_quantity_of_soap]]*5&gt;WWWW[[#This Row],[Total PoP ]],WWWW[[#This Row],[Total PoP ]],WWWW[[#This Row],['#_of_affected_households_receiving_a_sufficient_quantity_of_soap]]*5)))</f>
        <v>2186</v>
      </c>
      <c r="CJ15" s="402">
        <f>IF(WWWW[[#This Row],['#_of_affected_women_and_girls_receiving_a_sufficient_quantity_of_sanitary_pads]]&gt;WWWW[[#This Row],[Total PoP ]],WWWW[[#This Row],[Total PoP ]],WWWW[[#This Row],['#_of_affected_women_and_girls_receiving_a_sufficient_quantity_of_sanitary_pads]])</f>
        <v>670</v>
      </c>
      <c r="CK15" s="402">
        <f>IF(WWWW[[#This Row],['# People with access to soap]]&gt;WWWW[[#This Row],['# People with access to Sanity Pads]],WWWW[[#This Row],['# People with access to soap]],WWWW[[#This Row],['# People with access to Sanity Pads]])</f>
        <v>2186</v>
      </c>
      <c r="CL15" s="402">
        <f>IF(WWWW[[#This Row],['# people reached by regular dedicated hygiene promotion_5]]&gt;WWWW[[#This Row],['# People received regular supply of hygiene items_6]],WWWW[[#This Row],['# people reached by regular dedicated hygiene promotion_5]],WWWW[[#This Row],['# People received regular supply of hygiene items_6]])</f>
        <v>2186</v>
      </c>
      <c r="CM15" s="405">
        <f>IF(WWWW[[#This Row],[HRP3]]/WWWW[[#This Row],[Total PoP ]]&gt;100%,100%,WWWW[[#This Row],[HRP3]]/WWWW[[#This Row],[Total PoP ]])</f>
        <v>1</v>
      </c>
      <c r="CN15" s="404">
        <f>1-WWWW[[#This Row],[Hygiene Coverage%]]</f>
        <v>0</v>
      </c>
      <c r="CO15" s="403">
        <f>WWWW[[#This Row],['# people reached by regular dedicated hygiene promotion_5]]/WWWW[[#This Row],[Total PoP ]]</f>
        <v>0.56175663311985358</v>
      </c>
      <c r="CP15" s="403">
        <f>IF(WWWW[[#This Row],['#_of_affected_households_receiving_a_sufficient_quantity_of_soap]]/WWWW[[#This Row],[Total HH]]&gt;1,1,WWWW[[#This Row],['#_of_affected_households_receiving_a_sufficient_quantity_of_soap]]/WWWW[[#This Row],[Total HH]])</f>
        <v>1</v>
      </c>
      <c r="CQ15" s="400" t="str">
        <f>IF(WWWW[[#This Row],['#_students at TLS_CFS]]="","No","Yes")</f>
        <v>Yes</v>
      </c>
      <c r="CR15" s="403">
        <f>WWWW[[#This Row],['#_of_affected_people_surveyed_who_report_feeling_informed_about_the_different_WASH_services_available_to_them]]/WWWW[[#This Row],[Total PoP ]]</f>
        <v>1</v>
      </c>
      <c r="CS15" s="398">
        <f>VLOOKUP(WWWW[[#This Row],[Site Name]],SiteDB6[[Site Name]:[CCCM Management]],6,FALSE)</f>
        <v>0</v>
      </c>
      <c r="CT15" s="398">
        <f>VLOOKUP(WWWW[[#This Row],[Site Name]],SiteDB6[[Site Name]:[CCCM Focal Agency]],7,FALSE)</f>
        <v>0</v>
      </c>
      <c r="CU15" s="398" t="str">
        <f>VLOOKUP(WWWW[[#This Row],[Site Name]],SiteDB6[[Site Name]:[Location Type 1]],9,FALSE)</f>
        <v>Camp</v>
      </c>
      <c r="CV15" s="398" t="str">
        <f>VLOOKUP(WWWW[[#This Row],[Site Name]],SiteDB6[[Site Name]:[Type of Accommodation]],10,FALSE)</f>
        <v>Planned Camp</v>
      </c>
      <c r="CW15" s="398" t="str">
        <f>VLOOKUP(WWWW[[#This Row],[Site Name]],SiteDB6[[Site Name]:[Ethnic or GCA/NGCA]],11,FALSE)</f>
        <v>Muslim</v>
      </c>
      <c r="CX15" s="398">
        <f>VLOOKUP(WWWW[[#This Row],[Site Name]],SiteDB6[[Site Name]:[Lat]],12,FALSE)</f>
        <v>20.180194</v>
      </c>
      <c r="CY15" s="398">
        <f>VLOOKUP(WWWW[[#This Row],[Site Name]],SiteDB6[[Site Name]:[Long]],13,FALSE)</f>
        <v>92.816638999999995</v>
      </c>
      <c r="CZ15" s="398" t="str">
        <f>VLOOKUP(WWWW[[#This Row],[Site Name]],SiteDB6[[Site Name]:[Pcode]],3,FALSE)</f>
        <v>MMR012CMP042</v>
      </c>
      <c r="DA15" s="406" t="str">
        <f t="shared" si="0"/>
        <v>Covered</v>
      </c>
      <c r="DB15" s="406">
        <f>VLOOKUP(WWWW[[#This Row],[Site Name]],SiteDB6[[Site Name]:[PWD_Total]],22,FALSE)</f>
        <v>68</v>
      </c>
      <c r="DC15" s="406">
        <f>VLOOKUP(WWWW[[#This Row],[Site Name]],SiteDB6[[Site Name]:[PWD_Total]],23,FALSE)</f>
        <v>265</v>
      </c>
      <c r="DD15" s="406">
        <f>VLOOKUP(WWWW[[#This Row],[Site Name]],SiteDB6[[Site Name]:[PWD_Total]],24,FALSE)</f>
        <v>333</v>
      </c>
      <c r="DE15" s="406"/>
      <c r="DF15" s="830"/>
      <c r="DG15" s="830"/>
      <c r="DH15" s="830"/>
      <c r="DJ15" s="37"/>
      <c r="DK15" s="37"/>
      <c r="DL15" s="38"/>
      <c r="DM15" s="38"/>
      <c r="DU15" s="20"/>
      <c r="DV15" s="20"/>
    </row>
    <row r="16" spans="1:126" ht="102" hidden="1">
      <c r="A16" s="393" t="s">
        <v>2387</v>
      </c>
      <c r="B16" s="393" t="s">
        <v>2294</v>
      </c>
      <c r="C16" s="399" t="s">
        <v>2294</v>
      </c>
      <c r="D16" s="399" t="s">
        <v>235</v>
      </c>
      <c r="E16" s="532" t="s">
        <v>2706</v>
      </c>
      <c r="F16" s="399" t="s">
        <v>361</v>
      </c>
      <c r="G16" s="532" t="str">
        <f>VLOOKUP(WWWW[[#This Row],[Site Name]],SiteDB6[[Site Name]:[Location Type]],8,FALSE)</f>
        <v>Camp</v>
      </c>
      <c r="H16" s="399" t="s">
        <v>372</v>
      </c>
      <c r="I16" s="401">
        <v>356</v>
      </c>
      <c r="J16" s="401">
        <v>979</v>
      </c>
      <c r="K16" s="407">
        <v>43539</v>
      </c>
      <c r="L16" s="408">
        <v>43904</v>
      </c>
      <c r="M16" s="401">
        <v>244</v>
      </c>
      <c r="N16" s="401">
        <v>6</v>
      </c>
      <c r="O16" s="401">
        <v>23</v>
      </c>
      <c r="P16" s="401">
        <v>0</v>
      </c>
      <c r="Q16" s="400" t="s">
        <v>130</v>
      </c>
      <c r="R16" s="401">
        <v>24</v>
      </c>
      <c r="S16" s="401">
        <v>5</v>
      </c>
      <c r="T16" s="589">
        <v>10</v>
      </c>
      <c r="U16" s="589">
        <v>22</v>
      </c>
      <c r="V16" s="589">
        <v>0</v>
      </c>
      <c r="W16" s="589">
        <v>0</v>
      </c>
      <c r="X16" s="589">
        <v>18</v>
      </c>
      <c r="Y16" s="589">
        <v>9</v>
      </c>
      <c r="Z16" s="589">
        <v>3</v>
      </c>
      <c r="AA16" s="589">
        <v>1</v>
      </c>
      <c r="AB16" s="401"/>
      <c r="AC16" s="401"/>
      <c r="AD16" s="401">
        <v>1</v>
      </c>
      <c r="AE16" s="634"/>
      <c r="AF16" s="401">
        <v>94</v>
      </c>
      <c r="AG16" s="401">
        <v>94</v>
      </c>
      <c r="AH16" s="401">
        <v>25</v>
      </c>
      <c r="AI16" s="403">
        <v>0</v>
      </c>
      <c r="AJ16" s="589">
        <v>3</v>
      </c>
      <c r="AK16" s="534">
        <v>1</v>
      </c>
      <c r="AL16" s="534">
        <v>1</v>
      </c>
      <c r="AM16" s="534">
        <v>1</v>
      </c>
      <c r="AN16" s="534">
        <v>1</v>
      </c>
      <c r="AO16" s="401"/>
      <c r="AP16" s="401"/>
      <c r="AQ16" s="589">
        <v>10</v>
      </c>
      <c r="AR16" s="589" t="s">
        <v>42</v>
      </c>
      <c r="AS16" s="647"/>
      <c r="AT16" s="589">
        <v>557</v>
      </c>
      <c r="AU16" s="589">
        <v>511</v>
      </c>
      <c r="AV16" s="589">
        <v>0</v>
      </c>
      <c r="AW16" s="589">
        <v>0</v>
      </c>
      <c r="AX16" s="589">
        <v>356</v>
      </c>
      <c r="AY16" s="589">
        <v>360</v>
      </c>
      <c r="AZ16" s="534">
        <v>0</v>
      </c>
      <c r="BA16" s="534"/>
      <c r="BB16" s="534">
        <v>0.8</v>
      </c>
      <c r="BC16" s="534">
        <v>0.95</v>
      </c>
      <c r="BD16" s="648"/>
      <c r="BE16" s="403"/>
      <c r="BF16" s="403"/>
      <c r="BG16" s="401"/>
      <c r="BH16" s="403"/>
      <c r="BI16" s="403"/>
      <c r="BJ16" s="537" t="s">
        <v>42</v>
      </c>
      <c r="BK16" s="712" t="s">
        <v>3095</v>
      </c>
      <c r="BL16" s="712" t="s">
        <v>3096</v>
      </c>
      <c r="BM16" s="404">
        <f>IFERROR(WWWW[[#This Row],['#_Water samples _passed_at_water source]]/WWWW[[#This Row],['#_Water samples_Tested_at_water_source]],"no test")</f>
        <v>0.5</v>
      </c>
      <c r="BN16" s="403">
        <f>IFERROR(WWWW[[#This Row],['#_Water samples _passed_at_HH]]/WWWW[[#This Row],['#_Water samples_Tested_at_HH]],"no test")</f>
        <v>0.33333333333333331</v>
      </c>
      <c r="BO16" s="402" t="str">
        <f>IF(AND(WWWW[[#This Row],[%of Water samples which passed at water source]]="no test",WWWW[[#This Row],[%Water samples which passed at HH]]="no test"),"No Test","Tested")</f>
        <v>Tested</v>
      </c>
      <c r="BP16" s="404">
        <f>IF(WWWW[[#This Row],[Total PoP ]]="","",IF(((WWWW[[#This Row],['#_Functional_improved_water_source]]*500)+(WWWW[[#This Row],['#_litres_of_water_supplied_by_existing_water_boating/trucking ]]/90/15)+(WWWW[[#This Row],['#_Functional_water_point_at_TLS/CFS]]*500))/WWWW[[#This Row],[Total PoP ]]&gt;1,1,((WWWW[[#This Row],['#_Functional_improved_water_source]]*500)+(WWWW[[#This Row],['#_litres_of_water_supplied_by_existing_water_boating/trucking ]]/90/15)+(WWWW[[#This Row],['#_Functional_water_point_at_TLS/CFS]]*500))/WWWW[[#This Row],[Total PoP ]]))</f>
        <v>1</v>
      </c>
      <c r="BQ16" s="400">
        <f>WWWW[[#This Row],[Access to safe/improved water through improved water sources]]*WWWW[[#This Row],[Total PoP ]]</f>
        <v>979</v>
      </c>
      <c r="BR16" s="403">
        <f>IF((WWWW[[#This Row],['#_litres_of_water_stored_in_ponds]]/90/15)/WWWW[[#This Row],[Total PoP ]]&gt;1,1,(WWWW[[#This Row],['#_litres_of_water_stored_in_ponds]]/90/15)/WWWW[[#This Row],[Total PoP ]])</f>
        <v>0</v>
      </c>
      <c r="BS16" s="400">
        <f>WWWW[[#This Row],[% Access to unimproved water points]]*WWWW[[#This Row],[Total PoP ]]</f>
        <v>0</v>
      </c>
      <c r="BT16" s="403">
        <f>IF(WWWW[[#This Row],[Access to safe/improved water through improved water sources]]+WWWW[[#This Row],[% Access to unimproved water points]]&gt;1,1,WWWW[[#This Row],[Access to safe/improved water through improved water sources]]+WWWW[[#This Row],[% Access to unimproved water points]])</f>
        <v>1</v>
      </c>
      <c r="BU16" s="400">
        <f>IF(WWWW[[#This Row],['# people with equitable and continuous access to sufficient quantity of safe drinking water]]+WWWW[[#This Row],['#People access to unimproved water sources]]&gt;WWWW[[#This Row],[Total PoP ]],WWWW[[#This Row],[Total PoP ]],WWWW[[#This Row],['# people with equitable and continuous access to sufficient quantity of safe drinking water]]+WWWW[[#This Row],['#People access to unimproved water sources]])</f>
        <v>979</v>
      </c>
      <c r="BV16" s="400">
        <f>WWWW[[#This Row],[HRP1]]/500</f>
        <v>1.958</v>
      </c>
      <c r="BW16" s="405">
        <f>1-WWWW[[#This Row],[% HRP1]]</f>
        <v>0</v>
      </c>
      <c r="BX16" s="400">
        <f>WWWW[[#This Row],[%equitable and continuous access to sufficient quantity of safe drinking and domestic water''s GAP]]*WWWW[[#This Row],[Total PoP ]]</f>
        <v>0</v>
      </c>
      <c r="BY16" s="402">
        <f>ROUND(IF(WWWW[[#This Row],[Total PoP ]]&lt;500,1,WWWW[[#This Row],[Total PoP ]]/500),0)</f>
        <v>2</v>
      </c>
      <c r="BZ16" s="402">
        <f>IF(WWWW[[#This Row],[Total required water points]]-WWWW[[#This Row],['#Water points coverage]]&lt;0,0,WWWW[[#This Row],[Total required water points]]-WWWW[[#This Row],['#Water points coverage]])</f>
        <v>4.2000000000000037E-2</v>
      </c>
      <c r="CA16" s="403">
        <f>WWWW[[#This Row],[HRP2]]/WWWW[[#This Row],[Total PoP ]]</f>
        <v>1</v>
      </c>
      <c r="CB16" s="400">
        <f>IF(WWWW[[#This Row],[Total PoP ]]="",0,IF(((WWWW[[#This Row],['#_Functional_adult_latrines]]*20)+(WWWW[[#This Row],['#_of_functional_children_latrines]]*20)+WWWW[[#This Row],['#_of_PWD_with_adapted_sanitation_option]]+(WWWW[[#This Row],['#_of_latrines_in_TLS/CFS]]*50))&gt;WWWW[[#This Row],[Total PoP ]],WWWW[[#This Row],[Total PoP ]],((WWWW[[#This Row],['#_Functional_adult_latrines]]*20)+(WWWW[[#This Row],['#_of_functional_children_latrines]]*20)+WWWW[[#This Row],['#_of_PWD_with_adapted_sanitation_option]]+(WWWW[[#This Row],['#_of_latrines_in_TLS/CFS]]*50))))</f>
        <v>979</v>
      </c>
      <c r="CC16" s="402">
        <f>IF(WWWW[[#This Row],['#_of_latrines_in_TLS/CFS]]*50&gt;WWWW[[#This Row],['#_students at TLS_CFS]],WWWW[[#This Row],['#_students at TLS_CFS]],WWWW[[#This Row],['#_of_latrines_in_TLS/CFS]]*50)</f>
        <v>244</v>
      </c>
      <c r="CD16" s="402">
        <f>ROUND(IF(WWWW[[#This Row],[Location Type 1]]="camp",WWWW[[#This Row],[Total PoP ]]/20),0)</f>
        <v>49</v>
      </c>
      <c r="CE16" s="402">
        <f>IF(WWWW[[#This Row],[Total required Latrines]]-WWWW[[#This Row],['#_Existing_latrines]]&lt;0,0,WWWW[[#This Row],[Total required Latrines]]-WWWW[[#This Row],['#_Existing_latrines]])</f>
        <v>0</v>
      </c>
      <c r="CF16" s="541">
        <f>1-WWWW[[#This Row],[% HRP2]]</f>
        <v>0</v>
      </c>
      <c r="CG16" s="404">
        <f>IF(WWWW[[#This Row],['#_Existing_latrines]]="","NA",(WWWW[[#This Row],['#_Existing_latrines]]-WWWW[[#This Row],['#_Functional_adult_latrines]])/WWWW[[#This Row],['#_Existing_latrines]])</f>
        <v>0</v>
      </c>
      <c r="CH16" s="400">
        <f>IF(WWWW[[#This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Row],[_'#_of_Girls_receiving_consultation_hygiene_promotion_messages_and_sessions]]&gt;WWWW[[#This Row],[Total PoP ]],WWWW[[#This Row],[Total PoP ]],WWWW[[#This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f>
        <v>979</v>
      </c>
      <c r="CI16" s="402">
        <f>IF(WWWW[[#This Row],['#_of_affected_households_receiving_a_sufficient_quantity_of_soap]]=0,0,IF(WWWW[[#This Row],['#_of_affected_households_receiving_a_sufficient_quantity_of_soap]]&gt;=WWWW[[#This Row],[Total HH]],WWWW[[#This Row],[Total PoP ]],IF(WWWW[[#This Row],['#_of_affected_households_receiving_a_sufficient_quantity_of_soap]]*5&gt;WWWW[[#This Row],[Total PoP ]],WWWW[[#This Row],[Total PoP ]],WWWW[[#This Row],['#_of_affected_households_receiving_a_sufficient_quantity_of_soap]]*5)))</f>
        <v>979</v>
      </c>
      <c r="CJ16" s="402">
        <f>IF(WWWW[[#This Row],['#_of_affected_women_and_girls_receiving_a_sufficient_quantity_of_sanitary_pads]]&gt;WWWW[[#This Row],[Total PoP ]],WWWW[[#This Row],[Total PoP ]],WWWW[[#This Row],['#_of_affected_women_and_girls_receiving_a_sufficient_quantity_of_sanitary_pads]])</f>
        <v>360</v>
      </c>
      <c r="CK16" s="402">
        <f>IF(WWWW[[#This Row],['# People with access to soap]]&gt;WWWW[[#This Row],['# People with access to Sanity Pads]],WWWW[[#This Row],['# People with access to soap]],WWWW[[#This Row],['# People with access to Sanity Pads]])</f>
        <v>979</v>
      </c>
      <c r="CL16" s="402">
        <f>IF(WWWW[[#This Row],['# people reached by regular dedicated hygiene promotion_5]]&gt;WWWW[[#This Row],['# People received regular supply of hygiene items_6]],WWWW[[#This Row],['# people reached by regular dedicated hygiene promotion_5]],WWWW[[#This Row],['# People received regular supply of hygiene items_6]])</f>
        <v>979</v>
      </c>
      <c r="CM16" s="405">
        <f>IF(WWWW[[#This Row],[HRP3]]/WWWW[[#This Row],[Total PoP ]]&gt;100%,100%,WWWW[[#This Row],[HRP3]]/WWWW[[#This Row],[Total PoP ]])</f>
        <v>1</v>
      </c>
      <c r="CN16" s="404">
        <f>1-WWWW[[#This Row],[Hygiene Coverage%]]</f>
        <v>0</v>
      </c>
      <c r="CO16" s="403">
        <f>WWWW[[#This Row],['# people reached by regular dedicated hygiene promotion_5]]/WWWW[[#This Row],[Total PoP ]]</f>
        <v>1</v>
      </c>
      <c r="CP16" s="403">
        <f>IF(WWWW[[#This Row],['#_of_affected_households_receiving_a_sufficient_quantity_of_soap]]/WWWW[[#This Row],[Total HH]]&gt;1,1,WWWW[[#This Row],['#_of_affected_households_receiving_a_sufficient_quantity_of_soap]]/WWWW[[#This Row],[Total HH]])</f>
        <v>1</v>
      </c>
      <c r="CQ16" s="400" t="str">
        <f>IF(WWWW[[#This Row],['#_students at TLS_CFS]]="","No","Yes")</f>
        <v>Yes</v>
      </c>
      <c r="CR16" s="403"/>
      <c r="CS16" s="398" t="str">
        <f>VLOOKUP(WWWW[[#This Row],[Site Name]],SiteDB6[[Site Name]:[CCCM Management]],6,FALSE)</f>
        <v>Yes</v>
      </c>
      <c r="CT16" s="398" t="str">
        <f>VLOOKUP(WWWW[[#This Row],[Site Name]],SiteDB6[[Site Name]:[CCCM Focal Agency]],7,FALSE)</f>
        <v>UNHCR</v>
      </c>
      <c r="CU16" s="398" t="str">
        <f>VLOOKUP(WWWW[[#This Row],[Site Name]],SiteDB6[[Site Name]:[Location Type 1]],9,FALSE)</f>
        <v>Camp</v>
      </c>
      <c r="CV16" s="398" t="str">
        <f>VLOOKUP(WWWW[[#This Row],[Site Name]],SiteDB6[[Site Name]:[Type of Accommodation]],10,FALSE)</f>
        <v>Planned Camp</v>
      </c>
      <c r="CW16" s="398" t="str">
        <f>VLOOKUP(WWWW[[#This Row],[Site Name]],SiteDB6[[Site Name]:[Ethnic or GCA/NGCA]],11,FALSE)</f>
        <v>Muslim</v>
      </c>
      <c r="CX16" s="398">
        <f>VLOOKUP(WWWW[[#This Row],[Site Name]],SiteDB6[[Site Name]:[Lat]],12,FALSE)</f>
        <v>19.424576999999999</v>
      </c>
      <c r="CY16" s="398">
        <f>VLOOKUP(WWWW[[#This Row],[Site Name]],SiteDB6[[Site Name]:[Long]],13,FALSE)</f>
        <v>93.512326000000002</v>
      </c>
      <c r="CZ16" s="398" t="str">
        <f>VLOOKUP(WWWW[[#This Row],[Site Name]],SiteDB6[[Site Name]:[Pcode]],3,FALSE)</f>
        <v>MMR012CMP035</v>
      </c>
      <c r="DA16" s="406" t="str">
        <f t="shared" si="0"/>
        <v>Covered</v>
      </c>
      <c r="DB16" s="406">
        <f>VLOOKUP(WWWW[[#This Row],[Site Name]],SiteDB6[[Site Name]:[PWD_Total]],22,FALSE)</f>
        <v>0</v>
      </c>
      <c r="DC16" s="406">
        <f>VLOOKUP(WWWW[[#This Row],[Site Name]],SiteDB6[[Site Name]:[PWD_Total]],23,FALSE)</f>
        <v>0</v>
      </c>
      <c r="DD16" s="406">
        <f>VLOOKUP(WWWW[[#This Row],[Site Name]],SiteDB6[[Site Name]:[PWD_Total]],24,FALSE)</f>
        <v>0</v>
      </c>
      <c r="DE16" s="406"/>
      <c r="DF16" s="830"/>
      <c r="DG16" s="830"/>
      <c r="DH16" s="830"/>
      <c r="DJ16" s="37"/>
      <c r="DK16" s="37"/>
      <c r="DL16" s="38"/>
      <c r="DM16" s="38"/>
      <c r="DU16" s="20"/>
      <c r="DV16" s="20"/>
    </row>
    <row r="17" spans="1:126" hidden="1">
      <c r="A17" s="393" t="s">
        <v>2387</v>
      </c>
      <c r="B17" s="393" t="s">
        <v>270</v>
      </c>
      <c r="C17" s="399" t="s">
        <v>270</v>
      </c>
      <c r="D17" s="399" t="s">
        <v>235</v>
      </c>
      <c r="E17" s="532" t="s">
        <v>2706</v>
      </c>
      <c r="F17" s="399" t="s">
        <v>406</v>
      </c>
      <c r="G17" s="532" t="str">
        <f>VLOOKUP(WWWW[[#This Row],[Site Name]],SiteDB6[[Site Name]:[Location Type]],8,FALSE)</f>
        <v>Camp</v>
      </c>
      <c r="H17" s="399" t="s">
        <v>414</v>
      </c>
      <c r="I17" s="401">
        <v>1320</v>
      </c>
      <c r="J17" s="401">
        <v>6042</v>
      </c>
      <c r="K17" s="407">
        <v>43435</v>
      </c>
      <c r="L17" s="408">
        <v>43799</v>
      </c>
      <c r="M17" s="401">
        <v>1412</v>
      </c>
      <c r="N17" s="401"/>
      <c r="O17" s="401">
        <v>121</v>
      </c>
      <c r="P17" s="401" t="s">
        <v>2675</v>
      </c>
      <c r="Q17" s="400" t="s">
        <v>42</v>
      </c>
      <c r="R17" s="401"/>
      <c r="S17" s="401"/>
      <c r="T17" s="401">
        <v>3</v>
      </c>
      <c r="U17" s="401">
        <v>3</v>
      </c>
      <c r="V17" s="401">
        <v>693000</v>
      </c>
      <c r="W17" s="401">
        <v>22567549</v>
      </c>
      <c r="X17" s="401"/>
      <c r="Y17" s="401"/>
      <c r="Z17" s="401"/>
      <c r="AA17" s="401"/>
      <c r="AB17" s="401"/>
      <c r="AC17" s="401"/>
      <c r="AD17" s="401"/>
      <c r="AE17" s="634"/>
      <c r="AF17" s="401">
        <v>184</v>
      </c>
      <c r="AG17" s="401">
        <v>184</v>
      </c>
      <c r="AH17" s="401">
        <v>0</v>
      </c>
      <c r="AI17" s="403"/>
      <c r="AJ17" s="401"/>
      <c r="AK17" s="403"/>
      <c r="AL17" s="403"/>
      <c r="AM17" s="403"/>
      <c r="AN17" s="403"/>
      <c r="AO17" s="401">
        <v>0</v>
      </c>
      <c r="AP17" s="401"/>
      <c r="AQ17" s="401">
        <v>5</v>
      </c>
      <c r="AR17" s="401" t="s">
        <v>42</v>
      </c>
      <c r="AS17" s="647"/>
      <c r="AT17" s="401">
        <v>76</v>
      </c>
      <c r="AU17" s="401">
        <v>94</v>
      </c>
      <c r="AV17" s="401">
        <v>76</v>
      </c>
      <c r="AW17" s="401">
        <v>94</v>
      </c>
      <c r="AX17" s="401">
        <v>1327</v>
      </c>
      <c r="AY17" s="401">
        <v>3023</v>
      </c>
      <c r="AZ17" s="401"/>
      <c r="BA17" s="401"/>
      <c r="BB17" s="401"/>
      <c r="BC17" s="403"/>
      <c r="BD17" s="647"/>
      <c r="BE17" s="403"/>
      <c r="BF17" s="403"/>
      <c r="BG17" s="401"/>
      <c r="BH17" s="403"/>
      <c r="BI17" s="403" t="e">
        <f>WWWW[[#This Row],[Cases of Acute watery diarrhea]]/WWWW[[#This Row],[Total consultations]]</f>
        <v>#DIV/0!</v>
      </c>
      <c r="BJ17" s="398"/>
      <c r="BK17" s="647"/>
      <c r="BL17" s="647"/>
      <c r="BM17" s="404" t="str">
        <f>IFERROR(WWWW[[#This Row],['#_Water samples _passed_at_water source]]/WWWW[[#This Row],['#_Water samples_Tested_at_water_source]],"no test")</f>
        <v>no test</v>
      </c>
      <c r="BN17" s="403" t="str">
        <f>IFERROR(WWWW[[#This Row],['#_Water samples _passed_at_HH]]/WWWW[[#This Row],['#_Water samples_Tested_at_HH]],"no test")</f>
        <v>no test</v>
      </c>
      <c r="BO17" s="402" t="str">
        <f>IF(AND(WWWW[[#This Row],[%of Water samples which passed at water source]]="no test",WWWW[[#This Row],[%Water samples which passed at HH]]="no test"),"No Test","Tested")</f>
        <v>No Test</v>
      </c>
      <c r="BP17" s="404">
        <f>IF(WWWW[[#This Row],[Total PoP ]]="","",IF(((WWWW[[#This Row],['#_Functional_improved_water_source]]*500)+(WWWW[[#This Row],['#_litres_of_water_supplied_by_existing_water_boating/trucking ]]/90/15)+(WWWW[[#This Row],['#_Functional_water_point_at_TLS/CFS]]*500))/WWWW[[#This Row],[Total PoP ]]&gt;1,1,((WWWW[[#This Row],['#_Functional_improved_water_source]]*500)+(WWWW[[#This Row],['#_litres_of_water_supplied_by_existing_water_boating/trucking ]]/90/15)+(WWWW[[#This Row],['#_Functional_water_point_at_TLS/CFS]]*500))/WWWW[[#This Row],[Total PoP ]]))</f>
        <v>0.33322299459340177</v>
      </c>
      <c r="BQ17" s="400">
        <f>WWWW[[#This Row],[Access to safe/improved water through improved water sources]]*WWWW[[#This Row],[Total PoP ]]</f>
        <v>2013.3333333333335</v>
      </c>
      <c r="BR17" s="403">
        <f>IF((WWWW[[#This Row],['#_litres_of_water_stored_in_ponds]]/90/15)/WWWW[[#This Row],[Total PoP ]]&gt;1,1,(WWWW[[#This Row],['#_litres_of_water_stored_in_ponds]]/90/15)/WWWW[[#This Row],[Total PoP ]])</f>
        <v>1</v>
      </c>
      <c r="BS17" s="400">
        <f>WWWW[[#This Row],[% Access to unimproved water points]]*WWWW[[#This Row],[Total PoP ]]</f>
        <v>6042</v>
      </c>
      <c r="BT17" s="403">
        <f>IF(WWWW[[#This Row],[Access to safe/improved water through improved water sources]]+WWWW[[#This Row],[% Access to unimproved water points]]&gt;1,1,WWWW[[#This Row],[Access to safe/improved water through improved water sources]]+WWWW[[#This Row],[% Access to unimproved water points]])</f>
        <v>1</v>
      </c>
      <c r="BU17" s="400">
        <f>IF(WWWW[[#This Row],['# people with equitable and continuous access to sufficient quantity of safe drinking water]]+WWWW[[#This Row],['#People access to unimproved water sources]]&gt;WWWW[[#This Row],[Total PoP ]],WWWW[[#This Row],[Total PoP ]],WWWW[[#This Row],['# people with equitable and continuous access to sufficient quantity of safe drinking water]]+WWWW[[#This Row],['#People access to unimproved water sources]])</f>
        <v>6042</v>
      </c>
      <c r="BV17" s="400">
        <f>WWWW[[#This Row],[HRP1]]/500</f>
        <v>12.084</v>
      </c>
      <c r="BW17" s="405">
        <f>1-WWWW[[#This Row],[% HRP1]]</f>
        <v>0</v>
      </c>
      <c r="BX17" s="400">
        <f>WWWW[[#This Row],[%equitable and continuous access to sufficient quantity of safe drinking and domestic water''s GAP]]*WWWW[[#This Row],[Total PoP ]]</f>
        <v>0</v>
      </c>
      <c r="BY17" s="402">
        <f>ROUND(IF(WWWW[[#This Row],[Total PoP ]]&lt;500,1,WWWW[[#This Row],[Total PoP ]]/500),0)</f>
        <v>12</v>
      </c>
      <c r="BZ17" s="402">
        <f>IF(WWWW[[#This Row],[Total required water points]]-WWWW[[#This Row],['#Water points coverage]]&lt;0,0,WWWW[[#This Row],[Total required water points]]-WWWW[[#This Row],['#Water points coverage]])</f>
        <v>0</v>
      </c>
      <c r="CA17" s="403">
        <f>WWWW[[#This Row],[HRP2]]/WWWW[[#This Row],[Total PoP ]]</f>
        <v>0.6504468718967229</v>
      </c>
      <c r="CB17" s="400">
        <f>IF(WWWW[[#This Row],[Total PoP ]]="",0,IF(((WWWW[[#This Row],['#_Functional_adult_latrines]]*20)+(WWWW[[#This Row],['#_of_functional_children_latrines]]*20)+WWWW[[#This Row],['#_of_PWD_with_adapted_sanitation_option]]+(WWWW[[#This Row],['#_of_latrines_in_TLS/CFS]]*50))&gt;WWWW[[#This Row],[Total PoP ]],WWWW[[#This Row],[Total PoP ]],((WWWW[[#This Row],['#_Functional_adult_latrines]]*20)+(WWWW[[#This Row],['#_of_functional_children_latrines]]*20)+WWWW[[#This Row],['#_of_PWD_with_adapted_sanitation_option]]+(WWWW[[#This Row],['#_of_latrines_in_TLS/CFS]]*50))))</f>
        <v>3930</v>
      </c>
      <c r="CC17" s="402">
        <f>IF(WWWW[[#This Row],['#_of_latrines_in_TLS/CFS]]*50&gt;WWWW[[#This Row],['#_students at TLS_CFS]],WWWW[[#This Row],['#_students at TLS_CFS]],WWWW[[#This Row],['#_of_latrines_in_TLS/CFS]]*50)</f>
        <v>250</v>
      </c>
      <c r="CD17" s="402">
        <f>ROUND(IF(WWWW[[#This Row],[Location Type 1]]="camp",WWWW[[#This Row],[Total PoP ]]/20),0)</f>
        <v>302</v>
      </c>
      <c r="CE17" s="402">
        <f>IF(WWWW[[#This Row],[Total required Latrines]]-WWWW[[#This Row],['#_Existing_latrines]]&lt;0,0,WWWW[[#This Row],[Total required Latrines]]-WWWW[[#This Row],['#_Existing_latrines]])</f>
        <v>118</v>
      </c>
      <c r="CF17" s="71">
        <f>1-WWWW[[#This Row],[% HRP2]]</f>
        <v>0.3495531281032771</v>
      </c>
      <c r="CG17" s="404">
        <f>IF(WWWW[[#This Row],['#_Existing_latrines]]="","NA",(WWWW[[#This Row],['#_Existing_latrines]]-WWWW[[#This Row],['#_Functional_adult_latrines]])/WWWW[[#This Row],['#_Existing_latrines]])</f>
        <v>0</v>
      </c>
      <c r="CH17" s="400">
        <f>IF(WWWW[[#This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Row],[_'#_of_Girls_receiving_consultation_hygiene_promotion_messages_and_sessions]]&gt;WWWW[[#This Row],[Total PoP ]],WWWW[[#This Row],[Total PoP ]],WWWW[[#This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f>
        <v>340</v>
      </c>
      <c r="CI17" s="402">
        <f>IF(WWWW[[#This Row],['#_of_affected_households_receiving_a_sufficient_quantity_of_soap]]=0,0,IF(WWWW[[#This Row],['#_of_affected_households_receiving_a_sufficient_quantity_of_soap]]&gt;=WWWW[[#This Row],[Total HH]],WWWW[[#This Row],[Total PoP ]],IF(WWWW[[#This Row],['#_of_affected_households_receiving_a_sufficient_quantity_of_soap]]*5&gt;WWWW[[#This Row],[Total PoP ]],WWWW[[#This Row],[Total PoP ]],WWWW[[#This Row],['#_of_affected_households_receiving_a_sufficient_quantity_of_soap]]*5)))</f>
        <v>6042</v>
      </c>
      <c r="CJ17" s="402">
        <f>IF(WWWW[[#This Row],['#_of_affected_women_and_girls_receiving_a_sufficient_quantity_of_sanitary_pads]]&gt;WWWW[[#This Row],[Total PoP ]],WWWW[[#This Row],[Total PoP ]],WWWW[[#This Row],['#_of_affected_women_and_girls_receiving_a_sufficient_quantity_of_sanitary_pads]])</f>
        <v>3023</v>
      </c>
      <c r="CK17" s="402">
        <f>IF(WWWW[[#This Row],['# People with access to soap]]&gt;WWWW[[#This Row],['# People with access to Sanity Pads]],WWWW[[#This Row],['# People with access to soap]],WWWW[[#This Row],['# People with access to Sanity Pads]])</f>
        <v>6042</v>
      </c>
      <c r="CL17" s="402">
        <f>IF(WWWW[[#This Row],['# people reached by regular dedicated hygiene promotion_5]]&gt;WWWW[[#This Row],['# People received regular supply of hygiene items_6]],WWWW[[#This Row],['# people reached by regular dedicated hygiene promotion_5]],WWWW[[#This Row],['# People received regular supply of hygiene items_6]])</f>
        <v>6042</v>
      </c>
      <c r="CM17" s="405">
        <f>IF(WWWW[[#This Row],[HRP3]]/WWWW[[#This Row],[Total PoP ]]&gt;100%,100%,WWWW[[#This Row],[HRP3]]/WWWW[[#This Row],[Total PoP ]])</f>
        <v>1</v>
      </c>
      <c r="CN17" s="404">
        <f>1-WWWW[[#This Row],[Hygiene Coverage%]]</f>
        <v>0</v>
      </c>
      <c r="CO17" s="403">
        <f>WWWW[[#This Row],['# people reached by regular dedicated hygiene promotion_5]]/WWWW[[#This Row],[Total PoP ]]</f>
        <v>5.6272757365110893E-2</v>
      </c>
      <c r="CP17" s="403">
        <f>IF(WWWW[[#This Row],['#_of_affected_households_receiving_a_sufficient_quantity_of_soap]]/WWWW[[#This Row],[Total HH]]&gt;1,1,WWWW[[#This Row],['#_of_affected_households_receiving_a_sufficient_quantity_of_soap]]/WWWW[[#This Row],[Total HH]])</f>
        <v>1</v>
      </c>
      <c r="CQ17" s="400" t="str">
        <f>IF(WWWW[[#This Row],['#_students at TLS_CFS]]="","No","Yes")</f>
        <v>Yes</v>
      </c>
      <c r="CR17" s="403"/>
      <c r="CS17" s="398" t="str">
        <f>VLOOKUP(WWWW[[#This Row],[Site Name]],SiteDB6[[Site Name]:[CCCM Management]],6,FALSE)</f>
        <v>Yes</v>
      </c>
      <c r="CT17" s="398" t="str">
        <f>VLOOKUP(WWWW[[#This Row],[Site Name]],SiteDB6[[Site Name]:[CCCM Focal Agency]],7,FALSE)</f>
        <v>DRC</v>
      </c>
      <c r="CU17" s="398" t="str">
        <f>VLOOKUP(WWWW[[#This Row],[Site Name]],SiteDB6[[Site Name]:[Location Type 1]],9,FALSE)</f>
        <v>Camp</v>
      </c>
      <c r="CV17" s="398" t="str">
        <f>VLOOKUP(WWWW[[#This Row],[Site Name]],SiteDB6[[Site Name]:[Type of Accommodation]],10,FALSE)</f>
        <v>Planned Camp</v>
      </c>
      <c r="CW17" s="398" t="str">
        <f>VLOOKUP(WWWW[[#This Row],[Site Name]],SiteDB6[[Site Name]:[Ethnic or GCA/NGCA]],11,FALSE)</f>
        <v>Muslim</v>
      </c>
      <c r="CX17" s="398">
        <f>VLOOKUP(WWWW[[#This Row],[Site Name]],SiteDB6[[Site Name]:[Lat]],12,FALSE)</f>
        <v>20.090183</v>
      </c>
      <c r="CY17" s="398">
        <f>VLOOKUP(WWWW[[#This Row],[Site Name]],SiteDB6[[Site Name]:[Long]],13,FALSE)</f>
        <v>93.010368999999997</v>
      </c>
      <c r="CZ17" s="398" t="str">
        <f>VLOOKUP(WWWW[[#This Row],[Site Name]],SiteDB6[[Site Name]:[Pcode]],3,FALSE)</f>
        <v>MMR012CMP018</v>
      </c>
      <c r="DA17" s="406" t="str">
        <f t="shared" si="0"/>
        <v>Covered</v>
      </c>
      <c r="DB17" s="406">
        <f>VLOOKUP(WWWW[[#This Row],[Site Name]],SiteDB6[[Site Name]:[PWD_Total]],22,FALSE)</f>
        <v>116</v>
      </c>
      <c r="DC17" s="406">
        <f>VLOOKUP(WWWW[[#This Row],[Site Name]],SiteDB6[[Site Name]:[PWD_Total]],23,FALSE)</f>
        <v>1129</v>
      </c>
      <c r="DD17" s="406">
        <f>VLOOKUP(WWWW[[#This Row],[Site Name]],SiteDB6[[Site Name]:[PWD_Total]],24,FALSE)</f>
        <v>1245</v>
      </c>
      <c r="DE17" s="406"/>
      <c r="DF17" s="830"/>
      <c r="DG17" s="830"/>
      <c r="DH17" s="830"/>
      <c r="DJ17" s="37"/>
      <c r="DK17" s="37"/>
      <c r="DL17" s="38"/>
      <c r="DM17" s="38"/>
      <c r="DU17" s="20"/>
      <c r="DV17" s="20"/>
    </row>
    <row r="18" spans="1:126" hidden="1">
      <c r="A18" s="393" t="s">
        <v>2387</v>
      </c>
      <c r="B18" s="393" t="s">
        <v>2702</v>
      </c>
      <c r="C18" s="399" t="s">
        <v>2307</v>
      </c>
      <c r="D18" s="399" t="s">
        <v>41</v>
      </c>
      <c r="E18" s="532" t="s">
        <v>2706</v>
      </c>
      <c r="F18" s="399" t="s">
        <v>299</v>
      </c>
      <c r="G18" s="532" t="str">
        <f>VLOOKUP(WWWW[[#This Row],[Site Name]],SiteDB6[[Site Name]:[Location Type]],8,FALSE)</f>
        <v>Camp</v>
      </c>
      <c r="H18" s="399" t="s">
        <v>435</v>
      </c>
      <c r="I18" s="401">
        <v>656</v>
      </c>
      <c r="J18" s="401">
        <v>3486</v>
      </c>
      <c r="K18" s="407"/>
      <c r="L18" s="408">
        <v>44104</v>
      </c>
      <c r="M18" s="589">
        <v>1142</v>
      </c>
      <c r="N18" s="589">
        <v>49</v>
      </c>
      <c r="O18" s="589">
        <v>115</v>
      </c>
      <c r="P18" s="589">
        <v>0</v>
      </c>
      <c r="Q18" s="542" t="s">
        <v>130</v>
      </c>
      <c r="R18" s="589">
        <v>8</v>
      </c>
      <c r="S18" s="589">
        <v>7</v>
      </c>
      <c r="T18" s="589">
        <v>30</v>
      </c>
      <c r="U18" s="589">
        <v>36</v>
      </c>
      <c r="V18" s="401"/>
      <c r="W18" s="401"/>
      <c r="X18" s="589">
        <v>2</v>
      </c>
      <c r="Y18" s="589">
        <v>2</v>
      </c>
      <c r="Z18" s="589"/>
      <c r="AA18" s="589"/>
      <c r="AB18" s="401"/>
      <c r="AC18" s="401"/>
      <c r="AD18" s="401">
        <v>1</v>
      </c>
      <c r="AE18" s="634"/>
      <c r="AF18" s="589">
        <v>179</v>
      </c>
      <c r="AG18" s="589">
        <v>241</v>
      </c>
      <c r="AH18" s="589">
        <v>81</v>
      </c>
      <c r="AI18" s="534">
        <v>0.28999999999999998</v>
      </c>
      <c r="AJ18" s="589">
        <v>108</v>
      </c>
      <c r="AK18" s="534">
        <v>1</v>
      </c>
      <c r="AL18" s="534">
        <v>0.53</v>
      </c>
      <c r="AM18" s="534">
        <v>0.76</v>
      </c>
      <c r="AN18" s="534">
        <v>0.76</v>
      </c>
      <c r="AO18" s="401"/>
      <c r="AP18" s="401"/>
      <c r="AQ18" s="401">
        <v>2</v>
      </c>
      <c r="AR18" s="589" t="s">
        <v>42</v>
      </c>
      <c r="AS18" s="647"/>
      <c r="AT18" s="589">
        <v>358</v>
      </c>
      <c r="AU18" s="589">
        <v>1571</v>
      </c>
      <c r="AV18" s="589">
        <v>437</v>
      </c>
      <c r="AW18" s="589">
        <v>1138</v>
      </c>
      <c r="AX18" s="589">
        <v>656</v>
      </c>
      <c r="AY18" s="401"/>
      <c r="AZ18" s="401"/>
      <c r="BA18" s="401"/>
      <c r="BB18" s="401"/>
      <c r="BC18" s="403">
        <v>1</v>
      </c>
      <c r="BD18" s="647"/>
      <c r="BE18" s="403"/>
      <c r="BF18" s="403"/>
      <c r="BG18" s="401"/>
      <c r="BH18" s="403"/>
      <c r="BI18" s="403" t="e">
        <f>WWWW[[#This Row],[Cases of Acute watery diarrhea]]/WWWW[[#This Row],[Total consultations]]</f>
        <v>#DIV/0!</v>
      </c>
      <c r="BJ18" s="398"/>
      <c r="BK18" s="647"/>
      <c r="BL18" s="647"/>
      <c r="BM18" s="404">
        <f>IFERROR(WWWW[[#This Row],['#_Water samples _passed_at_water source]]/WWWW[[#This Row],['#_Water samples_Tested_at_water_source]],"no test")</f>
        <v>1</v>
      </c>
      <c r="BN18" s="403" t="str">
        <f>IFERROR(WWWW[[#This Row],['#_Water samples _passed_at_HH]]/WWWW[[#This Row],['#_Water samples_Tested_at_HH]],"no test")</f>
        <v>no test</v>
      </c>
      <c r="BO18" s="402" t="str">
        <f>IF(AND(WWWW[[#This Row],[%of Water samples which passed at water source]]="no test",WWWW[[#This Row],[%Water samples which passed at HH]]="no test"),"No Test","Tested")</f>
        <v>Tested</v>
      </c>
      <c r="BP18" s="404">
        <f>IF(WWWW[[#This Row],[Total PoP ]]="","",IF(((WWWW[[#This Row],['#_Functional_improved_water_source]]*500)+(WWWW[[#This Row],['#_litres_of_water_supplied_by_existing_water_boating/trucking ]]/90/15)+(WWWW[[#This Row],['#_Functional_water_point_at_TLS/CFS]]*500))/WWWW[[#This Row],[Total PoP ]]&gt;1,1,((WWWW[[#This Row],['#_Functional_improved_water_source]]*500)+(WWWW[[#This Row],['#_litres_of_water_supplied_by_existing_water_boating/trucking ]]/90/15)+(WWWW[[#This Row],['#_Functional_water_point_at_TLS/CFS]]*500))/WWWW[[#This Row],[Total PoP ]]))</f>
        <v>1</v>
      </c>
      <c r="BQ18" s="400">
        <f>WWWW[[#This Row],[Access to safe/improved water through improved water sources]]*WWWW[[#This Row],[Total PoP ]]</f>
        <v>3486</v>
      </c>
      <c r="BR18" s="403">
        <f>IF((WWWW[[#This Row],['#_litres_of_water_stored_in_ponds]]/90/15)/WWWW[[#This Row],[Total PoP ]]&gt;1,1,(WWWW[[#This Row],['#_litres_of_water_stored_in_ponds]]/90/15)/WWWW[[#This Row],[Total PoP ]])</f>
        <v>0</v>
      </c>
      <c r="BS18" s="400">
        <f>WWWW[[#This Row],[% Access to unimproved water points]]*WWWW[[#This Row],[Total PoP ]]</f>
        <v>0</v>
      </c>
      <c r="BT18" s="403">
        <f>IF(WWWW[[#This Row],[Access to safe/improved water through improved water sources]]+WWWW[[#This Row],[% Access to unimproved water points]]&gt;1,1,WWWW[[#This Row],[Access to safe/improved water through improved water sources]]+WWWW[[#This Row],[% Access to unimproved water points]])</f>
        <v>1</v>
      </c>
      <c r="BU18" s="400">
        <f>IF(WWWW[[#This Row],['# people with equitable and continuous access to sufficient quantity of safe drinking water]]+WWWW[[#This Row],['#People access to unimproved water sources]]&gt;WWWW[[#This Row],[Total PoP ]],WWWW[[#This Row],[Total PoP ]],WWWW[[#This Row],['# people with equitable and continuous access to sufficient quantity of safe drinking water]]+WWWW[[#This Row],['#People access to unimproved water sources]])</f>
        <v>3486</v>
      </c>
      <c r="BV18" s="400">
        <f>WWWW[[#This Row],[HRP1]]/500</f>
        <v>6.9720000000000004</v>
      </c>
      <c r="BW18" s="405">
        <f>1-WWWW[[#This Row],[% HRP1]]</f>
        <v>0</v>
      </c>
      <c r="BX18" s="400">
        <f>WWWW[[#This Row],[%equitable and continuous access to sufficient quantity of safe drinking and domestic water''s GAP]]*WWWW[[#This Row],[Total PoP ]]</f>
        <v>0</v>
      </c>
      <c r="BY18" s="402">
        <f>ROUND(IF(WWWW[[#This Row],[Total PoP ]]&lt;500,1,WWWW[[#This Row],[Total PoP ]]/500),0)</f>
        <v>7</v>
      </c>
      <c r="BZ18" s="402">
        <f>IF(WWWW[[#This Row],[Total required water points]]-WWWW[[#This Row],['#Water points coverage]]&lt;0,0,WWWW[[#This Row],[Total required water points]]-WWWW[[#This Row],['#Water points coverage]])</f>
        <v>2.7999999999999581E-2</v>
      </c>
      <c r="CA18" s="403">
        <f>WWWW[[#This Row],[HRP2]]/WWWW[[#This Row],[Total PoP ]]</f>
        <v>1</v>
      </c>
      <c r="CB18" s="400">
        <f>IF(WWWW[[#This Row],[Total PoP ]]="",0,IF(((WWWW[[#This Row],['#_Functional_adult_latrines]]*20)+(WWWW[[#This Row],['#_of_functional_children_latrines]]*20)+WWWW[[#This Row],['#_of_PWD_with_adapted_sanitation_option]]+(WWWW[[#This Row],['#_of_latrines_in_TLS/CFS]]*50))&gt;WWWW[[#This Row],[Total PoP ]],WWWW[[#This Row],[Total PoP ]],((WWWW[[#This Row],['#_Functional_adult_latrines]]*20)+(WWWW[[#This Row],['#_of_functional_children_latrines]]*20)+WWWW[[#This Row],['#_of_PWD_with_adapted_sanitation_option]]+(WWWW[[#This Row],['#_of_latrines_in_TLS/CFS]]*50))))</f>
        <v>3486</v>
      </c>
      <c r="CC18" s="402">
        <f>IF(WWWW[[#This Row],['#_of_latrines_in_TLS/CFS]]*50&gt;WWWW[[#This Row],['#_students at TLS_CFS]],WWWW[[#This Row],['#_students at TLS_CFS]],WWWW[[#This Row],['#_of_latrines_in_TLS/CFS]]*50)</f>
        <v>100</v>
      </c>
      <c r="CD18" s="402">
        <f>ROUND(IF(WWWW[[#This Row],[Location Type 1]]="camp",WWWW[[#This Row],[Total PoP ]]/20),0)</f>
        <v>174</v>
      </c>
      <c r="CE18" s="402">
        <f>IF(WWWW[[#This Row],[Total required Latrines]]-WWWW[[#This Row],['#_Existing_latrines]]&lt;0,0,WWWW[[#This Row],[Total required Latrines]]-WWWW[[#This Row],['#_Existing_latrines]])</f>
        <v>0</v>
      </c>
      <c r="CF18" s="541">
        <f>1-WWWW[[#This Row],[% HRP2]]</f>
        <v>0</v>
      </c>
      <c r="CG18" s="404">
        <f>IF(WWWW[[#This Row],['#_Existing_latrines]]="","NA",(WWWW[[#This Row],['#_Existing_latrines]]-WWWW[[#This Row],['#_Functional_adult_latrines]])/WWWW[[#This Row],['#_Existing_latrines]])</f>
        <v>0.25726141078838172</v>
      </c>
      <c r="CH18" s="400">
        <f>IF(WWWW[[#This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Row],[_'#_of_Girls_receiving_consultation_hygiene_promotion_messages_and_sessions]]&gt;WWWW[[#This Row],[Total PoP ]],WWWW[[#This Row],[Total PoP ]],WWWW[[#This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f>
        <v>3486</v>
      </c>
      <c r="CI18" s="402">
        <f>IF(WWWW[[#This Row],['#_of_affected_households_receiving_a_sufficient_quantity_of_soap]]=0,0,IF(WWWW[[#This Row],['#_of_affected_households_receiving_a_sufficient_quantity_of_soap]]&gt;=WWWW[[#This Row],[Total HH]],WWWW[[#This Row],[Total PoP ]],IF(WWWW[[#This Row],['#_of_affected_households_receiving_a_sufficient_quantity_of_soap]]*5&gt;WWWW[[#This Row],[Total PoP ]],WWWW[[#This Row],[Total PoP ]],WWWW[[#This Row],['#_of_affected_households_receiving_a_sufficient_quantity_of_soap]]*5)))</f>
        <v>3486</v>
      </c>
      <c r="CJ18" s="402">
        <f>IF(WWWW[[#This Row],['#_of_affected_women_and_girls_receiving_a_sufficient_quantity_of_sanitary_pads]]&gt;WWWW[[#This Row],[Total PoP ]],WWWW[[#This Row],[Total PoP ]],WWWW[[#This Row],['#_of_affected_women_and_girls_receiving_a_sufficient_quantity_of_sanitary_pads]])</f>
        <v>0</v>
      </c>
      <c r="CK18" s="402">
        <f>IF(WWWW[[#This Row],['# People with access to soap]]&gt;WWWW[[#This Row],['# People with access to Sanity Pads]],WWWW[[#This Row],['# People with access to soap]],WWWW[[#This Row],['# People with access to Sanity Pads]])</f>
        <v>3486</v>
      </c>
      <c r="CL18" s="402">
        <f>IF(WWWW[[#This Row],['# people reached by regular dedicated hygiene promotion_5]]&gt;WWWW[[#This Row],['# People received regular supply of hygiene items_6]],WWWW[[#This Row],['# people reached by regular dedicated hygiene promotion_5]],WWWW[[#This Row],['# People received regular supply of hygiene items_6]])</f>
        <v>3486</v>
      </c>
      <c r="CM18" s="405">
        <f>IF(WWWW[[#This Row],[HRP3]]/WWWW[[#This Row],[Total PoP ]]&gt;100%,100%,WWWW[[#This Row],[HRP3]]/WWWW[[#This Row],[Total PoP ]])</f>
        <v>1</v>
      </c>
      <c r="CN18" s="404">
        <f>1-WWWW[[#This Row],[Hygiene Coverage%]]</f>
        <v>0</v>
      </c>
      <c r="CO18" s="403">
        <f>WWWW[[#This Row],['# people reached by regular dedicated hygiene promotion_5]]/WWWW[[#This Row],[Total PoP ]]</f>
        <v>1</v>
      </c>
      <c r="CP18" s="403">
        <f>IF(WWWW[[#This Row],['#_of_affected_households_receiving_a_sufficient_quantity_of_soap]]/WWWW[[#This Row],[Total HH]]&gt;1,1,WWWW[[#This Row],['#_of_affected_households_receiving_a_sufficient_quantity_of_soap]]/WWWW[[#This Row],[Total HH]])</f>
        <v>1</v>
      </c>
      <c r="CQ18" s="400" t="str">
        <f>IF(WWWW[[#This Row],['#_students at TLS_CFS]]="","No","Yes")</f>
        <v>Yes</v>
      </c>
      <c r="CR18" s="403"/>
      <c r="CS18" s="398" t="str">
        <f>VLOOKUP(WWWW[[#This Row],[Site Name]],SiteDB6[[Site Name]:[CCCM Management]],6,FALSE)</f>
        <v>Yes</v>
      </c>
      <c r="CT18" s="398">
        <f>VLOOKUP(WWWW[[#This Row],[Site Name]],SiteDB6[[Site Name]:[CCCM Focal Agency]],7,FALSE)</f>
        <v>0</v>
      </c>
      <c r="CU18" s="398" t="str">
        <f>VLOOKUP(WWWW[[#This Row],[Site Name]],SiteDB6[[Site Name]:[Location Type 1]],9,FALSE)</f>
        <v>Camp</v>
      </c>
      <c r="CV18" s="398" t="str">
        <f>VLOOKUP(WWWW[[#This Row],[Site Name]],SiteDB6[[Site Name]:[Type of Accommodation]],10,FALSE)</f>
        <v>Planned Camp</v>
      </c>
      <c r="CW18" s="398" t="str">
        <f>VLOOKUP(WWWW[[#This Row],[Site Name]],SiteDB6[[Site Name]:[Ethnic or GCA/NGCA]],11,FALSE)</f>
        <v>Muslim</v>
      </c>
      <c r="CX18" s="398">
        <f>VLOOKUP(WWWW[[#This Row],[Site Name]],SiteDB6[[Site Name]:[Lat]],12,FALSE)</f>
        <v>20.185917</v>
      </c>
      <c r="CY18" s="398">
        <f>VLOOKUP(WWWW[[#This Row],[Site Name]],SiteDB6[[Site Name]:[Long]],13,FALSE)</f>
        <v>92.831000000000003</v>
      </c>
      <c r="CZ18" s="398" t="str">
        <f>VLOOKUP(WWWW[[#This Row],[Site Name]],SiteDB6[[Site Name]:[Pcode]],3,FALSE)</f>
        <v>MMR012CMP092</v>
      </c>
      <c r="DA18" s="406" t="str">
        <f t="shared" si="0"/>
        <v>Covered</v>
      </c>
      <c r="DB18" s="406">
        <f>VLOOKUP(WWWW[[#This Row],[Site Name]],SiteDB6[[Site Name]:[PWD_Total]],22,FALSE)</f>
        <v>62</v>
      </c>
      <c r="DC18" s="406">
        <f>VLOOKUP(WWWW[[#This Row],[Site Name]],SiteDB6[[Site Name]:[PWD_Total]],23,FALSE)</f>
        <v>335</v>
      </c>
      <c r="DD18" s="406">
        <f>VLOOKUP(WWWW[[#This Row],[Site Name]],SiteDB6[[Site Name]:[PWD_Total]],24,FALSE)</f>
        <v>397</v>
      </c>
      <c r="DE18" s="406"/>
      <c r="DF18" s="830"/>
      <c r="DG18" s="830"/>
      <c r="DH18" s="830"/>
      <c r="DJ18" s="37"/>
      <c r="DK18" s="37"/>
      <c r="DL18" s="38"/>
      <c r="DM18" s="38"/>
      <c r="DU18" s="20"/>
      <c r="DV18" s="20"/>
    </row>
    <row r="19" spans="1:126" hidden="1">
      <c r="A19" s="393" t="s">
        <v>2387</v>
      </c>
      <c r="B19" s="393" t="s">
        <v>270</v>
      </c>
      <c r="C19" s="399" t="s">
        <v>270</v>
      </c>
      <c r="D19" s="399" t="s">
        <v>2293</v>
      </c>
      <c r="E19" s="532" t="s">
        <v>2706</v>
      </c>
      <c r="F19" s="399" t="s">
        <v>406</v>
      </c>
      <c r="G19" s="532" t="str">
        <f>VLOOKUP(WWWW[[#This Row],[Site Name]],SiteDB6[[Site Name]:[Location Type]],8,FALSE)</f>
        <v>Camp</v>
      </c>
      <c r="H19" s="450" t="s">
        <v>410</v>
      </c>
      <c r="I19" s="401">
        <v>1010</v>
      </c>
      <c r="J19" s="401">
        <v>4645</v>
      </c>
      <c r="K19" s="407" t="s">
        <v>2673</v>
      </c>
      <c r="L19" s="408" t="s">
        <v>2674</v>
      </c>
      <c r="M19" s="401">
        <v>968</v>
      </c>
      <c r="N19" s="401"/>
      <c r="O19" s="401"/>
      <c r="P19" s="401" t="s">
        <v>2675</v>
      </c>
      <c r="Q19" s="400" t="s">
        <v>42</v>
      </c>
      <c r="R19" s="401">
        <v>8</v>
      </c>
      <c r="S19" s="401">
        <v>3</v>
      </c>
      <c r="T19" s="401"/>
      <c r="U19" s="401"/>
      <c r="V19" s="401"/>
      <c r="W19" s="401">
        <v>8586779</v>
      </c>
      <c r="X19" s="401">
        <v>0</v>
      </c>
      <c r="Y19" s="401"/>
      <c r="Z19" s="401">
        <v>8</v>
      </c>
      <c r="AA19" s="401">
        <v>4</v>
      </c>
      <c r="AB19" s="401">
        <v>1010</v>
      </c>
      <c r="AC19" s="401"/>
      <c r="AD19" s="401"/>
      <c r="AE19" s="634"/>
      <c r="AF19" s="401">
        <v>86</v>
      </c>
      <c r="AG19" s="401">
        <v>89</v>
      </c>
      <c r="AH19" s="401">
        <v>3</v>
      </c>
      <c r="AI19" s="403"/>
      <c r="AJ19" s="401"/>
      <c r="AK19" s="403">
        <v>0.37</v>
      </c>
      <c r="AL19" s="403">
        <v>0.23</v>
      </c>
      <c r="AM19" s="403">
        <v>0.37</v>
      </c>
      <c r="AN19" s="403">
        <v>0.23</v>
      </c>
      <c r="AO19" s="401">
        <v>5</v>
      </c>
      <c r="AP19" s="401">
        <v>54</v>
      </c>
      <c r="AQ19" s="401">
        <v>4</v>
      </c>
      <c r="AR19" s="401" t="s">
        <v>42</v>
      </c>
      <c r="AS19" s="647"/>
      <c r="AT19" s="401">
        <v>80</v>
      </c>
      <c r="AU19" s="401">
        <v>80</v>
      </c>
      <c r="AV19" s="401">
        <v>80</v>
      </c>
      <c r="AW19" s="401">
        <v>80</v>
      </c>
      <c r="AX19" s="401">
        <v>1010</v>
      </c>
      <c r="AY19" s="401">
        <v>2354</v>
      </c>
      <c r="AZ19" s="401"/>
      <c r="BA19" s="401"/>
      <c r="BB19" s="401"/>
      <c r="BC19" s="403"/>
      <c r="BD19" s="647"/>
      <c r="BE19" s="403">
        <v>0.6</v>
      </c>
      <c r="BF19" s="403"/>
      <c r="BG19" s="401"/>
      <c r="BH19" s="403"/>
      <c r="BI19" s="403" t="e">
        <f>WWWW[[#This Row],[Cases of Acute watery diarrhea]]/WWWW[[#This Row],[Total consultations]]</f>
        <v>#DIV/0!</v>
      </c>
      <c r="BJ19" s="398"/>
      <c r="BK19" s="647"/>
      <c r="BL19" s="647"/>
      <c r="BM19" s="404" t="str">
        <f>IFERROR(WWWW[[#This Row],['#_Water samples _passed_at_water source]]/WWWW[[#This Row],['#_Water samples_Tested_at_water_source]],"no test")</f>
        <v>no test</v>
      </c>
      <c r="BN19" s="403">
        <f>IFERROR(WWWW[[#This Row],['#_Water samples _passed_at_HH]]/WWWW[[#This Row],['#_Water samples_Tested_at_HH]],"no test")</f>
        <v>0.5</v>
      </c>
      <c r="BO19" s="402" t="str">
        <f>IF(AND(WWWW[[#This Row],[%of Water samples which passed at water source]]="no test",WWWW[[#This Row],[%Water samples which passed at HH]]="no test"),"No Test","Tested")</f>
        <v>Tested</v>
      </c>
      <c r="BP19" s="404">
        <f>IF(WWWW[[#This Row],[Total PoP ]]="","",IF(((WWWW[[#This Row],['#_Functional_improved_water_source]]*500)+(WWWW[[#This Row],['#_litres_of_water_supplied_by_existing_water_boating/trucking ]]/90/15)+(WWWW[[#This Row],['#_Functional_water_point_at_TLS/CFS]]*500))/WWWW[[#This Row],[Total PoP ]]&gt;1,1,((WWWW[[#This Row],['#_Functional_improved_water_source]]*500)+(WWWW[[#This Row],['#_litres_of_water_supplied_by_existing_water_boating/trucking ]]/90/15)+(WWWW[[#This Row],['#_Functional_water_point_at_TLS/CFS]]*500))/WWWW[[#This Row],[Total PoP ]]))</f>
        <v>0</v>
      </c>
      <c r="BQ19" s="400">
        <f>WWWW[[#This Row],[Access to safe/improved water through improved water sources]]*WWWW[[#This Row],[Total PoP ]]</f>
        <v>0</v>
      </c>
      <c r="BR19" s="403">
        <f>IF((WWWW[[#This Row],['#_litres_of_water_stored_in_ponds]]/90/15)/WWWW[[#This Row],[Total PoP ]]&gt;1,1,(WWWW[[#This Row],['#_litres_of_water_stored_in_ponds]]/90/15)/WWWW[[#This Row],[Total PoP ]])</f>
        <v>1</v>
      </c>
      <c r="BS19" s="400">
        <f>WWWW[[#This Row],[% Access to unimproved water points]]*WWWW[[#This Row],[Total PoP ]]</f>
        <v>4645</v>
      </c>
      <c r="BT19" s="403">
        <f>IF(WWWW[[#This Row],[Access to safe/improved water through improved water sources]]+WWWW[[#This Row],[% Access to unimproved water points]]&gt;1,1,WWWW[[#This Row],[Access to safe/improved water through improved water sources]]+WWWW[[#This Row],[% Access to unimproved water points]])</f>
        <v>1</v>
      </c>
      <c r="BU19" s="400">
        <f>IF(WWWW[[#This Row],['# people with equitable and continuous access to sufficient quantity of safe drinking water]]+WWWW[[#This Row],['#People access to unimproved water sources]]&gt;WWWW[[#This Row],[Total PoP ]],WWWW[[#This Row],[Total PoP ]],WWWW[[#This Row],['# people with equitable and continuous access to sufficient quantity of safe drinking water]]+WWWW[[#This Row],['#People access to unimproved water sources]])</f>
        <v>4645</v>
      </c>
      <c r="BV19" s="400">
        <f>WWWW[[#This Row],[HRP1]]/500</f>
        <v>9.2899999999999991</v>
      </c>
      <c r="BW19" s="405">
        <f>1-WWWW[[#This Row],[% HRP1]]</f>
        <v>0</v>
      </c>
      <c r="BX19" s="400">
        <f>WWWW[[#This Row],[%equitable and continuous access to sufficient quantity of safe drinking and domestic water''s GAP]]*WWWW[[#This Row],[Total PoP ]]</f>
        <v>0</v>
      </c>
      <c r="BY19" s="402">
        <f>ROUND(IF(WWWW[[#This Row],[Total PoP ]]&lt;500,1,WWWW[[#This Row],[Total PoP ]]/500),0)</f>
        <v>9</v>
      </c>
      <c r="BZ19" s="402">
        <f>IF(WWWW[[#This Row],[Total required water points]]-WWWW[[#This Row],['#Water points coverage]]&lt;0,0,WWWW[[#This Row],[Total required water points]]-WWWW[[#This Row],['#Water points coverage]])</f>
        <v>0</v>
      </c>
      <c r="CA19" s="403">
        <f>WWWW[[#This Row],[HRP2]]/WWWW[[#This Row],[Total PoP ]]</f>
        <v>0.44650161463939719</v>
      </c>
      <c r="CB19" s="400">
        <f>IF(WWWW[[#This Row],[Total PoP ]]="",0,IF(((WWWW[[#This Row],['#_Functional_adult_latrines]]*20)+(WWWW[[#This Row],['#_of_functional_children_latrines]]*20)+WWWW[[#This Row],['#_of_PWD_with_adapted_sanitation_option]]+(WWWW[[#This Row],['#_of_latrines_in_TLS/CFS]]*50))&gt;WWWW[[#This Row],[Total PoP ]],WWWW[[#This Row],[Total PoP ]],((WWWW[[#This Row],['#_Functional_adult_latrines]]*20)+(WWWW[[#This Row],['#_of_functional_children_latrines]]*20)+WWWW[[#This Row],['#_of_PWD_with_adapted_sanitation_option]]+(WWWW[[#This Row],['#_of_latrines_in_TLS/CFS]]*50))))</f>
        <v>2074</v>
      </c>
      <c r="CC19" s="402">
        <f>IF(WWWW[[#This Row],['#_of_latrines_in_TLS/CFS]]*50&gt;WWWW[[#This Row],['#_students at TLS_CFS]],WWWW[[#This Row],['#_students at TLS_CFS]],WWWW[[#This Row],['#_of_latrines_in_TLS/CFS]]*50)</f>
        <v>200</v>
      </c>
      <c r="CD19" s="402">
        <f>ROUND(IF(WWWW[[#This Row],[Location Type 1]]="camp",WWWW[[#This Row],[Total PoP ]]/20),0)</f>
        <v>232</v>
      </c>
      <c r="CE19" s="402">
        <f>IF(WWWW[[#This Row],[Total required Latrines]]-WWWW[[#This Row],['#_Existing_latrines]]&lt;0,0,WWWW[[#This Row],[Total required Latrines]]-WWWW[[#This Row],['#_Existing_latrines]])</f>
        <v>143</v>
      </c>
      <c r="CF19" s="541">
        <f>1-WWWW[[#This Row],[% HRP2]]</f>
        <v>0.55349838536060281</v>
      </c>
      <c r="CG19" s="404">
        <f>IF(WWWW[[#This Row],['#_Existing_latrines]]="","NA",(WWWW[[#This Row],['#_Existing_latrines]]-WWWW[[#This Row],['#_Functional_adult_latrines]])/WWWW[[#This Row],['#_Existing_latrines]])</f>
        <v>3.3707865168539325E-2</v>
      </c>
      <c r="CH19" s="400">
        <f>IF(WWWW[[#This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Row],[_'#_of_Girls_receiving_consultation_hygiene_promotion_messages_and_sessions]]&gt;WWWW[[#This Row],[Total PoP ]],WWWW[[#This Row],[Total PoP ]],WWWW[[#This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f>
        <v>320</v>
      </c>
      <c r="CI19" s="402">
        <f>IF(WWWW[[#This Row],['#_of_affected_households_receiving_a_sufficient_quantity_of_soap]]=0,0,IF(WWWW[[#This Row],['#_of_affected_households_receiving_a_sufficient_quantity_of_soap]]&gt;=WWWW[[#This Row],[Total HH]],WWWW[[#This Row],[Total PoP ]],IF(WWWW[[#This Row],['#_of_affected_households_receiving_a_sufficient_quantity_of_soap]]*5&gt;WWWW[[#This Row],[Total PoP ]],WWWW[[#This Row],[Total PoP ]],WWWW[[#This Row],['#_of_affected_households_receiving_a_sufficient_quantity_of_soap]]*5)))</f>
        <v>4645</v>
      </c>
      <c r="CJ19" s="402">
        <f>IF(WWWW[[#This Row],['#_of_affected_women_and_girls_receiving_a_sufficient_quantity_of_sanitary_pads]]&gt;WWWW[[#This Row],[Total PoP ]],WWWW[[#This Row],[Total PoP ]],WWWW[[#This Row],['#_of_affected_women_and_girls_receiving_a_sufficient_quantity_of_sanitary_pads]])</f>
        <v>2354</v>
      </c>
      <c r="CK19" s="402">
        <f>IF(WWWW[[#This Row],['# People with access to soap]]&gt;WWWW[[#This Row],['# People with access to Sanity Pads]],WWWW[[#This Row],['# People with access to soap]],WWWW[[#This Row],['# People with access to Sanity Pads]])</f>
        <v>4645</v>
      </c>
      <c r="CL19" s="402">
        <f>IF(WWWW[[#This Row],['# people reached by regular dedicated hygiene promotion_5]]&gt;WWWW[[#This Row],['# People received regular supply of hygiene items_6]],WWWW[[#This Row],['# people reached by regular dedicated hygiene promotion_5]],WWWW[[#This Row],['# People received regular supply of hygiene items_6]])</f>
        <v>4645</v>
      </c>
      <c r="CM19" s="405">
        <f>IF(WWWW[[#This Row],[HRP3]]/WWWW[[#This Row],[Total PoP ]]&gt;100%,100%,WWWW[[#This Row],[HRP3]]/WWWW[[#This Row],[Total PoP ]])</f>
        <v>1</v>
      </c>
      <c r="CN19" s="404">
        <f>1-WWWW[[#This Row],[Hygiene Coverage%]]</f>
        <v>0</v>
      </c>
      <c r="CO19" s="403">
        <f>WWWW[[#This Row],['# people reached by regular dedicated hygiene promotion_5]]/WWWW[[#This Row],[Total PoP ]]</f>
        <v>6.8891280947255107E-2</v>
      </c>
      <c r="CP19" s="403">
        <f>IF(WWWW[[#This Row],['#_of_affected_households_receiving_a_sufficient_quantity_of_soap]]/WWWW[[#This Row],[Total HH]]&gt;1,1,WWWW[[#This Row],['#_of_affected_households_receiving_a_sufficient_quantity_of_soap]]/WWWW[[#This Row],[Total HH]])</f>
        <v>1</v>
      </c>
      <c r="CQ19" s="400" t="str">
        <f>IF(WWWW[[#This Row],['#_students at TLS_CFS]]="","No","Yes")</f>
        <v>Yes</v>
      </c>
      <c r="CR19" s="403"/>
      <c r="CS19" s="398" t="str">
        <f>VLOOKUP(WWWW[[#This Row],[Site Name]],SiteDB6[[Site Name]:[CCCM Management]],6,FALSE)</f>
        <v>Yes</v>
      </c>
      <c r="CT19" s="398" t="str">
        <f>VLOOKUP(WWWW[[#This Row],[Site Name]],SiteDB6[[Site Name]:[CCCM Focal Agency]],7,FALSE)</f>
        <v>LWF</v>
      </c>
      <c r="CU19" s="398" t="str">
        <f>VLOOKUP(WWWW[[#This Row],[Site Name]],SiteDB6[[Site Name]:[Location Type 1]],9,FALSE)</f>
        <v>Camp</v>
      </c>
      <c r="CV19" s="398" t="str">
        <f>VLOOKUP(WWWW[[#This Row],[Site Name]],SiteDB6[[Site Name]:[Type of Accommodation]],10,FALSE)</f>
        <v>Individual House</v>
      </c>
      <c r="CW19" s="398" t="str">
        <f>VLOOKUP(WWWW[[#This Row],[Site Name]],SiteDB6[[Site Name]:[Ethnic or GCA/NGCA]],11,FALSE)</f>
        <v>Muslim</v>
      </c>
      <c r="CX19" s="398">
        <f>VLOOKUP(WWWW[[#This Row],[Site Name]],SiteDB6[[Site Name]:[Lat]],12,FALSE)</f>
        <v>20.073437999999999</v>
      </c>
      <c r="CY19" s="398">
        <f>VLOOKUP(WWWW[[#This Row],[Site Name]],SiteDB6[[Site Name]:[Long]],13,FALSE)</f>
        <v>93.154551999999995</v>
      </c>
      <c r="CZ19" s="398" t="str">
        <f>VLOOKUP(WWWW[[#This Row],[Site Name]],SiteDB6[[Site Name]:[Pcode]],3,FALSE)</f>
        <v>MMR012CMP017</v>
      </c>
      <c r="DA19" s="406" t="str">
        <f t="shared" si="0"/>
        <v>Covered</v>
      </c>
      <c r="DB19" s="406">
        <f>VLOOKUP(WWWW[[#This Row],[Site Name]],SiteDB6[[Site Name]:[PWD_Total]],22,FALSE)</f>
        <v>194</v>
      </c>
      <c r="DC19" s="406">
        <f>VLOOKUP(WWWW[[#This Row],[Site Name]],SiteDB6[[Site Name]:[PWD_Total]],23,FALSE)</f>
        <v>735</v>
      </c>
      <c r="DD19" s="406">
        <f>VLOOKUP(WWWW[[#This Row],[Site Name]],SiteDB6[[Site Name]:[PWD_Total]],24,FALSE)</f>
        <v>929</v>
      </c>
      <c r="DE19" s="406"/>
      <c r="DF19" s="830"/>
      <c r="DG19" s="830"/>
      <c r="DH19" s="830"/>
      <c r="DJ19" s="37"/>
      <c r="DK19" s="37"/>
      <c r="DL19" s="38"/>
      <c r="DM19" s="38"/>
      <c r="DU19" s="20"/>
      <c r="DV19" s="20"/>
    </row>
    <row r="20" spans="1:126" hidden="1">
      <c r="A20" s="393" t="s">
        <v>2387</v>
      </c>
      <c r="B20" s="393" t="s">
        <v>270</v>
      </c>
      <c r="C20" s="399" t="s">
        <v>270</v>
      </c>
      <c r="D20" s="399" t="s">
        <v>2293</v>
      </c>
      <c r="E20" s="532" t="s">
        <v>2706</v>
      </c>
      <c r="F20" s="399" t="s">
        <v>406</v>
      </c>
      <c r="G20" s="532" t="str">
        <f>VLOOKUP(WWWW[[#This Row],[Site Name]],SiteDB6[[Site Name]:[Location Type]],8,FALSE)</f>
        <v>Camp</v>
      </c>
      <c r="H20" s="399" t="s">
        <v>411</v>
      </c>
      <c r="I20" s="401">
        <v>905</v>
      </c>
      <c r="J20" s="401">
        <v>4104</v>
      </c>
      <c r="K20" s="407" t="s">
        <v>2673</v>
      </c>
      <c r="L20" s="408" t="s">
        <v>2674</v>
      </c>
      <c r="M20" s="401">
        <v>1261</v>
      </c>
      <c r="N20" s="401"/>
      <c r="O20" s="401"/>
      <c r="P20" s="401" t="s">
        <v>2675</v>
      </c>
      <c r="Q20" s="400" t="s">
        <v>42</v>
      </c>
      <c r="R20" s="401">
        <v>11</v>
      </c>
      <c r="S20" s="401">
        <v>2</v>
      </c>
      <c r="T20" s="401"/>
      <c r="U20" s="401">
        <v>5</v>
      </c>
      <c r="V20" s="401">
        <v>283500</v>
      </c>
      <c r="W20" s="401">
        <v>3385336</v>
      </c>
      <c r="X20" s="401">
        <v>4</v>
      </c>
      <c r="Y20" s="401">
        <v>4</v>
      </c>
      <c r="Z20" s="401">
        <v>4</v>
      </c>
      <c r="AA20" s="401"/>
      <c r="AB20" s="401"/>
      <c r="AC20" s="401"/>
      <c r="AD20" s="401"/>
      <c r="AE20" s="634"/>
      <c r="AF20" s="401">
        <v>120</v>
      </c>
      <c r="AG20" s="401">
        <v>125</v>
      </c>
      <c r="AH20" s="401">
        <v>5</v>
      </c>
      <c r="AI20" s="403"/>
      <c r="AJ20" s="401"/>
      <c r="AK20" s="403">
        <v>0.28000000000000003</v>
      </c>
      <c r="AL20" s="403">
        <v>0.69</v>
      </c>
      <c r="AM20" s="403">
        <v>0.28000000000000003</v>
      </c>
      <c r="AN20" s="403">
        <v>0.69</v>
      </c>
      <c r="AO20" s="401">
        <v>16</v>
      </c>
      <c r="AP20" s="401">
        <v>103</v>
      </c>
      <c r="AQ20" s="401">
        <v>4</v>
      </c>
      <c r="AR20" s="401" t="s">
        <v>42</v>
      </c>
      <c r="AS20" s="647"/>
      <c r="AT20" s="401">
        <v>7</v>
      </c>
      <c r="AU20" s="401">
        <v>23</v>
      </c>
      <c r="AV20" s="401">
        <v>7</v>
      </c>
      <c r="AW20" s="401">
        <v>23</v>
      </c>
      <c r="AX20" s="401">
        <v>905</v>
      </c>
      <c r="AY20" s="401">
        <v>2067</v>
      </c>
      <c r="AZ20" s="401"/>
      <c r="BA20" s="401"/>
      <c r="BB20" s="401"/>
      <c r="BC20" s="403"/>
      <c r="BD20" s="647"/>
      <c r="BE20" s="403">
        <v>0.97</v>
      </c>
      <c r="BF20" s="403"/>
      <c r="BG20" s="401"/>
      <c r="BH20" s="403"/>
      <c r="BI20" s="403" t="e">
        <f>WWWW[[#This Row],[Cases of Acute watery diarrhea]]/WWWW[[#This Row],[Total consultations]]</f>
        <v>#DIV/0!</v>
      </c>
      <c r="BJ20" s="398"/>
      <c r="BK20" s="647"/>
      <c r="BL20" s="647"/>
      <c r="BM20" s="404">
        <f>IFERROR(WWWW[[#This Row],['#_Water samples _passed_at_water source]]/WWWW[[#This Row],['#_Water samples_Tested_at_water_source]],"no test")</f>
        <v>1</v>
      </c>
      <c r="BN20" s="403">
        <f>IFERROR(WWWW[[#This Row],['#_Water samples _passed_at_HH]]/WWWW[[#This Row],['#_Water samples_Tested_at_HH]],"no test")</f>
        <v>0</v>
      </c>
      <c r="BO20" s="402" t="str">
        <f>IF(AND(WWWW[[#This Row],[%of Water samples which passed at water source]]="no test",WWWW[[#This Row],[%Water samples which passed at HH]]="no test"),"No Test","Tested")</f>
        <v>Tested</v>
      </c>
      <c r="BP20" s="404">
        <f>IF(WWWW[[#This Row],[Total PoP ]]="","",IF(((WWWW[[#This Row],['#_Functional_improved_water_source]]*500)+(WWWW[[#This Row],['#_litres_of_water_supplied_by_existing_water_boating/trucking ]]/90/15)+(WWWW[[#This Row],['#_Functional_water_point_at_TLS/CFS]]*500))/WWWW[[#This Row],[Total PoP ]]&gt;1,1,((WWWW[[#This Row],['#_Functional_improved_water_source]]*500)+(WWWW[[#This Row],['#_litres_of_water_supplied_by_existing_water_boating/trucking ]]/90/15)+(WWWW[[#This Row],['#_Functional_water_point_at_TLS/CFS]]*500))/WWWW[[#This Row],[Total PoP ]]))</f>
        <v>5.1169590643274851E-2</v>
      </c>
      <c r="BQ20" s="400">
        <f>WWWW[[#This Row],[Access to safe/improved water through improved water sources]]*WWWW[[#This Row],[Total PoP ]]</f>
        <v>210</v>
      </c>
      <c r="BR20" s="403">
        <f>IF((WWWW[[#This Row],['#_litres_of_water_stored_in_ponds]]/90/15)/WWWW[[#This Row],[Total PoP ]]&gt;1,1,(WWWW[[#This Row],['#_litres_of_water_stored_in_ponds]]/90/15)/WWWW[[#This Row],[Total PoP ]])</f>
        <v>0.61102736264529645</v>
      </c>
      <c r="BS20" s="400">
        <f>WWWW[[#This Row],[% Access to unimproved water points]]*WWWW[[#This Row],[Total PoP ]]</f>
        <v>2507.6562962962967</v>
      </c>
      <c r="BT20" s="403">
        <f>IF(WWWW[[#This Row],[Access to safe/improved water through improved water sources]]+WWWW[[#This Row],[% Access to unimproved water points]]&gt;1,1,WWWW[[#This Row],[Access to safe/improved water through improved water sources]]+WWWW[[#This Row],[% Access to unimproved water points]])</f>
        <v>0.66219695328857131</v>
      </c>
      <c r="BU20" s="400">
        <f>IF(WWWW[[#This Row],['# people with equitable and continuous access to sufficient quantity of safe drinking water]]+WWWW[[#This Row],['#People access to unimproved water sources]]&gt;WWWW[[#This Row],[Total PoP ]],WWWW[[#This Row],[Total PoP ]],WWWW[[#This Row],['# people with equitable and continuous access to sufficient quantity of safe drinking water]]+WWWW[[#This Row],['#People access to unimproved water sources]])</f>
        <v>2717.6562962962967</v>
      </c>
      <c r="BV20" s="400">
        <f>WWWW[[#This Row],[HRP1]]/500</f>
        <v>5.4353125925925934</v>
      </c>
      <c r="BW20" s="405">
        <f>1-WWWW[[#This Row],[% HRP1]]</f>
        <v>0.33780304671142869</v>
      </c>
      <c r="BX20" s="400">
        <f>WWWW[[#This Row],[%equitable and continuous access to sufficient quantity of safe drinking and domestic water''s GAP]]*WWWW[[#This Row],[Total PoP ]]</f>
        <v>1386.3437037037033</v>
      </c>
      <c r="BY20" s="402">
        <f>ROUND(IF(WWWW[[#This Row],[Total PoP ]]&lt;500,1,WWWW[[#This Row],[Total PoP ]]/500),0)</f>
        <v>8</v>
      </c>
      <c r="BZ20" s="402">
        <f>IF(WWWW[[#This Row],[Total required water points]]-WWWW[[#This Row],['#Water points coverage]]&lt;0,0,WWWW[[#This Row],[Total required water points]]-WWWW[[#This Row],['#Water points coverage]])</f>
        <v>2.5646874074074066</v>
      </c>
      <c r="CA20" s="403">
        <f>WWWW[[#This Row],[HRP2]]/WWWW[[#This Row],[Total PoP ]]</f>
        <v>0.73659844054580892</v>
      </c>
      <c r="CB20" s="400">
        <f>IF(WWWW[[#This Row],[Total PoP ]]="",0,IF(((WWWW[[#This Row],['#_Functional_adult_latrines]]*20)+(WWWW[[#This Row],['#_of_functional_children_latrines]]*20)+WWWW[[#This Row],['#_of_PWD_with_adapted_sanitation_option]]+(WWWW[[#This Row],['#_of_latrines_in_TLS/CFS]]*50))&gt;WWWW[[#This Row],[Total PoP ]],WWWW[[#This Row],[Total PoP ]],((WWWW[[#This Row],['#_Functional_adult_latrines]]*20)+(WWWW[[#This Row],['#_of_functional_children_latrines]]*20)+WWWW[[#This Row],['#_of_PWD_with_adapted_sanitation_option]]+(WWWW[[#This Row],['#_of_latrines_in_TLS/CFS]]*50))))</f>
        <v>3023</v>
      </c>
      <c r="CC20" s="402">
        <f>IF(WWWW[[#This Row],['#_of_latrines_in_TLS/CFS]]*50&gt;WWWW[[#This Row],['#_students at TLS_CFS]],WWWW[[#This Row],['#_students at TLS_CFS]],WWWW[[#This Row],['#_of_latrines_in_TLS/CFS]]*50)</f>
        <v>200</v>
      </c>
      <c r="CD20" s="402">
        <f>ROUND(IF(WWWW[[#This Row],[Location Type 1]]="camp",WWWW[[#This Row],[Total PoP ]]/20),0)</f>
        <v>205</v>
      </c>
      <c r="CE20" s="402">
        <f>IF(WWWW[[#This Row],[Total required Latrines]]-WWWW[[#This Row],['#_Existing_latrines]]&lt;0,0,WWWW[[#This Row],[Total required Latrines]]-WWWW[[#This Row],['#_Existing_latrines]])</f>
        <v>80</v>
      </c>
      <c r="CF20" s="541">
        <f>1-WWWW[[#This Row],[% HRP2]]</f>
        <v>0.26340155945419108</v>
      </c>
      <c r="CG20" s="404">
        <f>IF(WWWW[[#This Row],['#_Existing_latrines]]="","NA",(WWWW[[#This Row],['#_Existing_latrines]]-WWWW[[#This Row],['#_Functional_adult_latrines]])/WWWW[[#This Row],['#_Existing_latrines]])</f>
        <v>0.04</v>
      </c>
      <c r="CH20" s="400">
        <f>IF(WWWW[[#This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Row],[_'#_of_Girls_receiving_consultation_hygiene_promotion_messages_and_sessions]]&gt;WWWW[[#This Row],[Total PoP ]],WWWW[[#This Row],[Total PoP ]],WWWW[[#This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f>
        <v>60</v>
      </c>
      <c r="CI20" s="402">
        <f>IF(WWWW[[#This Row],['#_of_affected_households_receiving_a_sufficient_quantity_of_soap]]=0,0,IF(WWWW[[#This Row],['#_of_affected_households_receiving_a_sufficient_quantity_of_soap]]&gt;=WWWW[[#This Row],[Total HH]],WWWW[[#This Row],[Total PoP ]],IF(WWWW[[#This Row],['#_of_affected_households_receiving_a_sufficient_quantity_of_soap]]*5&gt;WWWW[[#This Row],[Total PoP ]],WWWW[[#This Row],[Total PoP ]],WWWW[[#This Row],['#_of_affected_households_receiving_a_sufficient_quantity_of_soap]]*5)))</f>
        <v>4104</v>
      </c>
      <c r="CJ20" s="402">
        <f>IF(WWWW[[#This Row],['#_of_affected_women_and_girls_receiving_a_sufficient_quantity_of_sanitary_pads]]&gt;WWWW[[#This Row],[Total PoP ]],WWWW[[#This Row],[Total PoP ]],WWWW[[#This Row],['#_of_affected_women_and_girls_receiving_a_sufficient_quantity_of_sanitary_pads]])</f>
        <v>2067</v>
      </c>
      <c r="CK20" s="402">
        <f>IF(WWWW[[#This Row],['# People with access to soap]]&gt;WWWW[[#This Row],['# People with access to Sanity Pads]],WWWW[[#This Row],['# People with access to soap]],WWWW[[#This Row],['# People with access to Sanity Pads]])</f>
        <v>4104</v>
      </c>
      <c r="CL20" s="402">
        <f>IF(WWWW[[#This Row],['# people reached by regular dedicated hygiene promotion_5]]&gt;WWWW[[#This Row],['# People received regular supply of hygiene items_6]],WWWW[[#This Row],['# people reached by regular dedicated hygiene promotion_5]],WWWW[[#This Row],['# People received regular supply of hygiene items_6]])</f>
        <v>4104</v>
      </c>
      <c r="CM20" s="405">
        <f>IF(WWWW[[#This Row],[HRP3]]/WWWW[[#This Row],[Total PoP ]]&gt;100%,100%,WWWW[[#This Row],[HRP3]]/WWWW[[#This Row],[Total PoP ]])</f>
        <v>1</v>
      </c>
      <c r="CN20" s="404">
        <f>1-WWWW[[#This Row],[Hygiene Coverage%]]</f>
        <v>0</v>
      </c>
      <c r="CO20" s="403">
        <f>WWWW[[#This Row],['# people reached by regular dedicated hygiene promotion_5]]/WWWW[[#This Row],[Total PoP ]]</f>
        <v>1.4619883040935672E-2</v>
      </c>
      <c r="CP20" s="403">
        <f>IF(WWWW[[#This Row],['#_of_affected_households_receiving_a_sufficient_quantity_of_soap]]/WWWW[[#This Row],[Total HH]]&gt;1,1,WWWW[[#This Row],['#_of_affected_households_receiving_a_sufficient_quantity_of_soap]]/WWWW[[#This Row],[Total HH]])</f>
        <v>1</v>
      </c>
      <c r="CQ20" s="400" t="str">
        <f>IF(WWWW[[#This Row],['#_students at TLS_CFS]]="","No","Yes")</f>
        <v>Yes</v>
      </c>
      <c r="CR20" s="403"/>
      <c r="CS20" s="398" t="str">
        <f>VLOOKUP(WWWW[[#This Row],[Site Name]],SiteDB6[[Site Name]:[CCCM Management]],6,FALSE)</f>
        <v>Yes</v>
      </c>
      <c r="CT20" s="398" t="str">
        <f>VLOOKUP(WWWW[[#This Row],[Site Name]],SiteDB6[[Site Name]:[CCCM Focal Agency]],7,FALSE)</f>
        <v>LWF</v>
      </c>
      <c r="CU20" s="398" t="str">
        <f>VLOOKUP(WWWW[[#This Row],[Site Name]],SiteDB6[[Site Name]:[Location Type 1]],9,FALSE)</f>
        <v>Camp</v>
      </c>
      <c r="CV20" s="398" t="str">
        <f>VLOOKUP(WWWW[[#This Row],[Site Name]],SiteDB6[[Site Name]:[Type of Accommodation]],10,FALSE)</f>
        <v>Planned Camp</v>
      </c>
      <c r="CW20" s="398" t="str">
        <f>VLOOKUP(WWWW[[#This Row],[Site Name]],SiteDB6[[Site Name]:[Ethnic or GCA/NGCA]],11,FALSE)</f>
        <v>Muslim</v>
      </c>
      <c r="CX20" s="398">
        <f>VLOOKUP(WWWW[[#This Row],[Site Name]],SiteDB6[[Site Name]:[Lat]],12,FALSE)</f>
        <v>20.073437999999999</v>
      </c>
      <c r="CY20" s="398">
        <f>VLOOKUP(WWWW[[#This Row],[Site Name]],SiteDB6[[Site Name]:[Long]],13,FALSE)</f>
        <v>93.154551999999995</v>
      </c>
      <c r="CZ20" s="398" t="str">
        <f>VLOOKUP(WWWW[[#This Row],[Site Name]],SiteDB6[[Site Name]:[Pcode]],3,FALSE)</f>
        <v>MMR012CMP017</v>
      </c>
      <c r="DA20" s="406" t="str">
        <f t="shared" si="0"/>
        <v>Covered</v>
      </c>
      <c r="DB20" s="406">
        <f>VLOOKUP(WWWW[[#This Row],[Site Name]],SiteDB6[[Site Name]:[PWD_Total]],22,FALSE)</f>
        <v>112</v>
      </c>
      <c r="DC20" s="406">
        <f>VLOOKUP(WWWW[[#This Row],[Site Name]],SiteDB6[[Site Name]:[PWD_Total]],23,FALSE)</f>
        <v>643</v>
      </c>
      <c r="DD20" s="406">
        <f>VLOOKUP(WWWW[[#This Row],[Site Name]],SiteDB6[[Site Name]:[PWD_Total]],24,FALSE)</f>
        <v>755</v>
      </c>
      <c r="DE20" s="406"/>
      <c r="DF20" s="830"/>
      <c r="DG20" s="830"/>
      <c r="DH20" s="830"/>
      <c r="DJ20" s="37"/>
      <c r="DK20" s="37"/>
      <c r="DL20" s="38"/>
      <c r="DM20" s="38"/>
      <c r="DU20" s="20"/>
      <c r="DV20" s="20"/>
    </row>
    <row r="21" spans="1:126" hidden="1">
      <c r="A21" s="393" t="s">
        <v>2387</v>
      </c>
      <c r="B21" s="590" t="s">
        <v>297</v>
      </c>
      <c r="C21" s="590" t="s">
        <v>297</v>
      </c>
      <c r="D21" s="532" t="s">
        <v>2700</v>
      </c>
      <c r="E21" s="532" t="s">
        <v>2706</v>
      </c>
      <c r="F21" s="399" t="s">
        <v>306</v>
      </c>
      <c r="G21" s="573" t="str">
        <f>VLOOKUP(WWWW[[#This Row],[Site Name]],SiteDB6[[Site Name]:[Location Type]],8,FALSE)</f>
        <v>Camp</v>
      </c>
      <c r="H21" s="450" t="s">
        <v>2701</v>
      </c>
      <c r="I21" s="588">
        <v>91</v>
      </c>
      <c r="J21" s="588">
        <v>581</v>
      </c>
      <c r="K21" s="453"/>
      <c r="L21" s="540">
        <v>43554</v>
      </c>
      <c r="M21" s="589"/>
      <c r="N21" s="589"/>
      <c r="O21" s="589"/>
      <c r="P21" s="589"/>
      <c r="Q21" s="542"/>
      <c r="R21" s="589"/>
      <c r="S21" s="589"/>
      <c r="T21" s="589"/>
      <c r="U21" s="589"/>
      <c r="V21" s="589"/>
      <c r="W21" s="589"/>
      <c r="X21" s="589"/>
      <c r="Y21" s="589"/>
      <c r="Z21" s="589"/>
      <c r="AA21" s="589"/>
      <c r="AB21" s="589"/>
      <c r="AC21" s="589"/>
      <c r="AD21" s="589"/>
      <c r="AE21" s="635"/>
      <c r="AF21" s="589">
        <v>91</v>
      </c>
      <c r="AG21" s="589">
        <v>91</v>
      </c>
      <c r="AH21" s="589"/>
      <c r="AI21" s="534"/>
      <c r="AJ21" s="589"/>
      <c r="AK21" s="534"/>
      <c r="AL21" s="534"/>
      <c r="AM21" s="534"/>
      <c r="AN21" s="534"/>
      <c r="AO21" s="589"/>
      <c r="AP21" s="589"/>
      <c r="AQ21" s="589"/>
      <c r="AR21" s="589" t="s">
        <v>130</v>
      </c>
      <c r="AS21" s="648"/>
      <c r="AT21" s="589"/>
      <c r="AU21" s="589"/>
      <c r="AV21" s="589"/>
      <c r="AW21" s="589"/>
      <c r="AX21" s="589"/>
      <c r="AY21" s="589"/>
      <c r="AZ21" s="589"/>
      <c r="BA21" s="589"/>
      <c r="BB21" s="589"/>
      <c r="BC21" s="534"/>
      <c r="BD21" s="648"/>
      <c r="BE21" s="534"/>
      <c r="BF21" s="534"/>
      <c r="BG21" s="589"/>
      <c r="BH21" s="534"/>
      <c r="BI21" s="403"/>
      <c r="BJ21" s="537"/>
      <c r="BK21" s="648"/>
      <c r="BL21" s="648"/>
      <c r="BM21" s="404" t="str">
        <f>IFERROR(WWWW[[#This Row],['#_Water samples _passed_at_water source]]/WWWW[[#This Row],['#_Water samples_Tested_at_water_source]],"no test")</f>
        <v>no test</v>
      </c>
      <c r="BN21" s="403" t="str">
        <f>IFERROR(WWWW[[#This Row],['#_Water samples _passed_at_HH]]/WWWW[[#This Row],['#_Water samples_Tested_at_HH]],"no test")</f>
        <v>no test</v>
      </c>
      <c r="BO21" s="535" t="str">
        <f>IF(AND(WWWW[[#This Row],[%of Water samples which passed at water source]]="no test",WWWW[[#This Row],[%Water samples which passed at HH]]="no test"),"No Test","Tested")</f>
        <v>No Test</v>
      </c>
      <c r="BP21" s="536">
        <v>1</v>
      </c>
      <c r="BQ21" s="542">
        <v>581</v>
      </c>
      <c r="BR21" s="534">
        <f>IF((WWWW[[#This Row],['#_litres_of_water_stored_in_ponds]]/90/15)/WWWW[[#This Row],[Total PoP ]]&gt;1,1,(WWWW[[#This Row],['#_litres_of_water_stored_in_ponds]]/90/15)/WWWW[[#This Row],[Total PoP ]])</f>
        <v>0</v>
      </c>
      <c r="BS21" s="542">
        <f>WWWW[[#This Row],[% Access to unimproved water points]]*WWWW[[#This Row],[Total PoP ]]</f>
        <v>0</v>
      </c>
      <c r="BT21" s="534">
        <f>IF(WWWW[[#This Row],[Access to safe/improved water through improved water sources]]+WWWW[[#This Row],[% Access to unimproved water points]]&gt;1,1,WWWW[[#This Row],[Access to safe/improved water through improved water sources]]+WWWW[[#This Row],[% Access to unimproved water points]])</f>
        <v>1</v>
      </c>
      <c r="BU21" s="542">
        <f>IF(WWWW[[#This Row],['# people with equitable and continuous access to sufficient quantity of safe drinking water]]+WWWW[[#This Row],['#People access to unimproved water sources]]&gt;WWWW[[#This Row],[Total PoP ]],WWWW[[#This Row],[Total PoP ]],WWWW[[#This Row],['# people with equitable and continuous access to sufficient quantity of safe drinking water]]+WWWW[[#This Row],['#People access to unimproved water sources]])</f>
        <v>581</v>
      </c>
      <c r="BV21" s="542">
        <f>WWWW[[#This Row],[HRP1]]/500</f>
        <v>1.1619999999999999</v>
      </c>
      <c r="BW21" s="533">
        <f>1-WWWW[[#This Row],[% HRP1]]</f>
        <v>0</v>
      </c>
      <c r="BX21" s="542">
        <f>WWWW[[#This Row],[%equitable and continuous access to sufficient quantity of safe drinking and domestic water''s GAP]]*WWWW[[#This Row],[Total PoP ]]</f>
        <v>0</v>
      </c>
      <c r="BY21" s="535">
        <f>ROUND(IF(WWWW[[#This Row],[Total PoP ]]&lt;500,1,WWWW[[#This Row],[Total PoP ]]/500),0)</f>
        <v>1</v>
      </c>
      <c r="BZ21" s="535">
        <f>IF(WWWW[[#This Row],[Total required water points]]-WWWW[[#This Row],['#Water points coverage]]&lt;0,0,WWWW[[#This Row],[Total required water points]]-WWWW[[#This Row],['#Water points coverage]])</f>
        <v>0</v>
      </c>
      <c r="CA21" s="534">
        <f>WWWW[[#This Row],[HRP2]]/WWWW[[#This Row],[Total PoP ]]</f>
        <v>1</v>
      </c>
      <c r="CB21" s="542">
        <f>IF(WWWW[[#This Row],[Total PoP ]]="",0,IF(((WWWW[[#This Row],['#_Functional_adult_latrines]]*20)+(WWWW[[#This Row],['#_of_functional_children_latrines]]*20)+WWWW[[#This Row],['#_of_PWD_with_adapted_sanitation_option]]+(WWWW[[#This Row],['#_of_latrines_in_TLS/CFS]]*50))&gt;WWWW[[#This Row],[Total PoP ]],WWWW[[#This Row],[Total PoP ]],((WWWW[[#This Row],['#_Functional_adult_latrines]]*20)+(WWWW[[#This Row],['#_of_functional_children_latrines]]*20)+WWWW[[#This Row],['#_of_PWD_with_adapted_sanitation_option]]+(WWWW[[#This Row],['#_of_latrines_in_TLS/CFS]]*50))))</f>
        <v>581</v>
      </c>
      <c r="CC21" s="535">
        <f>IF(WWWW[[#This Row],['#_of_latrines_in_TLS/CFS]]*50&gt;WWWW[[#This Row],['#_students at TLS_CFS]],WWWW[[#This Row],['#_students at TLS_CFS]],WWWW[[#This Row],['#_of_latrines_in_TLS/CFS]]*50)</f>
        <v>0</v>
      </c>
      <c r="CD21" s="535">
        <f>ROUND(IF(WWWW[[#This Row],[Location Type 1]]="camp",WWWW[[#This Row],[Total PoP ]]/20),0)</f>
        <v>29</v>
      </c>
      <c r="CE21" s="535">
        <f>IF(WWWW[[#This Row],[Total required Latrines]]-WWWW[[#This Row],['#_Existing_latrines]]&lt;0,0,WWWW[[#This Row],[Total required Latrines]]-WWWW[[#This Row],['#_Existing_latrines]])</f>
        <v>0</v>
      </c>
      <c r="CF21" s="71">
        <f>1-WWWW[[#This Row],[% HRP2]]</f>
        <v>0</v>
      </c>
      <c r="CG21" s="536">
        <f>IF(WWWW[[#This Row],['#_Existing_latrines]]="","NA",(WWWW[[#This Row],['#_Existing_latrines]]-WWWW[[#This Row],['#_Functional_adult_latrines]])/WWWW[[#This Row],['#_Existing_latrines]])</f>
        <v>0</v>
      </c>
      <c r="CH21" s="542">
        <f>IF(WWWW[[#This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Row],[_'#_of_Girls_receiving_consultation_hygiene_promotion_messages_and_sessions]]&gt;WWWW[[#This Row],[Total PoP ]],WWWW[[#This Row],[Total PoP ]],WWWW[[#This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f>
        <v>0</v>
      </c>
      <c r="CI21" s="535">
        <f>IF(WWWW[[#This Row],['#_of_affected_households_receiving_a_sufficient_quantity_of_soap]]=0,0,IF(WWWW[[#This Row],['#_of_affected_households_receiving_a_sufficient_quantity_of_soap]]&gt;=WWWW[[#This Row],[Total HH]],WWWW[[#This Row],[Total PoP ]],IF(WWWW[[#This Row],['#_of_affected_households_receiving_a_sufficient_quantity_of_soap]]*5&gt;WWWW[[#This Row],[Total PoP ]],WWWW[[#This Row],[Total PoP ]],WWWW[[#This Row],['#_of_affected_households_receiving_a_sufficient_quantity_of_soap]]*5)))</f>
        <v>0</v>
      </c>
      <c r="CJ21" s="535">
        <f>IF(WWWW[[#This Row],['#_of_affected_women_and_girls_receiving_a_sufficient_quantity_of_sanitary_pads]]&gt;WWWW[[#This Row],[Total PoP ]],WWWW[[#This Row],[Total PoP ]],WWWW[[#This Row],['#_of_affected_women_and_girls_receiving_a_sufficient_quantity_of_sanitary_pads]])</f>
        <v>0</v>
      </c>
      <c r="CK21" s="535">
        <f>IF(WWWW[[#This Row],['# People with access to soap]]&gt;WWWW[[#This Row],['# People with access to Sanity Pads]],WWWW[[#This Row],['# People with access to soap]],WWWW[[#This Row],['# People with access to Sanity Pads]])</f>
        <v>0</v>
      </c>
      <c r="CL21" s="535">
        <f>IF(WWWW[[#This Row],['# people reached by regular dedicated hygiene promotion_5]]&gt;WWWW[[#This Row],['# People received regular supply of hygiene items_6]],WWWW[[#This Row],['# people reached by regular dedicated hygiene promotion_5]],WWWW[[#This Row],['# People received regular supply of hygiene items_6]])</f>
        <v>0</v>
      </c>
      <c r="CM21" s="533">
        <f>IF(WWWW[[#This Row],[HRP3]]/WWWW[[#This Row],[Total PoP ]]&gt;100%,100%,WWWW[[#This Row],[HRP3]]/WWWW[[#This Row],[Total PoP ]])</f>
        <v>0</v>
      </c>
      <c r="CN21" s="536">
        <f>1-WWWW[[#This Row],[Hygiene Coverage%]]</f>
        <v>1</v>
      </c>
      <c r="CO21" s="534">
        <f>WWWW[[#This Row],['# people reached by regular dedicated hygiene promotion_5]]/WWWW[[#This Row],[Total PoP ]]</f>
        <v>0</v>
      </c>
      <c r="CP21" s="534">
        <f>IF(WWWW[[#This Row],['#_of_affected_households_receiving_a_sufficient_quantity_of_soap]]/WWWW[[#This Row],[Total HH]]&gt;1,1,WWWW[[#This Row],['#_of_affected_households_receiving_a_sufficient_quantity_of_soap]]/WWWW[[#This Row],[Total HH]])</f>
        <v>0</v>
      </c>
      <c r="CQ21" s="542" t="str">
        <f>IF(WWWW[[#This Row],['#_students at TLS_CFS]]="","No","Yes")</f>
        <v>No</v>
      </c>
      <c r="CR21" s="534"/>
      <c r="CS21" s="537" t="str">
        <f>VLOOKUP(WWWW[[#This Row],[Site Name]],SiteDB6[[Site Name]:[CCCM Management]],6,FALSE)</f>
        <v>Yes</v>
      </c>
      <c r="CT21" s="537">
        <f>VLOOKUP(WWWW[[#This Row],[Site Name]],SiteDB6[[Site Name]:[CCCM Focal Agency]],7,FALSE)</f>
        <v>0</v>
      </c>
      <c r="CU21" s="537" t="str">
        <f>VLOOKUP(WWWW[[#This Row],[Site Name]],SiteDB6[[Site Name]:[Location Type 1]],9,FALSE)</f>
        <v>Camp</v>
      </c>
      <c r="CV21" s="537" t="str">
        <f>VLOOKUP(WWWW[[#This Row],[Site Name]],SiteDB6[[Site Name]:[Type of Accommodation]],10,FALSE)</f>
        <v>Self Settled Camp</v>
      </c>
      <c r="CW21" s="537" t="str">
        <f>VLOOKUP(WWWW[[#This Row],[Site Name]],SiteDB6[[Site Name]:[Ethnic or GCA/NGCA]],11,FALSE)</f>
        <v>Muslim</v>
      </c>
      <c r="CX21" s="537">
        <f>VLOOKUP(WWWW[[#This Row],[Site Name]],SiteDB6[[Site Name]:[Lat]],12,FALSE)</f>
        <v>20.865687000000001</v>
      </c>
      <c r="CY21" s="537">
        <f>VLOOKUP(WWWW[[#This Row],[Site Name]],SiteDB6[[Site Name]:[Long]],13,FALSE)</f>
        <v>92.965980999999999</v>
      </c>
      <c r="CZ21" s="537" t="str">
        <f>VLOOKUP(WWWW[[#This Row],[Site Name]],SiteDB6[[Site Name]:[Pcode]],3,FALSE)</f>
        <v>MMR012CMP023</v>
      </c>
      <c r="DA21" s="564" t="str">
        <f t="shared" si="0"/>
        <v>Covered</v>
      </c>
      <c r="DB21" s="564">
        <f>VLOOKUP(WWWW[[#This Row],[Site Name]],SiteDB6[[Site Name]:[PWD_Total]],22,FALSE)</f>
        <v>0</v>
      </c>
      <c r="DC21" s="564">
        <f>VLOOKUP(WWWW[[#This Row],[Site Name]],SiteDB6[[Site Name]:[PWD_Total]],23,FALSE)</f>
        <v>0</v>
      </c>
      <c r="DD21" s="564">
        <f>VLOOKUP(WWWW[[#This Row],[Site Name]],SiteDB6[[Site Name]:[PWD_Total]],24,FALSE)</f>
        <v>0</v>
      </c>
      <c r="DE21" s="564"/>
      <c r="DF21" s="830"/>
      <c r="DG21" s="830"/>
      <c r="DH21" s="830"/>
      <c r="DJ21" s="37"/>
      <c r="DK21" s="37"/>
      <c r="DL21" s="38"/>
      <c r="DM21" s="38"/>
      <c r="DU21" s="20"/>
      <c r="DV21" s="20"/>
    </row>
    <row r="22" spans="1:126" hidden="1">
      <c r="A22" s="393" t="s">
        <v>2387</v>
      </c>
      <c r="B22" s="393" t="s">
        <v>2702</v>
      </c>
      <c r="C22" s="399" t="s">
        <v>2307</v>
      </c>
      <c r="D22" s="399" t="s">
        <v>41</v>
      </c>
      <c r="E22" s="532" t="s">
        <v>2706</v>
      </c>
      <c r="F22" s="399" t="s">
        <v>299</v>
      </c>
      <c r="G22" s="532" t="str">
        <f>VLOOKUP(WWWW[[#This Row],[Site Name]],SiteDB6[[Site Name]:[Location Type]],8,FALSE)</f>
        <v>Camp</v>
      </c>
      <c r="H22" s="399" t="s">
        <v>445</v>
      </c>
      <c r="I22" s="401">
        <v>673</v>
      </c>
      <c r="J22" s="401">
        <v>3095</v>
      </c>
      <c r="K22" s="407"/>
      <c r="L22" s="408">
        <v>44104</v>
      </c>
      <c r="M22" s="589">
        <v>681</v>
      </c>
      <c r="N22" s="589">
        <v>20</v>
      </c>
      <c r="O22" s="589">
        <v>35</v>
      </c>
      <c r="P22" s="589">
        <v>0</v>
      </c>
      <c r="Q22" s="542" t="s">
        <v>130</v>
      </c>
      <c r="R22" s="589">
        <v>7</v>
      </c>
      <c r="S22" s="589">
        <v>7</v>
      </c>
      <c r="T22" s="589">
        <v>54</v>
      </c>
      <c r="U22" s="589">
        <v>68</v>
      </c>
      <c r="V22" s="401"/>
      <c r="W22" s="401"/>
      <c r="X22" s="589">
        <v>111</v>
      </c>
      <c r="Y22" s="589">
        <v>98</v>
      </c>
      <c r="Z22" s="589">
        <v>150</v>
      </c>
      <c r="AA22" s="589">
        <v>77</v>
      </c>
      <c r="AB22" s="401"/>
      <c r="AC22" s="401"/>
      <c r="AD22" s="401">
        <v>3</v>
      </c>
      <c r="AE22" s="634"/>
      <c r="AF22" s="589">
        <v>170</v>
      </c>
      <c r="AG22" s="589">
        <v>175</v>
      </c>
      <c r="AH22" s="589">
        <v>16</v>
      </c>
      <c r="AI22" s="534">
        <v>0.03</v>
      </c>
      <c r="AJ22" s="589">
        <v>138</v>
      </c>
      <c r="AK22" s="534">
        <v>1</v>
      </c>
      <c r="AL22" s="534">
        <v>0.86</v>
      </c>
      <c r="AM22" s="534">
        <v>0.2</v>
      </c>
      <c r="AN22" s="534">
        <v>0.2</v>
      </c>
      <c r="AO22" s="401"/>
      <c r="AP22" s="401"/>
      <c r="AQ22" s="401">
        <v>0</v>
      </c>
      <c r="AR22" s="589" t="s">
        <v>42</v>
      </c>
      <c r="AS22" s="647"/>
      <c r="AT22" s="589">
        <v>742</v>
      </c>
      <c r="AU22" s="589">
        <v>1684</v>
      </c>
      <c r="AV22" s="589">
        <v>0</v>
      </c>
      <c r="AW22" s="589">
        <v>430</v>
      </c>
      <c r="AX22" s="589">
        <v>779</v>
      </c>
      <c r="AY22" s="401"/>
      <c r="AZ22" s="401"/>
      <c r="BA22" s="401"/>
      <c r="BB22" s="401"/>
      <c r="BC22" s="403">
        <v>0</v>
      </c>
      <c r="BD22" s="647"/>
      <c r="BE22" s="403"/>
      <c r="BF22" s="403"/>
      <c r="BG22" s="401"/>
      <c r="BH22" s="403"/>
      <c r="BI22" s="403" t="e">
        <f>WWWW[[#This Row],[Cases of Acute watery diarrhea]]/WWWW[[#This Row],[Total consultations]]</f>
        <v>#DIV/0!</v>
      </c>
      <c r="BJ22" s="398"/>
      <c r="BK22" s="647"/>
      <c r="BL22" s="647"/>
      <c r="BM22" s="404">
        <f>IFERROR(WWWW[[#This Row],['#_Water samples _passed_at_water source]]/WWWW[[#This Row],['#_Water samples_Tested_at_water_source]],"no test")</f>
        <v>0.88288288288288286</v>
      </c>
      <c r="BN22" s="403">
        <f>IFERROR(WWWW[[#This Row],['#_Water samples _passed_at_HH]]/WWWW[[#This Row],['#_Water samples_Tested_at_HH]],"no test")</f>
        <v>0.51333333333333331</v>
      </c>
      <c r="BO22" s="402" t="str">
        <f>IF(AND(WWWW[[#This Row],[%of Water samples which passed at water source]]="no test",WWWW[[#This Row],[%Water samples which passed at HH]]="no test"),"No Test","Tested")</f>
        <v>Tested</v>
      </c>
      <c r="BP22" s="404">
        <f>IF(WWWW[[#This Row],[Total PoP ]]="","",IF(((WWWW[[#This Row],['#_Functional_improved_water_source]]*500)+(WWWW[[#This Row],['#_litres_of_water_supplied_by_existing_water_boating/trucking ]]/90/15)+(WWWW[[#This Row],['#_Functional_water_point_at_TLS/CFS]]*500))/WWWW[[#This Row],[Total PoP ]]&gt;1,1,((WWWW[[#This Row],['#_Functional_improved_water_source]]*500)+(WWWW[[#This Row],['#_litres_of_water_supplied_by_existing_water_boating/trucking ]]/90/15)+(WWWW[[#This Row],['#_Functional_water_point_at_TLS/CFS]]*500))/WWWW[[#This Row],[Total PoP ]]))</f>
        <v>1</v>
      </c>
      <c r="BQ22" s="400">
        <f>WWWW[[#This Row],[Access to safe/improved water through improved water sources]]*WWWW[[#This Row],[Total PoP ]]</f>
        <v>3095</v>
      </c>
      <c r="BR22" s="403">
        <f>IF((WWWW[[#This Row],['#_litres_of_water_stored_in_ponds]]/90/15)/WWWW[[#This Row],[Total PoP ]]&gt;1,1,(WWWW[[#This Row],['#_litres_of_water_stored_in_ponds]]/90/15)/WWWW[[#This Row],[Total PoP ]])</f>
        <v>0</v>
      </c>
      <c r="BS22" s="400">
        <f>WWWW[[#This Row],[% Access to unimproved water points]]*WWWW[[#This Row],[Total PoP ]]</f>
        <v>0</v>
      </c>
      <c r="BT22" s="403">
        <f>IF(WWWW[[#This Row],[Access to safe/improved water through improved water sources]]+WWWW[[#This Row],[% Access to unimproved water points]]&gt;1,1,WWWW[[#This Row],[Access to safe/improved water through improved water sources]]+WWWW[[#This Row],[% Access to unimproved water points]])</f>
        <v>1</v>
      </c>
      <c r="BU22" s="400">
        <f>IF(WWWW[[#This Row],['# people with equitable and continuous access to sufficient quantity of safe drinking water]]+WWWW[[#This Row],['#People access to unimproved water sources]]&gt;WWWW[[#This Row],[Total PoP ]],WWWW[[#This Row],[Total PoP ]],WWWW[[#This Row],['# people with equitable and continuous access to sufficient quantity of safe drinking water]]+WWWW[[#This Row],['#People access to unimproved water sources]])</f>
        <v>3095</v>
      </c>
      <c r="BV22" s="400">
        <f>WWWW[[#This Row],[HRP1]]/500</f>
        <v>6.19</v>
      </c>
      <c r="BW22" s="405">
        <f>1-WWWW[[#This Row],[% HRP1]]</f>
        <v>0</v>
      </c>
      <c r="BX22" s="400">
        <f>WWWW[[#This Row],[%equitable and continuous access to sufficient quantity of safe drinking and domestic water''s GAP]]*WWWW[[#This Row],[Total PoP ]]</f>
        <v>0</v>
      </c>
      <c r="BY22" s="402">
        <f>ROUND(IF(WWWW[[#This Row],[Total PoP ]]&lt;500,1,WWWW[[#This Row],[Total PoP ]]/500),0)</f>
        <v>6</v>
      </c>
      <c r="BZ22" s="402">
        <f>IF(WWWW[[#This Row],[Total required water points]]-WWWW[[#This Row],['#Water points coverage]]&lt;0,0,WWWW[[#This Row],[Total required water points]]-WWWW[[#This Row],['#Water points coverage]])</f>
        <v>0</v>
      </c>
      <c r="CA22" s="403">
        <f>WWWW[[#This Row],[HRP2]]/WWWW[[#This Row],[Total PoP ]]</f>
        <v>1</v>
      </c>
      <c r="CB22" s="400">
        <f>IF(WWWW[[#This Row],[Total PoP ]]="",0,IF(((WWWW[[#This Row],['#_Functional_adult_latrines]]*20)+(WWWW[[#This Row],['#_of_functional_children_latrines]]*20)+WWWW[[#This Row],['#_of_PWD_with_adapted_sanitation_option]]+(WWWW[[#This Row],['#_of_latrines_in_TLS/CFS]]*50))&gt;WWWW[[#This Row],[Total PoP ]],WWWW[[#This Row],[Total PoP ]],((WWWW[[#This Row],['#_Functional_adult_latrines]]*20)+(WWWW[[#This Row],['#_of_functional_children_latrines]]*20)+WWWW[[#This Row],['#_of_PWD_with_adapted_sanitation_option]]+(WWWW[[#This Row],['#_of_latrines_in_TLS/CFS]]*50))))</f>
        <v>3095</v>
      </c>
      <c r="CC22" s="402">
        <f>IF(WWWW[[#This Row],['#_of_latrines_in_TLS/CFS]]*50&gt;WWWW[[#This Row],['#_students at TLS_CFS]],WWWW[[#This Row],['#_students at TLS_CFS]],WWWW[[#This Row],['#_of_latrines_in_TLS/CFS]]*50)</f>
        <v>0</v>
      </c>
      <c r="CD22" s="402">
        <f>ROUND(IF(WWWW[[#This Row],[Location Type 1]]="camp",WWWW[[#This Row],[Total PoP ]]/20),0)</f>
        <v>155</v>
      </c>
      <c r="CE22" s="402">
        <f>IF(WWWW[[#This Row],[Total required Latrines]]-WWWW[[#This Row],['#_Existing_latrines]]&lt;0,0,WWWW[[#This Row],[Total required Latrines]]-WWWW[[#This Row],['#_Existing_latrines]])</f>
        <v>0</v>
      </c>
      <c r="CF22" s="541">
        <f>1-WWWW[[#This Row],[% HRP2]]</f>
        <v>0</v>
      </c>
      <c r="CG22" s="404">
        <f>IF(WWWW[[#This Row],['#_Existing_latrines]]="","NA",(WWWW[[#This Row],['#_Existing_latrines]]-WWWW[[#This Row],['#_Functional_adult_latrines]])/WWWW[[#This Row],['#_Existing_latrines]])</f>
        <v>2.8571428571428571E-2</v>
      </c>
      <c r="CH22" s="400">
        <f>IF(WWWW[[#This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Row],[_'#_of_Girls_receiving_consultation_hygiene_promotion_messages_and_sessions]]&gt;WWWW[[#This Row],[Total PoP ]],WWWW[[#This Row],[Total PoP ]],WWWW[[#This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f>
        <v>2856</v>
      </c>
      <c r="CI22" s="402">
        <f>IF(WWWW[[#This Row],['#_of_affected_households_receiving_a_sufficient_quantity_of_soap]]=0,0,IF(WWWW[[#This Row],['#_of_affected_households_receiving_a_sufficient_quantity_of_soap]]&gt;=WWWW[[#This Row],[Total HH]],WWWW[[#This Row],[Total PoP ]],IF(WWWW[[#This Row],['#_of_affected_households_receiving_a_sufficient_quantity_of_soap]]*5&gt;WWWW[[#This Row],[Total PoP ]],WWWW[[#This Row],[Total PoP ]],WWWW[[#This Row],['#_of_affected_households_receiving_a_sufficient_quantity_of_soap]]*5)))</f>
        <v>3095</v>
      </c>
      <c r="CJ22" s="402">
        <f>IF(WWWW[[#This Row],['#_of_affected_women_and_girls_receiving_a_sufficient_quantity_of_sanitary_pads]]&gt;WWWW[[#This Row],[Total PoP ]],WWWW[[#This Row],[Total PoP ]],WWWW[[#This Row],['#_of_affected_women_and_girls_receiving_a_sufficient_quantity_of_sanitary_pads]])</f>
        <v>0</v>
      </c>
      <c r="CK22" s="402">
        <f>IF(WWWW[[#This Row],['# People with access to soap]]&gt;WWWW[[#This Row],['# People with access to Sanity Pads]],WWWW[[#This Row],['# People with access to soap]],WWWW[[#This Row],['# People with access to Sanity Pads]])</f>
        <v>3095</v>
      </c>
      <c r="CL22" s="402">
        <f>IF(WWWW[[#This Row],['# people reached by regular dedicated hygiene promotion_5]]&gt;WWWW[[#This Row],['# People received regular supply of hygiene items_6]],WWWW[[#This Row],['# people reached by regular dedicated hygiene promotion_5]],WWWW[[#This Row],['# People received regular supply of hygiene items_6]])</f>
        <v>3095</v>
      </c>
      <c r="CM22" s="405">
        <f>IF(WWWW[[#This Row],[HRP3]]/WWWW[[#This Row],[Total PoP ]]&gt;100%,100%,WWWW[[#This Row],[HRP3]]/WWWW[[#This Row],[Total PoP ]])</f>
        <v>1</v>
      </c>
      <c r="CN22" s="404">
        <f>1-WWWW[[#This Row],[Hygiene Coverage%]]</f>
        <v>0</v>
      </c>
      <c r="CO22" s="403">
        <f>WWWW[[#This Row],['# people reached by regular dedicated hygiene promotion_5]]/WWWW[[#This Row],[Total PoP ]]</f>
        <v>0.92277867528271407</v>
      </c>
      <c r="CP22" s="403">
        <f>IF(WWWW[[#This Row],['#_of_affected_households_receiving_a_sufficient_quantity_of_soap]]/WWWW[[#This Row],[Total HH]]&gt;1,1,WWWW[[#This Row],['#_of_affected_households_receiving_a_sufficient_quantity_of_soap]]/WWWW[[#This Row],[Total HH]])</f>
        <v>1</v>
      </c>
      <c r="CQ22" s="400" t="str">
        <f>IF(WWWW[[#This Row],['#_students at TLS_CFS]]="","No","Yes")</f>
        <v>Yes</v>
      </c>
      <c r="CR22" s="403"/>
      <c r="CS22" s="398" t="str">
        <f>VLOOKUP(WWWW[[#This Row],[Site Name]],SiteDB6[[Site Name]:[CCCM Management]],6,FALSE)</f>
        <v>Yes</v>
      </c>
      <c r="CT22" s="398">
        <f>VLOOKUP(WWWW[[#This Row],[Site Name]],SiteDB6[[Site Name]:[CCCM Focal Agency]],7,FALSE)</f>
        <v>0</v>
      </c>
      <c r="CU22" s="398" t="str">
        <f>VLOOKUP(WWWW[[#This Row],[Site Name]],SiteDB6[[Site Name]:[Location Type 1]],9,FALSE)</f>
        <v>Camp</v>
      </c>
      <c r="CV22" s="398" t="str">
        <f>VLOOKUP(WWWW[[#This Row],[Site Name]],SiteDB6[[Site Name]:[Type of Accommodation]],10,FALSE)</f>
        <v>Planned Camp</v>
      </c>
      <c r="CW22" s="398" t="str">
        <f>VLOOKUP(WWWW[[#This Row],[Site Name]],SiteDB6[[Site Name]:[Ethnic or GCA/NGCA]],11,FALSE)</f>
        <v>Muslim</v>
      </c>
      <c r="CX22" s="398">
        <f>VLOOKUP(WWWW[[#This Row],[Site Name]],SiteDB6[[Site Name]:[Lat]],12,FALSE)</f>
        <v>20.206778</v>
      </c>
      <c r="CY22" s="398">
        <f>VLOOKUP(WWWW[[#This Row],[Site Name]],SiteDB6[[Site Name]:[Long]],13,FALSE)</f>
        <v>92.774193999999994</v>
      </c>
      <c r="CZ22" s="398" t="str">
        <f>VLOOKUP(WWWW[[#This Row],[Site Name]],SiteDB6[[Site Name]:[Pcode]],3,FALSE)</f>
        <v>MMR012CMP098</v>
      </c>
      <c r="DA22" s="406" t="str">
        <f t="shared" si="0"/>
        <v>Covered</v>
      </c>
      <c r="DB22" s="406">
        <f>VLOOKUP(WWWW[[#This Row],[Site Name]],SiteDB6[[Site Name]:[PWD_Total]],22,FALSE)</f>
        <v>12</v>
      </c>
      <c r="DC22" s="406">
        <f>VLOOKUP(WWWW[[#This Row],[Site Name]],SiteDB6[[Site Name]:[PWD_Total]],23,FALSE)</f>
        <v>359</v>
      </c>
      <c r="DD22" s="406">
        <f>VLOOKUP(WWWW[[#This Row],[Site Name]],SiteDB6[[Site Name]:[PWD_Total]],24,FALSE)</f>
        <v>371</v>
      </c>
      <c r="DE22" s="406"/>
      <c r="DF22" s="830"/>
      <c r="DG22" s="830"/>
      <c r="DH22" s="830"/>
      <c r="DJ22" s="37"/>
      <c r="DK22" s="37"/>
      <c r="DL22" s="38"/>
      <c r="DM22" s="38"/>
      <c r="DU22" s="20"/>
      <c r="DV22" s="20"/>
    </row>
    <row r="23" spans="1:126" hidden="1">
      <c r="A23" s="393" t="s">
        <v>2387</v>
      </c>
      <c r="B23" s="393" t="s">
        <v>2702</v>
      </c>
      <c r="C23" s="399" t="s">
        <v>2307</v>
      </c>
      <c r="D23" s="399" t="s">
        <v>41</v>
      </c>
      <c r="E23" s="532" t="s">
        <v>2706</v>
      </c>
      <c r="F23" s="399" t="s">
        <v>299</v>
      </c>
      <c r="G23" s="532" t="str">
        <f>VLOOKUP(WWWW[[#This Row],[Site Name]],SiteDB6[[Site Name]:[Location Type]],8,FALSE)</f>
        <v>Camp</v>
      </c>
      <c r="H23" s="399" t="s">
        <v>436</v>
      </c>
      <c r="I23" s="401">
        <v>2428</v>
      </c>
      <c r="J23" s="401">
        <v>13302</v>
      </c>
      <c r="K23" s="407"/>
      <c r="L23" s="408">
        <v>44104</v>
      </c>
      <c r="M23" s="589">
        <v>500</v>
      </c>
      <c r="N23" s="589">
        <v>100</v>
      </c>
      <c r="O23" s="589">
        <v>230</v>
      </c>
      <c r="P23" s="589">
        <v>0</v>
      </c>
      <c r="Q23" s="542" t="s">
        <v>130</v>
      </c>
      <c r="R23" s="589">
        <v>26</v>
      </c>
      <c r="S23" s="589">
        <v>37</v>
      </c>
      <c r="T23" s="589">
        <v>120</v>
      </c>
      <c r="U23" s="589">
        <v>146</v>
      </c>
      <c r="V23" s="401"/>
      <c r="W23" s="401"/>
      <c r="X23" s="589">
        <v>177</v>
      </c>
      <c r="Y23" s="589">
        <v>161</v>
      </c>
      <c r="Z23" s="589">
        <v>242</v>
      </c>
      <c r="AA23" s="589">
        <v>151</v>
      </c>
      <c r="AB23" s="401"/>
      <c r="AC23" s="401"/>
      <c r="AD23" s="401"/>
      <c r="AE23" s="634"/>
      <c r="AF23" s="589">
        <v>436</v>
      </c>
      <c r="AG23" s="589">
        <v>778</v>
      </c>
      <c r="AH23" s="589">
        <v>50</v>
      </c>
      <c r="AI23" s="534">
        <v>0.12</v>
      </c>
      <c r="AJ23" s="589">
        <v>485</v>
      </c>
      <c r="AK23" s="534">
        <v>0.91</v>
      </c>
      <c r="AL23" s="534">
        <v>0.03</v>
      </c>
      <c r="AM23" s="534">
        <v>0.06</v>
      </c>
      <c r="AN23" s="534">
        <v>0.06</v>
      </c>
      <c r="AO23" s="401"/>
      <c r="AP23" s="401"/>
      <c r="AQ23" s="401">
        <v>3</v>
      </c>
      <c r="AR23" s="589" t="s">
        <v>42</v>
      </c>
      <c r="AS23" s="647"/>
      <c r="AT23" s="589">
        <v>886</v>
      </c>
      <c r="AU23" s="589">
        <v>8330</v>
      </c>
      <c r="AV23" s="589">
        <v>1096</v>
      </c>
      <c r="AW23" s="589">
        <v>2441</v>
      </c>
      <c r="AX23" s="589">
        <v>2728</v>
      </c>
      <c r="AY23" s="401"/>
      <c r="AZ23" s="401"/>
      <c r="BA23" s="401"/>
      <c r="BB23" s="401"/>
      <c r="BC23" s="403">
        <v>1</v>
      </c>
      <c r="BD23" s="647"/>
      <c r="BE23" s="403"/>
      <c r="BF23" s="403"/>
      <c r="BG23" s="401"/>
      <c r="BH23" s="403"/>
      <c r="BI23" s="403" t="e">
        <f>WWWW[[#This Row],[Cases of Acute watery diarrhea]]/WWWW[[#This Row],[Total consultations]]</f>
        <v>#DIV/0!</v>
      </c>
      <c r="BJ23" s="398"/>
      <c r="BK23" s="647"/>
      <c r="BL23" s="647"/>
      <c r="BM23" s="404">
        <f>IFERROR(WWWW[[#This Row],['#_Water samples _passed_at_water source]]/WWWW[[#This Row],['#_Water samples_Tested_at_water_source]],"no test")</f>
        <v>0.90960451977401124</v>
      </c>
      <c r="BN23" s="403">
        <f>IFERROR(WWWW[[#This Row],['#_Water samples _passed_at_HH]]/WWWW[[#This Row],['#_Water samples_Tested_at_HH]],"no test")</f>
        <v>0.62396694214876036</v>
      </c>
      <c r="BO23" s="402" t="str">
        <f>IF(AND(WWWW[[#This Row],[%of Water samples which passed at water source]]="no test",WWWW[[#This Row],[%Water samples which passed at HH]]="no test"),"No Test","Tested")</f>
        <v>Tested</v>
      </c>
      <c r="BP23" s="404">
        <f>IF(WWWW[[#This Row],[Total PoP ]]="","",IF(((WWWW[[#This Row],['#_Functional_improved_water_source]]*500)+(WWWW[[#This Row],['#_litres_of_water_supplied_by_existing_water_boating/trucking ]]/90/15)+(WWWW[[#This Row],['#_Functional_water_point_at_TLS/CFS]]*500))/WWWW[[#This Row],[Total PoP ]]&gt;1,1,((WWWW[[#This Row],['#_Functional_improved_water_source]]*500)+(WWWW[[#This Row],['#_litres_of_water_supplied_by_existing_water_boating/trucking ]]/90/15)+(WWWW[[#This Row],['#_Functional_water_point_at_TLS/CFS]]*500))/WWWW[[#This Row],[Total PoP ]]))</f>
        <v>1</v>
      </c>
      <c r="BQ23" s="400">
        <f>WWWW[[#This Row],[Access to safe/improved water through improved water sources]]*WWWW[[#This Row],[Total PoP ]]</f>
        <v>13302</v>
      </c>
      <c r="BR23" s="403">
        <f>IF((WWWW[[#This Row],['#_litres_of_water_stored_in_ponds]]/90/15)/WWWW[[#This Row],[Total PoP ]]&gt;1,1,(WWWW[[#This Row],['#_litres_of_water_stored_in_ponds]]/90/15)/WWWW[[#This Row],[Total PoP ]])</f>
        <v>0</v>
      </c>
      <c r="BS23" s="400">
        <f>WWWW[[#This Row],[% Access to unimproved water points]]*WWWW[[#This Row],[Total PoP ]]</f>
        <v>0</v>
      </c>
      <c r="BT23" s="403">
        <f>IF(WWWW[[#This Row],[Access to safe/improved water through improved water sources]]+WWWW[[#This Row],[% Access to unimproved water points]]&gt;1,1,WWWW[[#This Row],[Access to safe/improved water through improved water sources]]+WWWW[[#This Row],[% Access to unimproved water points]])</f>
        <v>1</v>
      </c>
      <c r="BU23" s="400">
        <f>IF(WWWW[[#This Row],['# people with equitable and continuous access to sufficient quantity of safe drinking water]]+WWWW[[#This Row],['#People access to unimproved water sources]]&gt;WWWW[[#This Row],[Total PoP ]],WWWW[[#This Row],[Total PoP ]],WWWW[[#This Row],['# people with equitable and continuous access to sufficient quantity of safe drinking water]]+WWWW[[#This Row],['#People access to unimproved water sources]])</f>
        <v>13302</v>
      </c>
      <c r="BV23" s="400">
        <f>WWWW[[#This Row],[HRP1]]/500</f>
        <v>26.603999999999999</v>
      </c>
      <c r="BW23" s="405">
        <f>1-WWWW[[#This Row],[% HRP1]]</f>
        <v>0</v>
      </c>
      <c r="BX23" s="400">
        <f>WWWW[[#This Row],[%equitable and continuous access to sufficient quantity of safe drinking and domestic water''s GAP]]*WWWW[[#This Row],[Total PoP ]]</f>
        <v>0</v>
      </c>
      <c r="BY23" s="402">
        <f>ROUND(IF(WWWW[[#This Row],[Total PoP ]]&lt;500,1,WWWW[[#This Row],[Total PoP ]]/500),0)</f>
        <v>27</v>
      </c>
      <c r="BZ23" s="402">
        <f>IF(WWWW[[#This Row],[Total required water points]]-WWWW[[#This Row],['#Water points coverage]]&lt;0,0,WWWW[[#This Row],[Total required water points]]-WWWW[[#This Row],['#Water points coverage]])</f>
        <v>0.3960000000000008</v>
      </c>
      <c r="CA23" s="403">
        <f>WWWW[[#This Row],[HRP2]]/WWWW[[#This Row],[Total PoP ]]</f>
        <v>0.66681701999699294</v>
      </c>
      <c r="CB23" s="400">
        <f>IF(WWWW[[#This Row],[Total PoP ]]="",0,IF(((WWWW[[#This Row],['#_Functional_adult_latrines]]*20)+(WWWW[[#This Row],['#_of_functional_children_latrines]]*20)+WWWW[[#This Row],['#_of_PWD_with_adapted_sanitation_option]]+(WWWW[[#This Row],['#_of_latrines_in_TLS/CFS]]*50))&gt;WWWW[[#This Row],[Total PoP ]],WWWW[[#This Row],[Total PoP ]],((WWWW[[#This Row],['#_Functional_adult_latrines]]*20)+(WWWW[[#This Row],['#_of_functional_children_latrines]]*20)+WWWW[[#This Row],['#_of_PWD_with_adapted_sanitation_option]]+(WWWW[[#This Row],['#_of_latrines_in_TLS/CFS]]*50))))</f>
        <v>8870</v>
      </c>
      <c r="CC23" s="402">
        <f>IF(WWWW[[#This Row],['#_of_latrines_in_TLS/CFS]]*50&gt;WWWW[[#This Row],['#_students at TLS_CFS]],WWWW[[#This Row],['#_students at TLS_CFS]],WWWW[[#This Row],['#_of_latrines_in_TLS/CFS]]*50)</f>
        <v>150</v>
      </c>
      <c r="CD23" s="402">
        <f>ROUND(IF(WWWW[[#This Row],[Location Type 1]]="camp",WWWW[[#This Row],[Total PoP ]]/20),0)</f>
        <v>665</v>
      </c>
      <c r="CE23" s="402">
        <f>IF(WWWW[[#This Row],[Total required Latrines]]-WWWW[[#This Row],['#_Existing_latrines]]&lt;0,0,WWWW[[#This Row],[Total required Latrines]]-WWWW[[#This Row],['#_Existing_latrines]])</f>
        <v>0</v>
      </c>
      <c r="CF23" s="71">
        <f>1-WWWW[[#This Row],[% HRP2]]</f>
        <v>0.33318298000300706</v>
      </c>
      <c r="CG23" s="404">
        <f>IF(WWWW[[#This Row],['#_Existing_latrines]]="","NA",(WWWW[[#This Row],['#_Existing_latrines]]-WWWW[[#This Row],['#_Functional_adult_latrines]])/WWWW[[#This Row],['#_Existing_latrines]])</f>
        <v>0.43958868894601544</v>
      </c>
      <c r="CH23" s="400">
        <f>IF(WWWW[[#This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Row],[_'#_of_Girls_receiving_consultation_hygiene_promotion_messages_and_sessions]]&gt;WWWW[[#This Row],[Total PoP ]],WWWW[[#This Row],[Total PoP ]],WWWW[[#This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f>
        <v>12753</v>
      </c>
      <c r="CI23" s="402">
        <f>IF(WWWW[[#This Row],['#_of_affected_households_receiving_a_sufficient_quantity_of_soap]]=0,0,IF(WWWW[[#This Row],['#_of_affected_households_receiving_a_sufficient_quantity_of_soap]]&gt;=WWWW[[#This Row],[Total HH]],WWWW[[#This Row],[Total PoP ]],IF(WWWW[[#This Row],['#_of_affected_households_receiving_a_sufficient_quantity_of_soap]]*5&gt;WWWW[[#This Row],[Total PoP ]],WWWW[[#This Row],[Total PoP ]],WWWW[[#This Row],['#_of_affected_households_receiving_a_sufficient_quantity_of_soap]]*5)))</f>
        <v>13302</v>
      </c>
      <c r="CJ23" s="402">
        <f>IF(WWWW[[#This Row],['#_of_affected_women_and_girls_receiving_a_sufficient_quantity_of_sanitary_pads]]&gt;WWWW[[#This Row],[Total PoP ]],WWWW[[#This Row],[Total PoP ]],WWWW[[#This Row],['#_of_affected_women_and_girls_receiving_a_sufficient_quantity_of_sanitary_pads]])</f>
        <v>0</v>
      </c>
      <c r="CK23" s="402">
        <f>IF(WWWW[[#This Row],['# People with access to soap]]&gt;WWWW[[#This Row],['# People with access to Sanity Pads]],WWWW[[#This Row],['# People with access to soap]],WWWW[[#This Row],['# People with access to Sanity Pads]])</f>
        <v>13302</v>
      </c>
      <c r="CL23" s="402">
        <f>IF(WWWW[[#This Row],['# people reached by regular dedicated hygiene promotion_5]]&gt;WWWW[[#This Row],['# People received regular supply of hygiene items_6]],WWWW[[#This Row],['# people reached by regular dedicated hygiene promotion_5]],WWWW[[#This Row],['# People received regular supply of hygiene items_6]])</f>
        <v>13302</v>
      </c>
      <c r="CM23" s="405">
        <f>IF(WWWW[[#This Row],[HRP3]]/WWWW[[#This Row],[Total PoP ]]&gt;100%,100%,WWWW[[#This Row],[HRP3]]/WWWW[[#This Row],[Total PoP ]])</f>
        <v>1</v>
      </c>
      <c r="CN23" s="404">
        <f>1-WWWW[[#This Row],[Hygiene Coverage%]]</f>
        <v>0</v>
      </c>
      <c r="CO23" s="403">
        <f>WWWW[[#This Row],['# people reached by regular dedicated hygiene promotion_5]]/WWWW[[#This Row],[Total PoP ]]</f>
        <v>0.95872801082543979</v>
      </c>
      <c r="CP23" s="403">
        <f>IF(WWWW[[#This Row],['#_of_affected_households_receiving_a_sufficient_quantity_of_soap]]/WWWW[[#This Row],[Total HH]]&gt;1,1,WWWW[[#This Row],['#_of_affected_households_receiving_a_sufficient_quantity_of_soap]]/WWWW[[#This Row],[Total HH]])</f>
        <v>1</v>
      </c>
      <c r="CQ23" s="400" t="str">
        <f>IF(WWWW[[#This Row],['#_students at TLS_CFS]]="","No","Yes")</f>
        <v>Yes</v>
      </c>
      <c r="CR23" s="403"/>
      <c r="CS23" s="398" t="str">
        <f>VLOOKUP(WWWW[[#This Row],[Site Name]],SiteDB6[[Site Name]:[CCCM Management]],6,FALSE)</f>
        <v>Yes</v>
      </c>
      <c r="CT23" s="398">
        <f>VLOOKUP(WWWW[[#This Row],[Site Name]],SiteDB6[[Site Name]:[CCCM Focal Agency]],7,FALSE)</f>
        <v>0</v>
      </c>
      <c r="CU23" s="398" t="str">
        <f>VLOOKUP(WWWW[[#This Row],[Site Name]],SiteDB6[[Site Name]:[Location Type 1]],9,FALSE)</f>
        <v>Camp</v>
      </c>
      <c r="CV23" s="398" t="str">
        <f>VLOOKUP(WWWW[[#This Row],[Site Name]],SiteDB6[[Site Name]:[Type of Accommodation]],10,FALSE)</f>
        <v>Planned Camp</v>
      </c>
      <c r="CW23" s="398" t="str">
        <f>VLOOKUP(WWWW[[#This Row],[Site Name]],SiteDB6[[Site Name]:[Ethnic or GCA/NGCA]],11,FALSE)</f>
        <v>Muslim</v>
      </c>
      <c r="CX23" s="398">
        <f>VLOOKUP(WWWW[[#This Row],[Site Name]],SiteDB6[[Site Name]:[Lat]],12,FALSE)</f>
        <v>20.18994</v>
      </c>
      <c r="CY23" s="398">
        <f>VLOOKUP(WWWW[[#This Row],[Site Name]],SiteDB6[[Site Name]:[Long]],13,FALSE)</f>
        <v>92.798880999999994</v>
      </c>
      <c r="CZ23" s="398" t="str">
        <f>VLOOKUP(WWWW[[#This Row],[Site Name]],SiteDB6[[Site Name]:[Pcode]],3,FALSE)</f>
        <v>MMR012CMP115</v>
      </c>
      <c r="DA23" s="406" t="str">
        <f t="shared" si="0"/>
        <v>Covered</v>
      </c>
      <c r="DB23" s="406">
        <f>VLOOKUP(WWWW[[#This Row],[Site Name]],SiteDB6[[Site Name]:[PWD_Total]],22,FALSE)</f>
        <v>214</v>
      </c>
      <c r="DC23" s="406">
        <f>VLOOKUP(WWWW[[#This Row],[Site Name]],SiteDB6[[Site Name]:[PWD_Total]],23,FALSE)</f>
        <v>1333</v>
      </c>
      <c r="DD23" s="406">
        <f>VLOOKUP(WWWW[[#This Row],[Site Name]],SiteDB6[[Site Name]:[PWD_Total]],24,FALSE)</f>
        <v>1547</v>
      </c>
      <c r="DE23" s="406"/>
      <c r="DF23" s="830"/>
      <c r="DG23" s="830"/>
      <c r="DH23" s="830"/>
      <c r="DJ23" s="37"/>
      <c r="DK23" s="37"/>
      <c r="DL23" s="38"/>
      <c r="DM23" s="38"/>
      <c r="DU23" s="20"/>
      <c r="DV23" s="20"/>
    </row>
    <row r="24" spans="1:126" ht="25.5" hidden="1">
      <c r="A24" s="393" t="s">
        <v>2387</v>
      </c>
      <c r="B24" s="393" t="s">
        <v>413</v>
      </c>
      <c r="C24" s="399" t="s">
        <v>413</v>
      </c>
      <c r="D24" s="399" t="s">
        <v>2596</v>
      </c>
      <c r="E24" s="532" t="s">
        <v>2706</v>
      </c>
      <c r="F24" s="399" t="s">
        <v>299</v>
      </c>
      <c r="G24" s="532" t="str">
        <f>VLOOKUP(WWWW[[#This Row],[Site Name]],SiteDB6[[Site Name]:[Location Type]],8,FALSE)</f>
        <v>Camp</v>
      </c>
      <c r="H24" s="399" t="s">
        <v>434</v>
      </c>
      <c r="I24" s="401">
        <v>2260</v>
      </c>
      <c r="J24" s="401">
        <v>11487</v>
      </c>
      <c r="K24" s="409" t="s">
        <v>2597</v>
      </c>
      <c r="L24" s="410" t="s">
        <v>2598</v>
      </c>
      <c r="M24" s="589">
        <v>549</v>
      </c>
      <c r="N24" s="401">
        <v>9</v>
      </c>
      <c r="O24" s="401">
        <v>126</v>
      </c>
      <c r="P24" s="401">
        <v>2</v>
      </c>
      <c r="Q24" s="400" t="s">
        <v>42</v>
      </c>
      <c r="R24" s="401">
        <v>78</v>
      </c>
      <c r="S24" s="401">
        <v>57</v>
      </c>
      <c r="T24" s="401">
        <v>290</v>
      </c>
      <c r="U24" s="401">
        <v>324</v>
      </c>
      <c r="V24" s="401"/>
      <c r="W24" s="401"/>
      <c r="X24" s="401">
        <v>511</v>
      </c>
      <c r="Y24" s="401">
        <v>246</v>
      </c>
      <c r="Z24" s="401">
        <v>89</v>
      </c>
      <c r="AA24" s="401">
        <v>15</v>
      </c>
      <c r="AB24" s="401"/>
      <c r="AC24" s="401">
        <v>43</v>
      </c>
      <c r="AD24" s="401">
        <v>0</v>
      </c>
      <c r="AE24" s="634" t="s">
        <v>3097</v>
      </c>
      <c r="AF24" s="401">
        <v>299</v>
      </c>
      <c r="AG24" s="401">
        <v>523</v>
      </c>
      <c r="AH24" s="401"/>
      <c r="AI24" s="403">
        <v>0.5</v>
      </c>
      <c r="AJ24" s="401">
        <v>640</v>
      </c>
      <c r="AK24" s="403">
        <v>1</v>
      </c>
      <c r="AL24" s="403">
        <v>0.98</v>
      </c>
      <c r="AM24" s="403">
        <v>0.96</v>
      </c>
      <c r="AN24" s="403">
        <v>0.82</v>
      </c>
      <c r="AO24" s="401">
        <v>32</v>
      </c>
      <c r="AP24" s="401">
        <v>46</v>
      </c>
      <c r="AQ24" s="401">
        <v>3</v>
      </c>
      <c r="AR24" s="401" t="s">
        <v>42</v>
      </c>
      <c r="AS24" s="647" t="s">
        <v>3099</v>
      </c>
      <c r="AT24" s="401">
        <v>969</v>
      </c>
      <c r="AU24" s="401">
        <v>1216</v>
      </c>
      <c r="AV24" s="401">
        <v>701</v>
      </c>
      <c r="AW24" s="401">
        <v>912</v>
      </c>
      <c r="AX24" s="401">
        <v>4520</v>
      </c>
      <c r="AY24" s="401">
        <v>3427</v>
      </c>
      <c r="AZ24" s="403">
        <v>0.46</v>
      </c>
      <c r="BA24" s="403">
        <v>0.99</v>
      </c>
      <c r="BB24" s="403">
        <v>0.82</v>
      </c>
      <c r="BC24" s="403">
        <v>0.67</v>
      </c>
      <c r="BD24" s="647"/>
      <c r="BE24" s="403">
        <v>0.95</v>
      </c>
      <c r="BF24" s="403">
        <v>0.93</v>
      </c>
      <c r="BG24" s="401">
        <v>73</v>
      </c>
      <c r="BH24" s="403">
        <v>0.65</v>
      </c>
      <c r="BI24" s="403"/>
      <c r="BJ24" s="398" t="s">
        <v>130</v>
      </c>
      <c r="BK24" s="647" t="s">
        <v>3101</v>
      </c>
      <c r="BL24" s="647" t="s">
        <v>3102</v>
      </c>
      <c r="BM24" s="404">
        <f>IFERROR(WWWW[[#This Row],['#_Water samples _passed_at_water source]]/WWWW[[#This Row],['#_Water samples_Tested_at_water_source]],"no test")</f>
        <v>0.48140900195694714</v>
      </c>
      <c r="BN24" s="403">
        <f>IFERROR(WWWW[[#This Row],['#_Water samples _passed_at_HH]]/WWWW[[#This Row],['#_Water samples_Tested_at_HH]],"no test")</f>
        <v>0.16853932584269662</v>
      </c>
      <c r="BO24" s="402" t="str">
        <f>IF(AND(WWWW[[#This Row],[%of Water samples which passed at water source]]="no test",WWWW[[#This Row],[%Water samples which passed at HH]]="no test"),"No Test","Tested")</f>
        <v>Tested</v>
      </c>
      <c r="BP24" s="404">
        <f>IF(WWWW[[#This Row],[Total PoP ]]="","",IF(((WWWW[[#This Row],['#_Functional_improved_water_source]]*500)+(WWWW[[#This Row],['#_litres_of_water_supplied_by_existing_water_boating/trucking ]]/90/15)+(WWWW[[#This Row],['#_Functional_water_point_at_TLS/CFS]]*500))/WWWW[[#This Row],[Total PoP ]]&gt;1,1,((WWWW[[#This Row],['#_Functional_improved_water_source]]*500)+(WWWW[[#This Row],['#_litres_of_water_supplied_by_existing_water_boating/trucking ]]/90/15)+(WWWW[[#This Row],['#_Functional_water_point_at_TLS/CFS]]*500))/WWWW[[#This Row],[Total PoP ]]))</f>
        <v>1</v>
      </c>
      <c r="BQ24" s="400">
        <f>WWWW[[#This Row],[Access to safe/improved water through improved water sources]]*WWWW[[#This Row],[Total PoP ]]</f>
        <v>11487</v>
      </c>
      <c r="BR24" s="403">
        <f>IF((WWWW[[#This Row],['#_litres_of_water_stored_in_ponds]]/90/15)/WWWW[[#This Row],[Total PoP ]]&gt;1,1,(WWWW[[#This Row],['#_litres_of_water_stored_in_ponds]]/90/15)/WWWW[[#This Row],[Total PoP ]])</f>
        <v>0</v>
      </c>
      <c r="BS24" s="400">
        <f>WWWW[[#This Row],[% Access to unimproved water points]]*WWWW[[#This Row],[Total PoP ]]</f>
        <v>0</v>
      </c>
      <c r="BT24" s="403">
        <f>IF(WWWW[[#This Row],[Access to safe/improved water through improved water sources]]+WWWW[[#This Row],[% Access to unimproved water points]]&gt;1,1,WWWW[[#This Row],[Access to safe/improved water through improved water sources]]+WWWW[[#This Row],[% Access to unimproved water points]])</f>
        <v>1</v>
      </c>
      <c r="BU24" s="400">
        <f>IF(WWWW[[#This Row],['# people with equitable and continuous access to sufficient quantity of safe drinking water]]+WWWW[[#This Row],['#People access to unimproved water sources]]&gt;WWWW[[#This Row],[Total PoP ]],WWWW[[#This Row],[Total PoP ]],WWWW[[#This Row],['# people with equitable and continuous access to sufficient quantity of safe drinking water]]+WWWW[[#This Row],['#People access to unimproved water sources]])</f>
        <v>11487</v>
      </c>
      <c r="BV24" s="400">
        <f>WWWW[[#This Row],[HRP1]]/500</f>
        <v>22.974</v>
      </c>
      <c r="BW24" s="405">
        <f>1-WWWW[[#This Row],[% HRP1]]</f>
        <v>0</v>
      </c>
      <c r="BX24" s="400">
        <f>WWWW[[#This Row],[%equitable and continuous access to sufficient quantity of safe drinking and domestic water''s GAP]]*WWWW[[#This Row],[Total PoP ]]</f>
        <v>0</v>
      </c>
      <c r="BY24" s="402">
        <f>ROUND(IF(WWWW[[#This Row],[Total PoP ]]&lt;500,1,WWWW[[#This Row],[Total PoP ]]/500),0)</f>
        <v>23</v>
      </c>
      <c r="BZ24" s="402">
        <f>IF(WWWW[[#This Row],[Total required water points]]-WWWW[[#This Row],['#Water points coverage]]&lt;0,0,WWWW[[#This Row],[Total required water points]]-WWWW[[#This Row],['#Water points coverage]])</f>
        <v>2.5999999999999801E-2</v>
      </c>
      <c r="CA24" s="403">
        <f>WWWW[[#This Row],[HRP2]]/WWWW[[#This Row],[Total PoP ]]</f>
        <v>0.5933664142073648</v>
      </c>
      <c r="CB24" s="400">
        <f>IF(WWWW[[#This Row],[Total PoP ]]="",0,IF(((WWWW[[#This Row],['#_Functional_adult_latrines]]*20)+(WWWW[[#This Row],['#_of_functional_children_latrines]]*20)+WWWW[[#This Row],['#_of_PWD_with_adapted_sanitation_option]]+(WWWW[[#This Row],['#_of_latrines_in_TLS/CFS]]*50))&gt;WWWW[[#This Row],[Total PoP ]],WWWW[[#This Row],[Total PoP ]],((WWWW[[#This Row],['#_Functional_adult_latrines]]*20)+(WWWW[[#This Row],['#_of_functional_children_latrines]]*20)+WWWW[[#This Row],['#_of_PWD_with_adapted_sanitation_option]]+(WWWW[[#This Row],['#_of_latrines_in_TLS/CFS]]*50))))</f>
        <v>6816</v>
      </c>
      <c r="CC24" s="402">
        <f>IF(WWWW[[#This Row],['#_of_latrines_in_TLS/CFS]]*50&gt;WWWW[[#This Row],['#_students at TLS_CFS]],WWWW[[#This Row],['#_students at TLS_CFS]],WWWW[[#This Row],['#_of_latrines_in_TLS/CFS]]*50)</f>
        <v>150</v>
      </c>
      <c r="CD24" s="402">
        <f>ROUND(IF(WWWW[[#This Row],[Location Type 1]]="camp",WWWW[[#This Row],[Total PoP ]]/20),0)</f>
        <v>574</v>
      </c>
      <c r="CE24" s="402">
        <f>IF(WWWW[[#This Row],[Total required Latrines]]-WWWW[[#This Row],['#_Existing_latrines]]&lt;0,0,WWWW[[#This Row],[Total required Latrines]]-WWWW[[#This Row],['#_Existing_latrines]])</f>
        <v>51</v>
      </c>
      <c r="CF24" s="541">
        <f>1-WWWW[[#This Row],[% HRP2]]</f>
        <v>0.4066335857926352</v>
      </c>
      <c r="CG24" s="404">
        <f>IF(WWWW[[#This Row],['#_Existing_latrines]]="","NA",(WWWW[[#This Row],['#_Existing_latrines]]-WWWW[[#This Row],['#_Functional_adult_latrines]])/WWWW[[#This Row],['#_Existing_latrines]])</f>
        <v>0.42829827915869984</v>
      </c>
      <c r="CH24" s="400">
        <f>IF(WWWW[[#This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Row],[_'#_of_Girls_receiving_consultation_hygiene_promotion_messages_and_sessions]]&gt;WWWW[[#This Row],[Total PoP ]],WWWW[[#This Row],[Total PoP ]],WWWW[[#This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f>
        <v>3798</v>
      </c>
      <c r="CI24" s="402">
        <f>IF(WWWW[[#This Row],['#_of_affected_households_receiving_a_sufficient_quantity_of_soap]]=0,0,IF(WWWW[[#This Row],['#_of_affected_households_receiving_a_sufficient_quantity_of_soap]]&gt;=WWWW[[#This Row],[Total HH]],WWWW[[#This Row],[Total PoP ]],IF(WWWW[[#This Row],['#_of_affected_households_receiving_a_sufficient_quantity_of_soap]]*5&gt;WWWW[[#This Row],[Total PoP ]],WWWW[[#This Row],[Total PoP ]],WWWW[[#This Row],['#_of_affected_households_receiving_a_sufficient_quantity_of_soap]]*5)))</f>
        <v>11487</v>
      </c>
      <c r="CJ24" s="402">
        <f>IF(WWWW[[#This Row],['#_of_affected_women_and_girls_receiving_a_sufficient_quantity_of_sanitary_pads]]&gt;WWWW[[#This Row],[Total PoP ]],WWWW[[#This Row],[Total PoP ]],WWWW[[#This Row],['#_of_affected_women_and_girls_receiving_a_sufficient_quantity_of_sanitary_pads]])</f>
        <v>3427</v>
      </c>
      <c r="CK24" s="402">
        <f>IF(WWWW[[#This Row],['# People with access to soap]]&gt;WWWW[[#This Row],['# People with access to Sanity Pads]],WWWW[[#This Row],['# People with access to soap]],WWWW[[#This Row],['# People with access to Sanity Pads]])</f>
        <v>11487</v>
      </c>
      <c r="CL24" s="402">
        <f>IF(WWWW[[#This Row],['# people reached by regular dedicated hygiene promotion_5]]&gt;WWWW[[#This Row],['# People received regular supply of hygiene items_6]],WWWW[[#This Row],['# people reached by regular dedicated hygiene promotion_5]],WWWW[[#This Row],['# People received regular supply of hygiene items_6]])</f>
        <v>11487</v>
      </c>
      <c r="CM24" s="405">
        <f>IF(WWWW[[#This Row],[HRP3]]/WWWW[[#This Row],[Total PoP ]]&gt;100%,100%,WWWW[[#This Row],[HRP3]]/WWWW[[#This Row],[Total PoP ]])</f>
        <v>1</v>
      </c>
      <c r="CN24" s="404">
        <f>1-WWWW[[#This Row],[Hygiene Coverage%]]</f>
        <v>0</v>
      </c>
      <c r="CO24" s="403">
        <f>WWWW[[#This Row],['# people reached by regular dedicated hygiene promotion_5]]/WWWW[[#This Row],[Total PoP ]]</f>
        <v>0.33063463045181507</v>
      </c>
      <c r="CP24" s="403">
        <f>IF(WWWW[[#This Row],['#_of_affected_households_receiving_a_sufficient_quantity_of_soap]]/WWWW[[#This Row],[Total HH]]&gt;1,1,WWWW[[#This Row],['#_of_affected_households_receiving_a_sufficient_quantity_of_soap]]/WWWW[[#This Row],[Total HH]])</f>
        <v>1</v>
      </c>
      <c r="CQ24" s="400" t="str">
        <f>IF(WWWW[[#This Row],['#_students at TLS_CFS]]="","No","Yes")</f>
        <v>Yes</v>
      </c>
      <c r="CR24" s="403">
        <f>WWWW[[#This Row],['#_of_affected_people_surveyed_who_report_feeling_informed_about_the_different_WASH_services_available_to_them]]/WWWW[[#This Row],[Total PoP ]]</f>
        <v>6.3550100113171411E-3</v>
      </c>
      <c r="CS24" s="398" t="str">
        <f>VLOOKUP(WWWW[[#This Row],[Site Name]],SiteDB6[[Site Name]:[CCCM Management]],6,FALSE)</f>
        <v>Yes</v>
      </c>
      <c r="CT24" s="398">
        <f>VLOOKUP(WWWW[[#This Row],[Site Name]],SiteDB6[[Site Name]:[CCCM Focal Agency]],7,FALSE)</f>
        <v>0</v>
      </c>
      <c r="CU24" s="398" t="str">
        <f>VLOOKUP(WWWW[[#This Row],[Site Name]],SiteDB6[[Site Name]:[Location Type 1]],9,FALSE)</f>
        <v>Camp</v>
      </c>
      <c r="CV24" s="398" t="str">
        <f>VLOOKUP(WWWW[[#This Row],[Site Name]],SiteDB6[[Site Name]:[Type of Accommodation]],10,FALSE)</f>
        <v>Planned Camp</v>
      </c>
      <c r="CW24" s="398" t="str">
        <f>VLOOKUP(WWWW[[#This Row],[Site Name]],SiteDB6[[Site Name]:[Ethnic or GCA/NGCA]],11,FALSE)</f>
        <v>Muslim</v>
      </c>
      <c r="CX24" s="398">
        <f>VLOOKUP(WWWW[[#This Row],[Site Name]],SiteDB6[[Site Name]:[Lat]],12,FALSE)</f>
        <v>20.185092000000001</v>
      </c>
      <c r="CY24" s="398">
        <f>VLOOKUP(WWWW[[#This Row],[Site Name]],SiteDB6[[Site Name]:[Long]],13,FALSE)</f>
        <v>92.802295999999998</v>
      </c>
      <c r="CZ24" s="398" t="str">
        <f>VLOOKUP(WWWW[[#This Row],[Site Name]],SiteDB6[[Site Name]:[Pcode]],3,FALSE)</f>
        <v>MMR012CMP116</v>
      </c>
      <c r="DA24" s="406" t="str">
        <f t="shared" si="0"/>
        <v>Covered</v>
      </c>
      <c r="DB24" s="406">
        <f>VLOOKUP(WWWW[[#This Row],[Site Name]],SiteDB6[[Site Name]:[PWD_Total]],22,FALSE)</f>
        <v>218</v>
      </c>
      <c r="DC24" s="406">
        <f>VLOOKUP(WWWW[[#This Row],[Site Name]],SiteDB6[[Site Name]:[PWD_Total]],23,FALSE)</f>
        <v>1169</v>
      </c>
      <c r="DD24" s="406">
        <f>VLOOKUP(WWWW[[#This Row],[Site Name]],SiteDB6[[Site Name]:[PWD_Total]],24,FALSE)</f>
        <v>1387</v>
      </c>
      <c r="DE24" s="406"/>
      <c r="DF24" s="830"/>
      <c r="DG24" s="830"/>
      <c r="DH24" s="830"/>
      <c r="DJ24" s="37"/>
      <c r="DK24" s="37"/>
      <c r="DL24" s="38"/>
      <c r="DM24" s="38"/>
      <c r="DU24" s="20"/>
      <c r="DV24" s="20"/>
    </row>
    <row r="25" spans="1:126" ht="25.5" hidden="1">
      <c r="A25" s="393" t="s">
        <v>2387</v>
      </c>
      <c r="B25" s="393" t="s">
        <v>413</v>
      </c>
      <c r="C25" s="450" t="s">
        <v>413</v>
      </c>
      <c r="D25" s="450" t="s">
        <v>2596</v>
      </c>
      <c r="E25" s="532" t="s">
        <v>2706</v>
      </c>
      <c r="F25" s="399" t="s">
        <v>299</v>
      </c>
      <c r="G25" s="532" t="str">
        <f>VLOOKUP(WWWW[[#This Row],[Site Name]],SiteDB6[[Site Name]:[Location Type]],8,FALSE)</f>
        <v>Camp</v>
      </c>
      <c r="H25" s="450" t="s">
        <v>2311</v>
      </c>
      <c r="I25" s="401">
        <v>400</v>
      </c>
      <c r="J25" s="401">
        <v>2285</v>
      </c>
      <c r="K25" s="409" t="s">
        <v>2597</v>
      </c>
      <c r="L25" s="410" t="s">
        <v>2598</v>
      </c>
      <c r="M25" s="589">
        <v>46</v>
      </c>
      <c r="N25" s="401">
        <v>7</v>
      </c>
      <c r="O25" s="401">
        <v>34</v>
      </c>
      <c r="P25" s="401">
        <v>2</v>
      </c>
      <c r="Q25" s="400" t="s">
        <v>130</v>
      </c>
      <c r="R25" s="401">
        <v>25</v>
      </c>
      <c r="S25" s="401">
        <v>19</v>
      </c>
      <c r="T25" s="401">
        <v>56</v>
      </c>
      <c r="U25" s="401">
        <v>58</v>
      </c>
      <c r="V25" s="401"/>
      <c r="W25" s="401"/>
      <c r="X25" s="401">
        <v>173</v>
      </c>
      <c r="Y25" s="401">
        <v>95</v>
      </c>
      <c r="Z25" s="401">
        <v>127</v>
      </c>
      <c r="AA25" s="401">
        <v>49</v>
      </c>
      <c r="AB25" s="401"/>
      <c r="AC25" s="401">
        <v>28</v>
      </c>
      <c r="AD25" s="401"/>
      <c r="AE25" s="634" t="s">
        <v>3098</v>
      </c>
      <c r="AF25" s="401">
        <v>124</v>
      </c>
      <c r="AG25" s="401">
        <v>124</v>
      </c>
      <c r="AH25" s="401">
        <v>82</v>
      </c>
      <c r="AI25" s="403">
        <v>0.28000000000000003</v>
      </c>
      <c r="AJ25" s="401">
        <v>665.6</v>
      </c>
      <c r="AK25" s="403">
        <v>0.8</v>
      </c>
      <c r="AL25" s="403">
        <v>0.96</v>
      </c>
      <c r="AM25" s="403">
        <v>1</v>
      </c>
      <c r="AN25" s="403">
        <v>0.82</v>
      </c>
      <c r="AO25" s="401">
        <v>0</v>
      </c>
      <c r="AP25" s="401">
        <v>10</v>
      </c>
      <c r="AQ25" s="401">
        <v>3</v>
      </c>
      <c r="AR25" s="401" t="s">
        <v>42</v>
      </c>
      <c r="AS25" s="647" t="s">
        <v>3100</v>
      </c>
      <c r="AT25" s="401">
        <v>127</v>
      </c>
      <c r="AU25" s="401">
        <v>293</v>
      </c>
      <c r="AV25" s="401">
        <v>130</v>
      </c>
      <c r="AW25" s="401">
        <v>170</v>
      </c>
      <c r="AX25" s="401">
        <v>800</v>
      </c>
      <c r="AY25" s="401">
        <v>423</v>
      </c>
      <c r="AZ25" s="403">
        <v>0.47</v>
      </c>
      <c r="BA25" s="403">
        <v>0.98</v>
      </c>
      <c r="BB25" s="403">
        <v>0.98</v>
      </c>
      <c r="BC25" s="403"/>
      <c r="BD25" s="647"/>
      <c r="BE25" s="403">
        <v>0.93</v>
      </c>
      <c r="BF25" s="403">
        <v>0.95</v>
      </c>
      <c r="BG25" s="401">
        <v>86</v>
      </c>
      <c r="BH25" s="403">
        <v>0.51</v>
      </c>
      <c r="BI25" s="403" t="e">
        <f>WWWW[[#This Row],[Cases of Acute watery diarrhea]]/WWWW[[#This Row],[Total consultations]]</f>
        <v>#DIV/0!</v>
      </c>
      <c r="BJ25" s="398" t="s">
        <v>130</v>
      </c>
      <c r="BK25" s="647" t="s">
        <v>3101</v>
      </c>
      <c r="BL25" s="647" t="s">
        <v>3102</v>
      </c>
      <c r="BM25" s="404">
        <f>IFERROR(WWWW[[#This Row],['#_Water samples _passed_at_water source]]/WWWW[[#This Row],['#_Water samples_Tested_at_water_source]],"no test")</f>
        <v>0.54913294797687862</v>
      </c>
      <c r="BN25" s="403">
        <f>IFERROR(WWWW[[#This Row],['#_Water samples _passed_at_HH]]/WWWW[[#This Row],['#_Water samples_Tested_at_HH]],"no test")</f>
        <v>0.38582677165354329</v>
      </c>
      <c r="BO25" s="402" t="str">
        <f>IF(AND(WWWW[[#This Row],[%of Water samples which passed at water source]]="no test",WWWW[[#This Row],[%Water samples which passed at HH]]="no test"),"No Test","Tested")</f>
        <v>Tested</v>
      </c>
      <c r="BP25" s="404">
        <f>IF(WWWW[[#This Row],[Total PoP ]]="","",IF(((WWWW[[#This Row],['#_Functional_improved_water_source]]*500)+(WWWW[[#This Row],['#_litres_of_water_supplied_by_existing_water_boating/trucking ]]/90/15)+(WWWW[[#This Row],['#_Functional_water_point_at_TLS/CFS]]*500))/WWWW[[#This Row],[Total PoP ]]&gt;1,1,((WWWW[[#This Row],['#_Functional_improved_water_source]]*500)+(WWWW[[#This Row],['#_litres_of_water_supplied_by_existing_water_boating/trucking ]]/90/15)+(WWWW[[#This Row],['#_Functional_water_point_at_TLS/CFS]]*500))/WWWW[[#This Row],[Total PoP ]]))</f>
        <v>1</v>
      </c>
      <c r="BQ25" s="400">
        <f>WWWW[[#This Row],[Access to safe/improved water through improved water sources]]*WWWW[[#This Row],[Total PoP ]]</f>
        <v>2285</v>
      </c>
      <c r="BR25" s="403">
        <f>IF((WWWW[[#This Row],['#_litres_of_water_stored_in_ponds]]/90/15)/WWWW[[#This Row],[Total PoP ]]&gt;1,1,(WWWW[[#This Row],['#_litres_of_water_stored_in_ponds]]/90/15)/WWWW[[#This Row],[Total PoP ]])</f>
        <v>0</v>
      </c>
      <c r="BS25" s="400">
        <f>WWWW[[#This Row],[% Access to unimproved water points]]*WWWW[[#This Row],[Total PoP ]]</f>
        <v>0</v>
      </c>
      <c r="BT25" s="403">
        <f>IF(WWWW[[#This Row],[Access to safe/improved water through improved water sources]]+WWWW[[#This Row],[% Access to unimproved water points]]&gt;1,1,WWWW[[#This Row],[Access to safe/improved water through improved water sources]]+WWWW[[#This Row],[% Access to unimproved water points]])</f>
        <v>1</v>
      </c>
      <c r="BU25" s="400">
        <f>IF(WWWW[[#This Row],['# people with equitable and continuous access to sufficient quantity of safe drinking water]]+WWWW[[#This Row],['#People access to unimproved water sources]]&gt;WWWW[[#This Row],[Total PoP ]],WWWW[[#This Row],[Total PoP ]],WWWW[[#This Row],['# people with equitable and continuous access to sufficient quantity of safe drinking water]]+WWWW[[#This Row],['#People access to unimproved water sources]])</f>
        <v>2285</v>
      </c>
      <c r="BV25" s="400">
        <f>WWWW[[#This Row],[HRP1]]/500</f>
        <v>4.57</v>
      </c>
      <c r="BW25" s="405">
        <f>1-WWWW[[#This Row],[% HRP1]]</f>
        <v>0</v>
      </c>
      <c r="BX25" s="400">
        <f>WWWW[[#This Row],[%equitable and continuous access to sufficient quantity of safe drinking and domestic water''s GAP]]*WWWW[[#This Row],[Total PoP ]]</f>
        <v>0</v>
      </c>
      <c r="BY25" s="402">
        <f>ROUND(IF(WWWW[[#This Row],[Total PoP ]]&lt;500,1,WWWW[[#This Row],[Total PoP ]]/500),0)</f>
        <v>5</v>
      </c>
      <c r="BZ25" s="402">
        <f>IF(WWWW[[#This Row],[Total required water points]]-WWWW[[#This Row],['#Water points coverage]]&lt;0,0,WWWW[[#This Row],[Total required water points]]-WWWW[[#This Row],['#Water points coverage]])</f>
        <v>0.42999999999999972</v>
      </c>
      <c r="CA25" s="403">
        <f>WWWW[[#This Row],[HRP2]]/WWWW[[#This Row],[Total PoP ]]</f>
        <v>1</v>
      </c>
      <c r="CB25" s="400">
        <f>IF(WWWW[[#This Row],[Total PoP ]]="",0,IF(((WWWW[[#This Row],['#_Functional_adult_latrines]]*20)+(WWWW[[#This Row],['#_of_functional_children_latrines]]*20)+WWWW[[#This Row],['#_of_PWD_with_adapted_sanitation_option]]+(WWWW[[#This Row],['#_of_latrines_in_TLS/CFS]]*50))&gt;WWWW[[#This Row],[Total PoP ]],WWWW[[#This Row],[Total PoP ]],((WWWW[[#This Row],['#_Functional_adult_latrines]]*20)+(WWWW[[#This Row],['#_of_functional_children_latrines]]*20)+WWWW[[#This Row],['#_of_PWD_with_adapted_sanitation_option]]+(WWWW[[#This Row],['#_of_latrines_in_TLS/CFS]]*50))))</f>
        <v>2285</v>
      </c>
      <c r="CC25" s="402">
        <f>IF(WWWW[[#This Row],['#_of_latrines_in_TLS/CFS]]*50&gt;WWWW[[#This Row],['#_students at TLS_CFS]],WWWW[[#This Row],['#_students at TLS_CFS]],WWWW[[#This Row],['#_of_latrines_in_TLS/CFS]]*50)</f>
        <v>46</v>
      </c>
      <c r="CD25" s="402">
        <f>ROUND(IF(WWWW[[#This Row],[Location Type 1]]="camp",WWWW[[#This Row],[Total PoP ]]/20),0)</f>
        <v>114</v>
      </c>
      <c r="CE25" s="402">
        <f>IF(WWWW[[#This Row],[Total required Latrines]]-WWWW[[#This Row],['#_Existing_latrines]]&lt;0,0,WWWW[[#This Row],[Total required Latrines]]-WWWW[[#This Row],['#_Existing_latrines]])</f>
        <v>0</v>
      </c>
      <c r="CF25" s="71">
        <f>1-WWWW[[#This Row],[% HRP2]]</f>
        <v>0</v>
      </c>
      <c r="CG25" s="404">
        <f>IF(WWWW[[#This Row],['#_Existing_latrines]]="","NA",(WWWW[[#This Row],['#_Existing_latrines]]-WWWW[[#This Row],['#_Functional_adult_latrines]])/WWWW[[#This Row],['#_Existing_latrines]])</f>
        <v>0</v>
      </c>
      <c r="CH25" s="400">
        <f>IF(WWWW[[#This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Row],[_'#_of_Girls_receiving_consultation_hygiene_promotion_messages_and_sessions]]&gt;WWWW[[#This Row],[Total PoP ]],WWWW[[#This Row],[Total PoP ]],WWWW[[#This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f>
        <v>720</v>
      </c>
      <c r="CI25" s="402">
        <f>IF(WWWW[[#This Row],['#_of_affected_households_receiving_a_sufficient_quantity_of_soap]]=0,0,IF(WWWW[[#This Row],['#_of_affected_households_receiving_a_sufficient_quantity_of_soap]]&gt;=WWWW[[#This Row],[Total HH]],WWWW[[#This Row],[Total PoP ]],IF(WWWW[[#This Row],['#_of_affected_households_receiving_a_sufficient_quantity_of_soap]]*5&gt;WWWW[[#This Row],[Total PoP ]],WWWW[[#This Row],[Total PoP ]],WWWW[[#This Row],['#_of_affected_households_receiving_a_sufficient_quantity_of_soap]]*5)))</f>
        <v>2285</v>
      </c>
      <c r="CJ25" s="402">
        <f>IF(WWWW[[#This Row],['#_of_affected_women_and_girls_receiving_a_sufficient_quantity_of_sanitary_pads]]&gt;WWWW[[#This Row],[Total PoP ]],WWWW[[#This Row],[Total PoP ]],WWWW[[#This Row],['#_of_affected_women_and_girls_receiving_a_sufficient_quantity_of_sanitary_pads]])</f>
        <v>423</v>
      </c>
      <c r="CK25" s="402">
        <f>IF(WWWW[[#This Row],['# People with access to soap]]&gt;WWWW[[#This Row],['# People with access to Sanity Pads]],WWWW[[#This Row],['# People with access to soap]],WWWW[[#This Row],['# People with access to Sanity Pads]])</f>
        <v>2285</v>
      </c>
      <c r="CL25" s="402">
        <f>IF(WWWW[[#This Row],['# people reached by regular dedicated hygiene promotion_5]]&gt;WWWW[[#This Row],['# People received regular supply of hygiene items_6]],WWWW[[#This Row],['# people reached by regular dedicated hygiene promotion_5]],WWWW[[#This Row],['# People received regular supply of hygiene items_6]])</f>
        <v>2285</v>
      </c>
      <c r="CM25" s="405">
        <f>IF(WWWW[[#This Row],[HRP3]]/WWWW[[#This Row],[Total PoP ]]&gt;100%,100%,WWWW[[#This Row],[HRP3]]/WWWW[[#This Row],[Total PoP ]])</f>
        <v>1</v>
      </c>
      <c r="CN25" s="404">
        <f>1-WWWW[[#This Row],[Hygiene Coverage%]]</f>
        <v>0</v>
      </c>
      <c r="CO25" s="403">
        <f>WWWW[[#This Row],['# people reached by regular dedicated hygiene promotion_5]]/WWWW[[#This Row],[Total PoP ]]</f>
        <v>0.31509846827133481</v>
      </c>
      <c r="CP25" s="403">
        <f>IF(WWWW[[#This Row],['#_of_affected_households_receiving_a_sufficient_quantity_of_soap]]/WWWW[[#This Row],[Total HH]]&gt;1,1,WWWW[[#This Row],['#_of_affected_households_receiving_a_sufficient_quantity_of_soap]]/WWWW[[#This Row],[Total HH]])</f>
        <v>1</v>
      </c>
      <c r="CQ25" s="400" t="str">
        <f>IF(WWWW[[#This Row],['#_students at TLS_CFS]]="","No","Yes")</f>
        <v>Yes</v>
      </c>
      <c r="CR25" s="403">
        <f>WWWW[[#This Row],['#_of_affected_people_surveyed_who_report_feeling_informed_about_the_different_WASH_services_available_to_them]]/WWWW[[#This Row],[Total PoP ]]</f>
        <v>3.7636761487964986E-2</v>
      </c>
      <c r="CS25" s="398">
        <f>VLOOKUP(WWWW[[#This Row],[Site Name]],SiteDB6[[Site Name]:[CCCM Management]],6,FALSE)</f>
        <v>0</v>
      </c>
      <c r="CT25" s="398">
        <f>VLOOKUP(WWWW[[#This Row],[Site Name]],SiteDB6[[Site Name]:[CCCM Focal Agency]],7,FALSE)</f>
        <v>0</v>
      </c>
      <c r="CU25" s="398" t="str">
        <f>VLOOKUP(WWWW[[#This Row],[Site Name]],SiteDB6[[Site Name]:[Location Type 1]],9,FALSE)</f>
        <v>Camp</v>
      </c>
      <c r="CV25" s="398" t="str">
        <f>VLOOKUP(WWWW[[#This Row],[Site Name]],SiteDB6[[Site Name]:[Type of Accommodation]],10,FALSE)</f>
        <v>Planned Camp</v>
      </c>
      <c r="CW25" s="398" t="str">
        <f>VLOOKUP(WWWW[[#This Row],[Site Name]],SiteDB6[[Site Name]:[Ethnic or GCA/NGCA]],11,FALSE)</f>
        <v>Muslim</v>
      </c>
      <c r="CX25" s="398">
        <f>VLOOKUP(WWWW[[#This Row],[Site Name]],SiteDB6[[Site Name]:[Lat]],12,FALSE)</f>
        <v>20.207284999999999</v>
      </c>
      <c r="CY25" s="398">
        <f>VLOOKUP(WWWW[[#This Row],[Site Name]],SiteDB6[[Site Name]:[Long]],13,FALSE)</f>
        <v>92.788177000000005</v>
      </c>
      <c r="CZ25" s="398" t="str">
        <f>VLOOKUP(WWWW[[#This Row],[Site Name]],SiteDB6[[Site Name]:[Pcode]],3,FALSE)</f>
        <v>MMR012CMP045</v>
      </c>
      <c r="DA25" s="406" t="str">
        <f t="shared" si="0"/>
        <v>Covered</v>
      </c>
      <c r="DB25" s="406">
        <f>VLOOKUP(WWWW[[#This Row],[Site Name]],SiteDB6[[Site Name]:[PWD_Total]],22,FALSE)</f>
        <v>0</v>
      </c>
      <c r="DC25" s="406">
        <f>VLOOKUP(WWWW[[#This Row],[Site Name]],SiteDB6[[Site Name]:[PWD_Total]],23,FALSE)</f>
        <v>0</v>
      </c>
      <c r="DD25" s="406">
        <f>VLOOKUP(WWWW[[#This Row],[Site Name]],SiteDB6[[Site Name]:[PWD_Total]],24,FALSE)</f>
        <v>0</v>
      </c>
      <c r="DE25" s="406"/>
      <c r="DF25" s="830"/>
      <c r="DG25" s="830"/>
      <c r="DH25" s="830"/>
      <c r="DJ25" s="37"/>
      <c r="DK25" s="37"/>
      <c r="DL25" s="38"/>
      <c r="DM25" s="38"/>
      <c r="DU25" s="20"/>
      <c r="DV25" s="20"/>
    </row>
    <row r="26" spans="1:126" hidden="1">
      <c r="A26" s="393" t="s">
        <v>2387</v>
      </c>
      <c r="B26" s="393" t="s">
        <v>2702</v>
      </c>
      <c r="C26" s="450" t="s">
        <v>2307</v>
      </c>
      <c r="D26" s="399" t="s">
        <v>41</v>
      </c>
      <c r="E26" s="532" t="s">
        <v>2706</v>
      </c>
      <c r="F26" s="399" t="s">
        <v>299</v>
      </c>
      <c r="G26" s="532" t="str">
        <f>VLOOKUP(WWWW[[#This Row],[Site Name]],SiteDB6[[Site Name]:[Location Type]],8,FALSE)</f>
        <v>Camp</v>
      </c>
      <c r="H26" s="450" t="s">
        <v>443</v>
      </c>
      <c r="I26" s="401">
        <v>2280</v>
      </c>
      <c r="J26" s="401">
        <v>11564</v>
      </c>
      <c r="K26" s="407"/>
      <c r="L26" s="408">
        <v>44104</v>
      </c>
      <c r="M26" s="589">
        <v>1444</v>
      </c>
      <c r="N26" s="589">
        <v>49</v>
      </c>
      <c r="O26" s="589">
        <v>115</v>
      </c>
      <c r="P26" s="589">
        <v>0</v>
      </c>
      <c r="Q26" s="542" t="s">
        <v>130</v>
      </c>
      <c r="R26" s="589">
        <v>43</v>
      </c>
      <c r="S26" s="589">
        <v>29</v>
      </c>
      <c r="T26" s="589">
        <v>156</v>
      </c>
      <c r="U26" s="589">
        <v>185</v>
      </c>
      <c r="V26" s="401"/>
      <c r="W26" s="401"/>
      <c r="X26" s="401"/>
      <c r="Y26" s="401"/>
      <c r="Z26" s="401"/>
      <c r="AA26" s="401"/>
      <c r="AB26" s="401"/>
      <c r="AC26" s="401"/>
      <c r="AD26" s="401">
        <v>13</v>
      </c>
      <c r="AE26" s="634"/>
      <c r="AF26" s="589">
        <v>469</v>
      </c>
      <c r="AG26" s="589">
        <v>520</v>
      </c>
      <c r="AH26" s="589">
        <v>76</v>
      </c>
      <c r="AI26" s="534">
        <v>0.39</v>
      </c>
      <c r="AJ26" s="589">
        <v>304</v>
      </c>
      <c r="AK26" s="534">
        <v>1</v>
      </c>
      <c r="AL26" s="534">
        <v>0.73</v>
      </c>
      <c r="AM26" s="534">
        <v>0</v>
      </c>
      <c r="AN26" s="534">
        <v>0</v>
      </c>
      <c r="AO26" s="401"/>
      <c r="AP26" s="401"/>
      <c r="AQ26" s="401">
        <v>53</v>
      </c>
      <c r="AR26" s="589" t="s">
        <v>42</v>
      </c>
      <c r="AS26" s="647"/>
      <c r="AT26" s="589">
        <v>618</v>
      </c>
      <c r="AU26" s="589">
        <v>8179</v>
      </c>
      <c r="AV26" s="589">
        <v>838</v>
      </c>
      <c r="AW26" s="589">
        <v>2947</v>
      </c>
      <c r="AX26" s="589">
        <v>2280</v>
      </c>
      <c r="AY26" s="401"/>
      <c r="AZ26" s="401"/>
      <c r="BA26" s="401"/>
      <c r="BB26" s="401"/>
      <c r="BC26" s="403">
        <v>1</v>
      </c>
      <c r="BD26" s="647"/>
      <c r="BE26" s="403"/>
      <c r="BF26" s="403"/>
      <c r="BG26" s="401"/>
      <c r="BH26" s="403"/>
      <c r="BI26" s="403" t="e">
        <f>WWWW[[#This Row],[Cases of Acute watery diarrhea]]/WWWW[[#This Row],[Total consultations]]</f>
        <v>#DIV/0!</v>
      </c>
      <c r="BJ26" s="398"/>
      <c r="BK26" s="647"/>
      <c r="BL26" s="647"/>
      <c r="BM26" s="404" t="str">
        <f>IFERROR(WWWW[[#This Row],['#_Water samples _passed_at_water source]]/WWWW[[#This Row],['#_Water samples_Tested_at_water_source]],"no test")</f>
        <v>no test</v>
      </c>
      <c r="BN26" s="403" t="str">
        <f>IFERROR(WWWW[[#This Row],['#_Water samples _passed_at_HH]]/WWWW[[#This Row],['#_Water samples_Tested_at_HH]],"no test")</f>
        <v>no test</v>
      </c>
      <c r="BO26" s="402" t="str">
        <f>IF(AND(WWWW[[#This Row],[%of Water samples which passed at water source]]="no test",WWWW[[#This Row],[%Water samples which passed at HH]]="no test"),"No Test","Tested")</f>
        <v>No Test</v>
      </c>
      <c r="BP26" s="404">
        <f>IF(WWWW[[#This Row],[Total PoP ]]="","",IF(((WWWW[[#This Row],['#_Functional_improved_water_source]]*500)+(WWWW[[#This Row],['#_litres_of_water_supplied_by_existing_water_boating/trucking ]]/90/15)+(WWWW[[#This Row],['#_Functional_water_point_at_TLS/CFS]]*500))/WWWW[[#This Row],[Total PoP ]]&gt;1,1,((WWWW[[#This Row],['#_Functional_improved_water_source]]*500)+(WWWW[[#This Row],['#_litres_of_water_supplied_by_existing_water_boating/trucking ]]/90/15)+(WWWW[[#This Row],['#_Functional_water_point_at_TLS/CFS]]*500))/WWWW[[#This Row],[Total PoP ]]))</f>
        <v>1</v>
      </c>
      <c r="BQ26" s="400">
        <f>WWWW[[#This Row],[Access to safe/improved water through improved water sources]]*WWWW[[#This Row],[Total PoP ]]</f>
        <v>11564</v>
      </c>
      <c r="BR26" s="403">
        <f>IF((WWWW[[#This Row],['#_litres_of_water_stored_in_ponds]]/90/15)/WWWW[[#This Row],[Total PoP ]]&gt;1,1,(WWWW[[#This Row],['#_litres_of_water_stored_in_ponds]]/90/15)/WWWW[[#This Row],[Total PoP ]])</f>
        <v>0</v>
      </c>
      <c r="BS26" s="400">
        <f>WWWW[[#This Row],[% Access to unimproved water points]]*WWWW[[#This Row],[Total PoP ]]</f>
        <v>0</v>
      </c>
      <c r="BT26" s="403">
        <f>IF(WWWW[[#This Row],[Access to safe/improved water through improved water sources]]+WWWW[[#This Row],[% Access to unimproved water points]]&gt;1,1,WWWW[[#This Row],[Access to safe/improved water through improved water sources]]+WWWW[[#This Row],[% Access to unimproved water points]])</f>
        <v>1</v>
      </c>
      <c r="BU26" s="400">
        <f>IF(WWWW[[#This Row],['# people with equitable and continuous access to sufficient quantity of safe drinking water]]+WWWW[[#This Row],['#People access to unimproved water sources]]&gt;WWWW[[#This Row],[Total PoP ]],WWWW[[#This Row],[Total PoP ]],WWWW[[#This Row],['# people with equitable and continuous access to sufficient quantity of safe drinking water]]+WWWW[[#This Row],['#People access to unimproved water sources]])</f>
        <v>11564</v>
      </c>
      <c r="BV26" s="400">
        <f>WWWW[[#This Row],[HRP1]]/500</f>
        <v>23.128</v>
      </c>
      <c r="BW26" s="405">
        <f>1-WWWW[[#This Row],[% HRP1]]</f>
        <v>0</v>
      </c>
      <c r="BX26" s="400">
        <f>WWWW[[#This Row],[%equitable and continuous access to sufficient quantity of safe drinking and domestic water''s GAP]]*WWWW[[#This Row],[Total PoP ]]</f>
        <v>0</v>
      </c>
      <c r="BY26" s="402">
        <f>ROUND(IF(WWWW[[#This Row],[Total PoP ]]&lt;500,1,WWWW[[#This Row],[Total PoP ]]/500),0)</f>
        <v>23</v>
      </c>
      <c r="BZ26" s="402">
        <f>IF(WWWW[[#This Row],[Total required water points]]-WWWW[[#This Row],['#Water points coverage]]&lt;0,0,WWWW[[#This Row],[Total required water points]]-WWWW[[#This Row],['#Water points coverage]])</f>
        <v>0</v>
      </c>
      <c r="CA26" s="403">
        <f>WWWW[[#This Row],[HRP2]]/WWWW[[#This Row],[Total PoP ]]</f>
        <v>1</v>
      </c>
      <c r="CB26" s="400">
        <f>IF(WWWW[[#This Row],[Total PoP ]]="",0,IF(((WWWW[[#This Row],['#_Functional_adult_latrines]]*20)+(WWWW[[#This Row],['#_of_functional_children_latrines]]*20)+WWWW[[#This Row],['#_of_PWD_with_adapted_sanitation_option]]+(WWWW[[#This Row],['#_of_latrines_in_TLS/CFS]]*50))&gt;WWWW[[#This Row],[Total PoP ]],WWWW[[#This Row],[Total PoP ]],((WWWW[[#This Row],['#_Functional_adult_latrines]]*20)+(WWWW[[#This Row],['#_of_functional_children_latrines]]*20)+WWWW[[#This Row],['#_of_PWD_with_adapted_sanitation_option]]+(WWWW[[#This Row],['#_of_latrines_in_TLS/CFS]]*50))))</f>
        <v>11564</v>
      </c>
      <c r="CC26" s="402">
        <f>IF(WWWW[[#This Row],['#_of_latrines_in_TLS/CFS]]*50&gt;WWWW[[#This Row],['#_students at TLS_CFS]],WWWW[[#This Row],['#_students at TLS_CFS]],WWWW[[#This Row],['#_of_latrines_in_TLS/CFS]]*50)</f>
        <v>1444</v>
      </c>
      <c r="CD26" s="402">
        <f>ROUND(IF(WWWW[[#This Row],[Location Type 1]]="camp",WWWW[[#This Row],[Total PoP ]]/20),0)</f>
        <v>578</v>
      </c>
      <c r="CE26" s="402">
        <f>IF(WWWW[[#This Row],[Total required Latrines]]-WWWW[[#This Row],['#_Existing_latrines]]&lt;0,0,WWWW[[#This Row],[Total required Latrines]]-WWWW[[#This Row],['#_Existing_latrines]])</f>
        <v>58</v>
      </c>
      <c r="CF26" s="541">
        <f>1-WWWW[[#This Row],[% HRP2]]</f>
        <v>0</v>
      </c>
      <c r="CG26" s="404">
        <f>IF(WWWW[[#This Row],['#_Existing_latrines]]="","NA",(WWWW[[#This Row],['#_Existing_latrines]]-WWWW[[#This Row],['#_Functional_adult_latrines]])/WWWW[[#This Row],['#_Existing_latrines]])</f>
        <v>9.8076923076923075E-2</v>
      </c>
      <c r="CH26" s="400">
        <f>IF(WWWW[[#This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Row],[_'#_of_Girls_receiving_consultation_hygiene_promotion_messages_and_sessions]]&gt;WWWW[[#This Row],[Total PoP ]],WWWW[[#This Row],[Total PoP ]],WWWW[[#This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f>
        <v>11564</v>
      </c>
      <c r="CI26" s="402">
        <f>IF(WWWW[[#This Row],['#_of_affected_households_receiving_a_sufficient_quantity_of_soap]]=0,0,IF(WWWW[[#This Row],['#_of_affected_households_receiving_a_sufficient_quantity_of_soap]]&gt;=WWWW[[#This Row],[Total HH]],WWWW[[#This Row],[Total PoP ]],IF(WWWW[[#This Row],['#_of_affected_households_receiving_a_sufficient_quantity_of_soap]]*5&gt;WWWW[[#This Row],[Total PoP ]],WWWW[[#This Row],[Total PoP ]],WWWW[[#This Row],['#_of_affected_households_receiving_a_sufficient_quantity_of_soap]]*5)))</f>
        <v>11564</v>
      </c>
      <c r="CJ26" s="402">
        <f>IF(WWWW[[#This Row],['#_of_affected_women_and_girls_receiving_a_sufficient_quantity_of_sanitary_pads]]&gt;WWWW[[#This Row],[Total PoP ]],WWWW[[#This Row],[Total PoP ]],WWWW[[#This Row],['#_of_affected_women_and_girls_receiving_a_sufficient_quantity_of_sanitary_pads]])</f>
        <v>0</v>
      </c>
      <c r="CK26" s="402">
        <f>IF(WWWW[[#This Row],['# People with access to soap]]&gt;WWWW[[#This Row],['# People with access to Sanity Pads]],WWWW[[#This Row],['# People with access to soap]],WWWW[[#This Row],['# People with access to Sanity Pads]])</f>
        <v>11564</v>
      </c>
      <c r="CL26" s="402">
        <f>IF(WWWW[[#This Row],['# people reached by regular dedicated hygiene promotion_5]]&gt;WWWW[[#This Row],['# People received regular supply of hygiene items_6]],WWWW[[#This Row],['# people reached by regular dedicated hygiene promotion_5]],WWWW[[#This Row],['# People received regular supply of hygiene items_6]])</f>
        <v>11564</v>
      </c>
      <c r="CM26" s="405">
        <f>IF(WWWW[[#This Row],[HRP3]]/WWWW[[#This Row],[Total PoP ]]&gt;100%,100%,WWWW[[#This Row],[HRP3]]/WWWW[[#This Row],[Total PoP ]])</f>
        <v>1</v>
      </c>
      <c r="CN26" s="404">
        <f>1-WWWW[[#This Row],[Hygiene Coverage%]]</f>
        <v>0</v>
      </c>
      <c r="CO26" s="403">
        <f>WWWW[[#This Row],['# people reached by regular dedicated hygiene promotion_5]]/WWWW[[#This Row],[Total PoP ]]</f>
        <v>1</v>
      </c>
      <c r="CP26" s="403">
        <f>IF(WWWW[[#This Row],['#_of_affected_households_receiving_a_sufficient_quantity_of_soap]]/WWWW[[#This Row],[Total HH]]&gt;1,1,WWWW[[#This Row],['#_of_affected_households_receiving_a_sufficient_quantity_of_soap]]/WWWW[[#This Row],[Total HH]])</f>
        <v>1</v>
      </c>
      <c r="CQ26" s="400" t="str">
        <f>IF(WWWW[[#This Row],['#_students at TLS_CFS]]="","No","Yes")</f>
        <v>Yes</v>
      </c>
      <c r="CR26" s="403"/>
      <c r="CS26" s="398" t="str">
        <f>VLOOKUP(WWWW[[#This Row],[Site Name]],SiteDB6[[Site Name]:[CCCM Management]],6,FALSE)</f>
        <v>Yes</v>
      </c>
      <c r="CT26" s="398">
        <f>VLOOKUP(WWWW[[#This Row],[Site Name]],SiteDB6[[Site Name]:[CCCM Focal Agency]],7,FALSE)</f>
        <v>0</v>
      </c>
      <c r="CU26" s="398" t="str">
        <f>VLOOKUP(WWWW[[#This Row],[Site Name]],SiteDB6[[Site Name]:[Location Type 1]],9,FALSE)</f>
        <v>Camp</v>
      </c>
      <c r="CV26" s="398" t="str">
        <f>VLOOKUP(WWWW[[#This Row],[Site Name]],SiteDB6[[Site Name]:[Type of Accommodation]],10,FALSE)</f>
        <v>Planned Camp</v>
      </c>
      <c r="CW26" s="398" t="str">
        <f>VLOOKUP(WWWW[[#This Row],[Site Name]],SiteDB6[[Site Name]:[Ethnic or GCA/NGCA]],11,FALSE)</f>
        <v>Muslim</v>
      </c>
      <c r="CX26" s="398">
        <f>VLOOKUP(WWWW[[#This Row],[Site Name]],SiteDB6[[Site Name]:[Lat]],12,FALSE)</f>
        <v>20.202525000000001</v>
      </c>
      <c r="CY26" s="398">
        <f>VLOOKUP(WWWW[[#This Row],[Site Name]],SiteDB6[[Site Name]:[Long]],13,FALSE)</f>
        <v>92.792479999999998</v>
      </c>
      <c r="CZ26" s="398" t="str">
        <f>VLOOKUP(WWWW[[#This Row],[Site Name]],SiteDB6[[Site Name]:[Pcode]],3,FALSE)</f>
        <v>MMR012CMP045</v>
      </c>
      <c r="DA26" s="406" t="str">
        <f t="shared" si="0"/>
        <v>Covered</v>
      </c>
      <c r="DB26" s="406">
        <f>VLOOKUP(WWWW[[#This Row],[Site Name]],SiteDB6[[Site Name]:[PWD_Total]],22,FALSE)</f>
        <v>116</v>
      </c>
      <c r="DC26" s="406">
        <f>VLOOKUP(WWWW[[#This Row],[Site Name]],SiteDB6[[Site Name]:[PWD_Total]],23,FALSE)</f>
        <v>1099</v>
      </c>
      <c r="DD26" s="406">
        <f>VLOOKUP(WWWW[[#This Row],[Site Name]],SiteDB6[[Site Name]:[PWD_Total]],24,FALSE)</f>
        <v>1215</v>
      </c>
      <c r="DE26" s="406"/>
      <c r="DF26" s="830"/>
      <c r="DG26" s="830"/>
      <c r="DH26" s="830"/>
      <c r="DJ26" s="37"/>
      <c r="DK26" s="37"/>
      <c r="DL26" s="38"/>
      <c r="DM26" s="38"/>
      <c r="DU26" s="20"/>
      <c r="DV26" s="20"/>
    </row>
    <row r="27" spans="1:126" hidden="1">
      <c r="A27" s="393" t="s">
        <v>2387</v>
      </c>
      <c r="B27" s="393" t="s">
        <v>291</v>
      </c>
      <c r="C27" s="399" t="s">
        <v>291</v>
      </c>
      <c r="D27" s="399" t="s">
        <v>238</v>
      </c>
      <c r="E27" s="532" t="s">
        <v>2706</v>
      </c>
      <c r="F27" s="399" t="s">
        <v>406</v>
      </c>
      <c r="G27" s="532" t="str">
        <f>VLOOKUP(WWWW[[#This Row],[Site Name]],SiteDB6[[Site Name]:[Location Type]],8,FALSE)</f>
        <v>Camp</v>
      </c>
      <c r="H27" s="399" t="s">
        <v>409</v>
      </c>
      <c r="I27" s="401">
        <v>744</v>
      </c>
      <c r="J27" s="401">
        <v>2805</v>
      </c>
      <c r="K27" s="407">
        <v>43556</v>
      </c>
      <c r="L27" s="408">
        <v>43921</v>
      </c>
      <c r="M27" s="401">
        <v>209</v>
      </c>
      <c r="N27" s="401">
        <v>2</v>
      </c>
      <c r="O27" s="401">
        <v>15</v>
      </c>
      <c r="P27" s="401">
        <v>0</v>
      </c>
      <c r="Q27" s="400" t="s">
        <v>42</v>
      </c>
      <c r="R27" s="401">
        <v>13</v>
      </c>
      <c r="S27" s="401">
        <v>5</v>
      </c>
      <c r="T27" s="589">
        <v>23</v>
      </c>
      <c r="U27" s="589">
        <v>24</v>
      </c>
      <c r="V27" s="589">
        <v>3703500</v>
      </c>
      <c r="W27" s="401"/>
      <c r="X27" s="589">
        <v>0</v>
      </c>
      <c r="Y27" s="589"/>
      <c r="Z27" s="589">
        <v>79</v>
      </c>
      <c r="AA27" s="589">
        <v>64</v>
      </c>
      <c r="AB27" s="401"/>
      <c r="AC27" s="589">
        <v>3</v>
      </c>
      <c r="AD27" s="589">
        <v>2</v>
      </c>
      <c r="AE27" s="635" t="s">
        <v>3094</v>
      </c>
      <c r="AF27" s="401">
        <v>356</v>
      </c>
      <c r="AG27" s="401">
        <v>358</v>
      </c>
      <c r="AH27" s="401">
        <v>32</v>
      </c>
      <c r="AI27" s="403"/>
      <c r="AJ27" s="401">
        <v>50</v>
      </c>
      <c r="AK27" s="403"/>
      <c r="AL27" s="403"/>
      <c r="AM27" s="403"/>
      <c r="AN27" s="534"/>
      <c r="AO27" s="589"/>
      <c r="AP27" s="401"/>
      <c r="AQ27" s="401">
        <v>3</v>
      </c>
      <c r="AR27" s="401" t="s">
        <v>42</v>
      </c>
      <c r="AS27" s="647"/>
      <c r="AT27" s="589">
        <v>1223</v>
      </c>
      <c r="AU27" s="589">
        <v>2464</v>
      </c>
      <c r="AV27" s="589">
        <v>1014</v>
      </c>
      <c r="AW27" s="589">
        <v>1120</v>
      </c>
      <c r="AX27" s="589">
        <v>744</v>
      </c>
      <c r="AY27" s="589">
        <v>588</v>
      </c>
      <c r="AZ27" s="711"/>
      <c r="BA27" s="401"/>
      <c r="BB27" s="401"/>
      <c r="BC27" s="711">
        <v>1</v>
      </c>
      <c r="BD27" s="648"/>
      <c r="BE27" s="534"/>
      <c r="BF27" s="534"/>
      <c r="BG27" s="589"/>
      <c r="BH27" s="534"/>
      <c r="BI27" s="403" t="e">
        <f>WWWW[[#This Row],[Cases of Acute watery diarrhea]]/WWWW[[#This Row],[Total consultations]]</f>
        <v>#DIV/0!</v>
      </c>
      <c r="BJ27" s="537"/>
      <c r="BK27" s="647"/>
      <c r="BL27" s="647"/>
      <c r="BM27" s="404" t="str">
        <f>IFERROR(WWWW[[#This Row],['#_Water samples _passed_at_water source]]/WWWW[[#This Row],['#_Water samples_Tested_at_water_source]],"no test")</f>
        <v>no test</v>
      </c>
      <c r="BN27" s="403">
        <f>IFERROR(WWWW[[#This Row],['#_Water samples _passed_at_HH]]/WWWW[[#This Row],['#_Water samples_Tested_at_HH]],"no test")</f>
        <v>0.810126582278481</v>
      </c>
      <c r="BO27" s="402" t="str">
        <f>IF(AND(WWWW[[#This Row],[%of Water samples which passed at water source]]="no test",WWWW[[#This Row],[%Water samples which passed at HH]]="no test"),"No Test","Tested")</f>
        <v>Tested</v>
      </c>
      <c r="BP27" s="404">
        <f>IF(WWWW[[#This Row],[Total PoP ]]="","",IF(((WWWW[[#This Row],['#_Functional_improved_water_source]]*500)+(WWWW[[#This Row],['#_litres_of_water_supplied_by_existing_water_boating/trucking ]]/90/15)+(WWWW[[#This Row],['#_Functional_water_point_at_TLS/CFS]]*500))/WWWW[[#This Row],[Total PoP ]]&gt;1,1,((WWWW[[#This Row],['#_Functional_improved_water_source]]*500)+(WWWW[[#This Row],['#_litres_of_water_supplied_by_existing_water_boating/trucking ]]/90/15)+(WWWW[[#This Row],['#_Functional_water_point_at_TLS/CFS]]*500))/WWWW[[#This Row],[Total PoP ]]))</f>
        <v>1</v>
      </c>
      <c r="BQ27" s="400">
        <f>WWWW[[#This Row],[Access to safe/improved water through improved water sources]]*WWWW[[#This Row],[Total PoP ]]</f>
        <v>2805</v>
      </c>
      <c r="BR27" s="403">
        <f>IF((WWWW[[#This Row],['#_litres_of_water_stored_in_ponds]]/90/15)/WWWW[[#This Row],[Total PoP ]]&gt;1,1,(WWWW[[#This Row],['#_litres_of_water_stored_in_ponds]]/90/15)/WWWW[[#This Row],[Total PoP ]])</f>
        <v>0</v>
      </c>
      <c r="BS27" s="400">
        <f>WWWW[[#This Row],[% Access to unimproved water points]]*WWWW[[#This Row],[Total PoP ]]</f>
        <v>0</v>
      </c>
      <c r="BT27" s="403">
        <f>IF(WWWW[[#This Row],[Access to safe/improved water through improved water sources]]+WWWW[[#This Row],[% Access to unimproved water points]]&gt;1,1,WWWW[[#This Row],[Access to safe/improved water through improved water sources]]+WWWW[[#This Row],[% Access to unimproved water points]])</f>
        <v>1</v>
      </c>
      <c r="BU27" s="400">
        <f>IF(WWWW[[#This Row],['# people with equitable and continuous access to sufficient quantity of safe drinking water]]+WWWW[[#This Row],['#People access to unimproved water sources]]&gt;WWWW[[#This Row],[Total PoP ]],WWWW[[#This Row],[Total PoP ]],WWWW[[#This Row],['# people with equitable and continuous access to sufficient quantity of safe drinking water]]+WWWW[[#This Row],['#People access to unimproved water sources]])</f>
        <v>2805</v>
      </c>
      <c r="BV27" s="400">
        <f>WWWW[[#This Row],[HRP1]]/500</f>
        <v>5.61</v>
      </c>
      <c r="BW27" s="405">
        <f>1-WWWW[[#This Row],[% HRP1]]</f>
        <v>0</v>
      </c>
      <c r="BX27" s="400">
        <f>WWWW[[#This Row],[%equitable and continuous access to sufficient quantity of safe drinking and domestic water''s GAP]]*WWWW[[#This Row],[Total PoP ]]</f>
        <v>0</v>
      </c>
      <c r="BY27" s="402">
        <f>ROUND(IF(WWWW[[#This Row],[Total PoP ]]&lt;500,1,WWWW[[#This Row],[Total PoP ]]/500),0)</f>
        <v>6</v>
      </c>
      <c r="BZ27" s="402">
        <f>IF(WWWW[[#This Row],[Total required water points]]-WWWW[[#This Row],['#Water points coverage]]&lt;0,0,WWWW[[#This Row],[Total required water points]]-WWWW[[#This Row],['#Water points coverage]])</f>
        <v>0.38999999999999968</v>
      </c>
      <c r="CA27" s="403">
        <f>WWWW[[#This Row],[HRP2]]/WWWW[[#This Row],[Total PoP ]]</f>
        <v>1</v>
      </c>
      <c r="CB27" s="400">
        <f>IF(WWWW[[#This Row],[Total PoP ]]="",0,IF(((WWWW[[#This Row],['#_Functional_adult_latrines]]*20)+(WWWW[[#This Row],['#_of_functional_children_latrines]]*20)+WWWW[[#This Row],['#_of_PWD_with_adapted_sanitation_option]]+(WWWW[[#This Row],['#_of_latrines_in_TLS/CFS]]*50))&gt;WWWW[[#This Row],[Total PoP ]],WWWW[[#This Row],[Total PoP ]],((WWWW[[#This Row],['#_Functional_adult_latrines]]*20)+(WWWW[[#This Row],['#_of_functional_children_latrines]]*20)+WWWW[[#This Row],['#_of_PWD_with_adapted_sanitation_option]]+(WWWW[[#This Row],['#_of_latrines_in_TLS/CFS]]*50))))</f>
        <v>2805</v>
      </c>
      <c r="CC27" s="402">
        <f>IF(WWWW[[#This Row],['#_of_latrines_in_TLS/CFS]]*50&gt;WWWW[[#This Row],['#_students at TLS_CFS]],WWWW[[#This Row],['#_students at TLS_CFS]],WWWW[[#This Row],['#_of_latrines_in_TLS/CFS]]*50)</f>
        <v>150</v>
      </c>
      <c r="CD27" s="402">
        <f>ROUND(IF(WWWW[[#This Row],[Location Type 1]]="camp",WWWW[[#This Row],[Total PoP ]]/20),0)</f>
        <v>140</v>
      </c>
      <c r="CE27" s="402">
        <f>IF(WWWW[[#This Row],[Total required Latrines]]-WWWW[[#This Row],['#_Existing_latrines]]&lt;0,0,WWWW[[#This Row],[Total required Latrines]]-WWWW[[#This Row],['#_Existing_latrines]])</f>
        <v>0</v>
      </c>
      <c r="CF27" s="71">
        <f>1-WWWW[[#This Row],[% HRP2]]</f>
        <v>0</v>
      </c>
      <c r="CG27" s="404">
        <f>IF(WWWW[[#This Row],['#_Existing_latrines]]="","NA",(WWWW[[#This Row],['#_Existing_latrines]]-WWWW[[#This Row],['#_Functional_adult_latrines]])/WWWW[[#This Row],['#_Existing_latrines]])</f>
        <v>5.5865921787709499E-3</v>
      </c>
      <c r="CH27" s="400">
        <f>IF(WWWW[[#This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Row],[_'#_of_Girls_receiving_consultation_hygiene_promotion_messages_and_sessions]]&gt;WWWW[[#This Row],[Total PoP ]],WWWW[[#This Row],[Total PoP ]],WWWW[[#This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f>
        <v>2805</v>
      </c>
      <c r="CI27" s="402">
        <f>IF(WWWW[[#This Row],['#_of_affected_households_receiving_a_sufficient_quantity_of_soap]]=0,0,IF(WWWW[[#This Row],['#_of_affected_households_receiving_a_sufficient_quantity_of_soap]]&gt;=WWWW[[#This Row],[Total HH]],WWWW[[#This Row],[Total PoP ]],IF(WWWW[[#This Row],['#_of_affected_households_receiving_a_sufficient_quantity_of_soap]]*5&gt;WWWW[[#This Row],[Total PoP ]],WWWW[[#This Row],[Total PoP ]],WWWW[[#This Row],['#_of_affected_households_receiving_a_sufficient_quantity_of_soap]]*5)))</f>
        <v>2805</v>
      </c>
      <c r="CJ27" s="402">
        <f>IF(WWWW[[#This Row],['#_of_affected_women_and_girls_receiving_a_sufficient_quantity_of_sanitary_pads]]&gt;WWWW[[#This Row],[Total PoP ]],WWWW[[#This Row],[Total PoP ]],WWWW[[#This Row],['#_of_affected_women_and_girls_receiving_a_sufficient_quantity_of_sanitary_pads]])</f>
        <v>588</v>
      </c>
      <c r="CK27" s="402">
        <f>IF(WWWW[[#This Row],['# People with access to soap]]&gt;WWWW[[#This Row],['# People with access to Sanity Pads]],WWWW[[#This Row],['# People with access to soap]],WWWW[[#This Row],['# People with access to Sanity Pads]])</f>
        <v>2805</v>
      </c>
      <c r="CL27" s="402">
        <f>IF(WWWW[[#This Row],['# people reached by regular dedicated hygiene promotion_5]]&gt;WWWW[[#This Row],['# People received regular supply of hygiene items_6]],WWWW[[#This Row],['# people reached by regular dedicated hygiene promotion_5]],WWWW[[#This Row],['# People received regular supply of hygiene items_6]])</f>
        <v>2805</v>
      </c>
      <c r="CM27" s="405">
        <f>IF(WWWW[[#This Row],[HRP3]]/WWWW[[#This Row],[Total PoP ]]&gt;100%,100%,WWWW[[#This Row],[HRP3]]/WWWW[[#This Row],[Total PoP ]])</f>
        <v>1</v>
      </c>
      <c r="CN27" s="404">
        <f>1-WWWW[[#This Row],[Hygiene Coverage%]]</f>
        <v>0</v>
      </c>
      <c r="CO27" s="403">
        <f>WWWW[[#This Row],['# people reached by regular dedicated hygiene promotion_5]]/WWWW[[#This Row],[Total PoP ]]</f>
        <v>1</v>
      </c>
      <c r="CP27" s="403">
        <f>IF(WWWW[[#This Row],['#_of_affected_households_receiving_a_sufficient_quantity_of_soap]]/WWWW[[#This Row],[Total HH]]&gt;1,1,WWWW[[#This Row],['#_of_affected_households_receiving_a_sufficient_quantity_of_soap]]/WWWW[[#This Row],[Total HH]])</f>
        <v>1</v>
      </c>
      <c r="CQ27" s="400" t="str">
        <f>IF(WWWW[[#This Row],['#_students at TLS_CFS]]="","No","Yes")</f>
        <v>Yes</v>
      </c>
      <c r="CR27" s="403"/>
      <c r="CS27" s="398" t="str">
        <f>VLOOKUP(WWWW[[#This Row],[Site Name]],SiteDB6[[Site Name]:[CCCM Management]],6,FALSE)</f>
        <v>Yes</v>
      </c>
      <c r="CT27" s="398" t="str">
        <f>VLOOKUP(WWWW[[#This Row],[Site Name]],SiteDB6[[Site Name]:[CCCM Focal Agency]],7,FALSE)</f>
        <v>DRC</v>
      </c>
      <c r="CU27" s="398" t="str">
        <f>VLOOKUP(WWWW[[#This Row],[Site Name]],SiteDB6[[Site Name]:[Location Type 1]],9,FALSE)</f>
        <v>Camp</v>
      </c>
      <c r="CV27" s="398" t="str">
        <f>VLOOKUP(WWWW[[#This Row],[Site Name]],SiteDB6[[Site Name]:[Type of Accommodation]],10,FALSE)</f>
        <v>Planned Camp</v>
      </c>
      <c r="CW27" s="398" t="str">
        <f>VLOOKUP(WWWW[[#This Row],[Site Name]],SiteDB6[[Site Name]:[Ethnic or GCA/NGCA]],11,FALSE)</f>
        <v>Muslim</v>
      </c>
      <c r="CX27" s="398">
        <f>VLOOKUP(WWWW[[#This Row],[Site Name]],SiteDB6[[Site Name]:[Lat]],12,FALSE)</f>
        <v>20.064226000000001</v>
      </c>
      <c r="CY27" s="398">
        <f>VLOOKUP(WWWW[[#This Row],[Site Name]],SiteDB6[[Site Name]:[Long]],13,FALSE)</f>
        <v>92.993758999999997</v>
      </c>
      <c r="CZ27" s="398" t="str">
        <f>VLOOKUP(WWWW[[#This Row],[Site Name]],SiteDB6[[Site Name]:[Pcode]],3,FALSE)</f>
        <v>MMR012CMP019</v>
      </c>
      <c r="DA27" s="406" t="str">
        <f t="shared" si="0"/>
        <v>Covered</v>
      </c>
      <c r="DB27" s="406">
        <f>VLOOKUP(WWWW[[#This Row],[Site Name]],SiteDB6[[Site Name]:[PWD_Total]],22,FALSE)</f>
        <v>125</v>
      </c>
      <c r="DC27" s="406">
        <f>VLOOKUP(WWWW[[#This Row],[Site Name]],SiteDB6[[Site Name]:[PWD_Total]],23,FALSE)</f>
        <v>401</v>
      </c>
      <c r="DD27" s="406">
        <f>VLOOKUP(WWWW[[#This Row],[Site Name]],SiteDB6[[Site Name]:[PWD_Total]],24,FALSE)</f>
        <v>526</v>
      </c>
      <c r="DE27" s="406"/>
      <c r="DF27" s="830"/>
      <c r="DG27" s="830"/>
      <c r="DH27" s="830"/>
      <c r="DJ27" s="37"/>
      <c r="DK27" s="37"/>
      <c r="DL27" s="38"/>
      <c r="DM27" s="38"/>
      <c r="DU27" s="20"/>
      <c r="DV27" s="20"/>
    </row>
    <row r="28" spans="1:126" hidden="1">
      <c r="A28" s="393" t="s">
        <v>2387</v>
      </c>
      <c r="B28" s="393" t="s">
        <v>402</v>
      </c>
      <c r="C28" s="399" t="s">
        <v>402</v>
      </c>
      <c r="D28" s="399" t="s">
        <v>235</v>
      </c>
      <c r="E28" s="532" t="s">
        <v>2706</v>
      </c>
      <c r="F28" s="399" t="s">
        <v>403</v>
      </c>
      <c r="G28" s="532" t="str">
        <f>VLOOKUP(WWWW[[#This Row],[Site Name]],SiteDB6[[Site Name]:[Location Type]],8,FALSE)</f>
        <v>Camp</v>
      </c>
      <c r="H28" s="399" t="s">
        <v>404</v>
      </c>
      <c r="I28" s="401">
        <v>716</v>
      </c>
      <c r="J28" s="401">
        <v>2920</v>
      </c>
      <c r="K28" s="407">
        <v>43530</v>
      </c>
      <c r="L28" s="408">
        <v>43896</v>
      </c>
      <c r="M28" s="401">
        <v>920</v>
      </c>
      <c r="N28" s="401">
        <v>14</v>
      </c>
      <c r="O28" s="401">
        <v>20</v>
      </c>
      <c r="P28" s="401" t="s">
        <v>2675</v>
      </c>
      <c r="Q28" s="400" t="s">
        <v>42</v>
      </c>
      <c r="R28" s="401">
        <v>9</v>
      </c>
      <c r="S28" s="401">
        <v>9</v>
      </c>
      <c r="T28" s="401">
        <v>5</v>
      </c>
      <c r="U28" s="401">
        <v>6</v>
      </c>
      <c r="V28" s="589">
        <v>5505156</v>
      </c>
      <c r="W28" s="589">
        <v>8670000</v>
      </c>
      <c r="X28" s="401">
        <v>23</v>
      </c>
      <c r="Y28" s="401">
        <v>21</v>
      </c>
      <c r="Z28" s="401">
        <v>24</v>
      </c>
      <c r="AA28" s="401">
        <v>24</v>
      </c>
      <c r="AB28" s="401">
        <v>716</v>
      </c>
      <c r="AC28" s="401"/>
      <c r="AD28" s="401">
        <v>5</v>
      </c>
      <c r="AE28" s="634"/>
      <c r="AF28" s="401">
        <v>197</v>
      </c>
      <c r="AG28" s="401">
        <v>197</v>
      </c>
      <c r="AH28" s="401">
        <v>62</v>
      </c>
      <c r="AI28" s="403"/>
      <c r="AJ28" s="401">
        <v>267</v>
      </c>
      <c r="AK28" s="403"/>
      <c r="AL28" s="403"/>
      <c r="AM28" s="403"/>
      <c r="AN28" s="403"/>
      <c r="AO28" s="401">
        <v>31</v>
      </c>
      <c r="AP28" s="401">
        <v>114</v>
      </c>
      <c r="AQ28" s="401">
        <v>6</v>
      </c>
      <c r="AR28" s="401" t="s">
        <v>42</v>
      </c>
      <c r="AS28" s="647"/>
      <c r="AT28" s="401">
        <v>248</v>
      </c>
      <c r="AU28" s="401">
        <v>952</v>
      </c>
      <c r="AV28" s="401">
        <v>301</v>
      </c>
      <c r="AW28" s="401">
        <v>641</v>
      </c>
      <c r="AX28" s="401">
        <v>716</v>
      </c>
      <c r="AY28" s="401">
        <v>716</v>
      </c>
      <c r="AZ28" s="403">
        <v>0.86</v>
      </c>
      <c r="BA28" s="403">
        <v>0.94</v>
      </c>
      <c r="BB28" s="403">
        <v>0.75</v>
      </c>
      <c r="BC28" s="403">
        <v>0.2</v>
      </c>
      <c r="BD28" s="647"/>
      <c r="BE28" s="403">
        <v>0.95</v>
      </c>
      <c r="BF28" s="403">
        <v>0.77</v>
      </c>
      <c r="BG28" s="401">
        <v>287</v>
      </c>
      <c r="BH28" s="403">
        <v>1</v>
      </c>
      <c r="BI28" s="403" t="e">
        <f>WWWW[[#This Row],[Cases of Acute watery diarrhea]]/WWWW[[#This Row],[Total consultations]]</f>
        <v>#DIV/0!</v>
      </c>
      <c r="BJ28" s="398" t="s">
        <v>130</v>
      </c>
      <c r="BK28" s="647" t="s">
        <v>3103</v>
      </c>
      <c r="BL28" s="647" t="s">
        <v>3104</v>
      </c>
      <c r="BM28" s="404">
        <f>IFERROR(WWWW[[#This Row],['#_Water samples _passed_at_water source]]/WWWW[[#This Row],['#_Water samples_Tested_at_water_source]],"no test")</f>
        <v>0.91304347826086951</v>
      </c>
      <c r="BN28" s="403">
        <f>IFERROR(WWWW[[#This Row],['#_Water samples _passed_at_HH]]/WWWW[[#This Row],['#_Water samples_Tested_at_HH]],"no test")</f>
        <v>1</v>
      </c>
      <c r="BO28" s="402" t="str">
        <f>IF(AND(WWWW[[#This Row],[%of Water samples which passed at water source]]="no test",WWWW[[#This Row],[%Water samples which passed at HH]]="no test"),"No Test","Tested")</f>
        <v>Tested</v>
      </c>
      <c r="BP28" s="404">
        <f>IF(WWWW[[#This Row],[Total PoP ]]="","",IF(((WWWW[[#This Row],['#_Functional_improved_water_source]]*500)+(WWWW[[#This Row],['#_litres_of_water_supplied_by_existing_water_boating/trucking ]]/90/15)+(WWWW[[#This Row],['#_Functional_water_point_at_TLS/CFS]]*500))/WWWW[[#This Row],[Total PoP ]]&gt;1,1,((WWWW[[#This Row],['#_Functional_improved_water_source]]*500)+(WWWW[[#This Row],['#_litres_of_water_supplied_by_existing_water_boating/trucking ]]/90/15)+(WWWW[[#This Row],['#_Functional_water_point_at_TLS/CFS]]*500))/WWWW[[#This Row],[Total PoP ]]))</f>
        <v>1</v>
      </c>
      <c r="BQ28" s="400">
        <f>WWWW[[#This Row],[Access to safe/improved water through improved water sources]]*WWWW[[#This Row],[Total PoP ]]</f>
        <v>2920</v>
      </c>
      <c r="BR28" s="403">
        <f>IF((WWWW[[#This Row],['#_litres_of_water_stored_in_ponds]]/90/15)/WWWW[[#This Row],[Total PoP ]]&gt;1,1,(WWWW[[#This Row],['#_litres_of_water_stored_in_ponds]]/90/15)/WWWW[[#This Row],[Total PoP ]])</f>
        <v>1</v>
      </c>
      <c r="BS28" s="400">
        <f>WWWW[[#This Row],[% Access to unimproved water points]]*WWWW[[#This Row],[Total PoP ]]</f>
        <v>2920</v>
      </c>
      <c r="BT28" s="403">
        <f>IF(WWWW[[#This Row],[Access to safe/improved water through improved water sources]]+WWWW[[#This Row],[% Access to unimproved water points]]&gt;1,1,WWWW[[#This Row],[Access to safe/improved water through improved water sources]]+WWWW[[#This Row],[% Access to unimproved water points]])</f>
        <v>1</v>
      </c>
      <c r="BU28" s="400">
        <f>IF(WWWW[[#This Row],['# people with equitable and continuous access to sufficient quantity of safe drinking water]]+WWWW[[#This Row],['#People access to unimproved water sources]]&gt;WWWW[[#This Row],[Total PoP ]],WWWW[[#This Row],[Total PoP ]],WWWW[[#This Row],['# people with equitable and continuous access to sufficient quantity of safe drinking water]]+WWWW[[#This Row],['#People access to unimproved water sources]])</f>
        <v>2920</v>
      </c>
      <c r="BV28" s="400">
        <f>WWWW[[#This Row],[HRP1]]/500</f>
        <v>5.84</v>
      </c>
      <c r="BW28" s="405">
        <f>1-WWWW[[#This Row],[% HRP1]]</f>
        <v>0</v>
      </c>
      <c r="BX28" s="400">
        <f>WWWW[[#This Row],[%equitable and continuous access to sufficient quantity of safe drinking and domestic water''s GAP]]*WWWW[[#This Row],[Total PoP ]]</f>
        <v>0</v>
      </c>
      <c r="BY28" s="402">
        <f>ROUND(IF(WWWW[[#This Row],[Total PoP ]]&lt;500,1,WWWW[[#This Row],[Total PoP ]]/500),0)</f>
        <v>6</v>
      </c>
      <c r="BZ28" s="402">
        <f>IF(WWWW[[#This Row],[Total required water points]]-WWWW[[#This Row],['#Water points coverage]]&lt;0,0,WWWW[[#This Row],[Total required water points]]-WWWW[[#This Row],['#Water points coverage]])</f>
        <v>0.16000000000000014</v>
      </c>
      <c r="CA28" s="403">
        <f>WWWW[[#This Row],[HRP2]]/WWWW[[#This Row],[Total PoP ]]</f>
        <v>1</v>
      </c>
      <c r="CB28" s="400">
        <f>IF(WWWW[[#This Row],[Total PoP ]]="",0,IF(((WWWW[[#This Row],['#_Functional_adult_latrines]]*20)+(WWWW[[#This Row],['#_of_functional_children_latrines]]*20)+WWWW[[#This Row],['#_of_PWD_with_adapted_sanitation_option]]+(WWWW[[#This Row],['#_of_latrines_in_TLS/CFS]]*50))&gt;WWWW[[#This Row],[Total PoP ]],WWWW[[#This Row],[Total PoP ]],((WWWW[[#This Row],['#_Functional_adult_latrines]]*20)+(WWWW[[#This Row],['#_of_functional_children_latrines]]*20)+WWWW[[#This Row],['#_of_PWD_with_adapted_sanitation_option]]+(WWWW[[#This Row],['#_of_latrines_in_TLS/CFS]]*50))))</f>
        <v>2920</v>
      </c>
      <c r="CC28" s="402">
        <f>IF(WWWW[[#This Row],['#_of_latrines_in_TLS/CFS]]*50&gt;WWWW[[#This Row],['#_students at TLS_CFS]],WWWW[[#This Row],['#_students at TLS_CFS]],WWWW[[#This Row],['#_of_latrines_in_TLS/CFS]]*50)</f>
        <v>300</v>
      </c>
      <c r="CD28" s="402">
        <f>ROUND(IF(WWWW[[#This Row],[Location Type 1]]="camp",WWWW[[#This Row],[Total PoP ]]/20),0)</f>
        <v>146</v>
      </c>
      <c r="CE28" s="402">
        <f>IF(WWWW[[#This Row],[Total required Latrines]]-WWWW[[#This Row],['#_Existing_latrines]]&lt;0,0,WWWW[[#This Row],[Total required Latrines]]-WWWW[[#This Row],['#_Existing_latrines]])</f>
        <v>0</v>
      </c>
      <c r="CF28" s="541">
        <f>1-WWWW[[#This Row],[% HRP2]]</f>
        <v>0</v>
      </c>
      <c r="CG28" s="404">
        <f>IF(WWWW[[#This Row],['#_Existing_latrines]]="","NA",(WWWW[[#This Row],['#_Existing_latrines]]-WWWW[[#This Row],['#_Functional_adult_latrines]])/WWWW[[#This Row],['#_Existing_latrines]])</f>
        <v>0</v>
      </c>
      <c r="CH28" s="400">
        <f>IF(WWWW[[#This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Row],[_'#_of_Girls_receiving_consultation_hygiene_promotion_messages_and_sessions]]&gt;WWWW[[#This Row],[Total PoP ]],WWWW[[#This Row],[Total PoP ]],WWWW[[#This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f>
        <v>2142</v>
      </c>
      <c r="CI28" s="402">
        <f>IF(WWWW[[#This Row],['#_of_affected_households_receiving_a_sufficient_quantity_of_soap]]=0,0,IF(WWWW[[#This Row],['#_of_affected_households_receiving_a_sufficient_quantity_of_soap]]&gt;=WWWW[[#This Row],[Total HH]],WWWW[[#This Row],[Total PoP ]],IF(WWWW[[#This Row],['#_of_affected_households_receiving_a_sufficient_quantity_of_soap]]*5&gt;WWWW[[#This Row],[Total PoP ]],WWWW[[#This Row],[Total PoP ]],WWWW[[#This Row],['#_of_affected_households_receiving_a_sufficient_quantity_of_soap]]*5)))</f>
        <v>2920</v>
      </c>
      <c r="CJ28" s="402">
        <f>IF(WWWW[[#This Row],['#_of_affected_women_and_girls_receiving_a_sufficient_quantity_of_sanitary_pads]]&gt;WWWW[[#This Row],[Total PoP ]],WWWW[[#This Row],[Total PoP ]],WWWW[[#This Row],['#_of_affected_women_and_girls_receiving_a_sufficient_quantity_of_sanitary_pads]])</f>
        <v>716</v>
      </c>
      <c r="CK28" s="402">
        <f>IF(WWWW[[#This Row],['# People with access to soap]]&gt;WWWW[[#This Row],['# People with access to Sanity Pads]],WWWW[[#This Row],['# People with access to soap]],WWWW[[#This Row],['# People with access to Sanity Pads]])</f>
        <v>2920</v>
      </c>
      <c r="CL28" s="402">
        <f>IF(WWWW[[#This Row],['# people reached by regular dedicated hygiene promotion_5]]&gt;WWWW[[#This Row],['# People received regular supply of hygiene items_6]],WWWW[[#This Row],['# people reached by regular dedicated hygiene promotion_5]],WWWW[[#This Row],['# People received regular supply of hygiene items_6]])</f>
        <v>2920</v>
      </c>
      <c r="CM28" s="405">
        <f>IF(WWWW[[#This Row],[HRP3]]/WWWW[[#This Row],[Total PoP ]]&gt;100%,100%,WWWW[[#This Row],[HRP3]]/WWWW[[#This Row],[Total PoP ]])</f>
        <v>1</v>
      </c>
      <c r="CN28" s="404">
        <f>1-WWWW[[#This Row],[Hygiene Coverage%]]</f>
        <v>0</v>
      </c>
      <c r="CO28" s="403">
        <f>WWWW[[#This Row],['# people reached by regular dedicated hygiene promotion_5]]/WWWW[[#This Row],[Total PoP ]]</f>
        <v>0.73356164383561639</v>
      </c>
      <c r="CP28" s="403">
        <f>IF(WWWW[[#This Row],['#_of_affected_households_receiving_a_sufficient_quantity_of_soap]]/WWWW[[#This Row],[Total HH]]&gt;1,1,WWWW[[#This Row],['#_of_affected_households_receiving_a_sufficient_quantity_of_soap]]/WWWW[[#This Row],[Total HH]])</f>
        <v>1</v>
      </c>
      <c r="CQ28" s="400" t="str">
        <f>IF(WWWW[[#This Row],['#_students at TLS_CFS]]="","No","Yes")</f>
        <v>Yes</v>
      </c>
      <c r="CR28" s="403">
        <f>WWWW[[#This Row],['#_of_affected_people_surveyed_who_report_feeling_informed_about_the_different_WASH_services_available_to_them]]/WWWW[[#This Row],[Total PoP ]]</f>
        <v>9.8287671232876711E-2</v>
      </c>
      <c r="CS28" s="398" t="str">
        <f>VLOOKUP(WWWW[[#This Row],[Site Name]],SiteDB6[[Site Name]:[CCCM Management]],6,FALSE)</f>
        <v>Yes</v>
      </c>
      <c r="CT28" s="398" t="str">
        <f>VLOOKUP(WWWW[[#This Row],[Site Name]],SiteDB6[[Site Name]:[CCCM Focal Agency]],7,FALSE)</f>
        <v>RI</v>
      </c>
      <c r="CU28" s="398" t="str">
        <f>VLOOKUP(WWWW[[#This Row],[Site Name]],SiteDB6[[Site Name]:[Location Type 1]],9,FALSE)</f>
        <v>Camp</v>
      </c>
      <c r="CV28" s="398" t="str">
        <f>VLOOKUP(WWWW[[#This Row],[Site Name]],SiteDB6[[Site Name]:[Type of Accommodation]],10,FALSE)</f>
        <v>Planned Camp</v>
      </c>
      <c r="CW28" s="398" t="str">
        <f>VLOOKUP(WWWW[[#This Row],[Site Name]],SiteDB6[[Site Name]:[Ethnic or GCA/NGCA]],11,FALSE)</f>
        <v>Muslim</v>
      </c>
      <c r="CX28" s="398">
        <f>VLOOKUP(WWWW[[#This Row],[Site Name]],SiteDB6[[Site Name]:[Lat]],12,FALSE)</f>
        <v>20.037655000000001</v>
      </c>
      <c r="CY28" s="398">
        <f>VLOOKUP(WWWW[[#This Row],[Site Name]],SiteDB6[[Site Name]:[Long]],13,FALSE)</f>
        <v>93.370037999999994</v>
      </c>
      <c r="CZ28" s="398" t="str">
        <f>VLOOKUP(WWWW[[#This Row],[Site Name]],SiteDB6[[Site Name]:[Pcode]],3,FALSE)</f>
        <v>MMR012CMP014</v>
      </c>
      <c r="DA28" s="406" t="str">
        <f t="shared" si="0"/>
        <v>Covered</v>
      </c>
      <c r="DB28" s="406">
        <f>VLOOKUP(WWWW[[#This Row],[Site Name]],SiteDB6[[Site Name]:[PWD_Total]],22,FALSE)</f>
        <v>54</v>
      </c>
      <c r="DC28" s="406">
        <f>VLOOKUP(WWWW[[#This Row],[Site Name]],SiteDB6[[Site Name]:[PWD_Total]],23,FALSE)</f>
        <v>319</v>
      </c>
      <c r="DD28" s="406">
        <f>VLOOKUP(WWWW[[#This Row],[Site Name]],SiteDB6[[Site Name]:[PWD_Total]],24,FALSE)</f>
        <v>373</v>
      </c>
      <c r="DE28" s="406"/>
      <c r="DF28" s="830"/>
      <c r="DG28" s="830"/>
      <c r="DH28" s="830"/>
      <c r="DJ28" s="37"/>
      <c r="DK28" s="37"/>
      <c r="DL28" s="38"/>
      <c r="DM28" s="38"/>
      <c r="DU28" s="20"/>
      <c r="DV28" s="20"/>
    </row>
    <row r="29" spans="1:126" hidden="1">
      <c r="A29" s="393" t="s">
        <v>2387</v>
      </c>
      <c r="B29" s="393" t="s">
        <v>2308</v>
      </c>
      <c r="C29" s="450" t="s">
        <v>2308</v>
      </c>
      <c r="D29" s="450" t="s">
        <v>41</v>
      </c>
      <c r="E29" s="532" t="s">
        <v>2706</v>
      </c>
      <c r="F29" s="399" t="s">
        <v>299</v>
      </c>
      <c r="G29" s="532" t="str">
        <f>VLOOKUP(WWWW[[#This Row],[Site Name]],SiteDB6[[Site Name]:[Location Type]],8,FALSE)</f>
        <v>Camp</v>
      </c>
      <c r="H29" s="399" t="s">
        <v>426</v>
      </c>
      <c r="I29" s="507">
        <v>1139</v>
      </c>
      <c r="J29" s="401">
        <v>6016</v>
      </c>
      <c r="K29" s="407"/>
      <c r="L29" s="408">
        <v>44104</v>
      </c>
      <c r="M29" s="401">
        <v>1094</v>
      </c>
      <c r="N29" s="589">
        <v>49</v>
      </c>
      <c r="O29" s="589">
        <f>115+60</f>
        <v>175</v>
      </c>
      <c r="P29" s="589">
        <v>0</v>
      </c>
      <c r="Q29" s="542" t="s">
        <v>130</v>
      </c>
      <c r="R29" s="589">
        <f>1+8</f>
        <v>9</v>
      </c>
      <c r="S29" s="589">
        <v>7</v>
      </c>
      <c r="T29" s="589">
        <v>36</v>
      </c>
      <c r="U29" s="589">
        <v>45</v>
      </c>
      <c r="V29" s="401"/>
      <c r="W29" s="401"/>
      <c r="X29" s="401"/>
      <c r="Y29" s="401"/>
      <c r="Z29" s="401"/>
      <c r="AA29" s="401"/>
      <c r="AB29" s="401"/>
      <c r="AC29" s="401"/>
      <c r="AD29" s="401"/>
      <c r="AE29" s="634"/>
      <c r="AF29" s="589">
        <v>201</v>
      </c>
      <c r="AG29" s="589">
        <v>243</v>
      </c>
      <c r="AH29" s="589">
        <v>17</v>
      </c>
      <c r="AI29" s="534">
        <v>0.86</v>
      </c>
      <c r="AJ29" s="589">
        <v>230</v>
      </c>
      <c r="AK29" s="534">
        <v>1</v>
      </c>
      <c r="AL29" s="534">
        <v>0.97</v>
      </c>
      <c r="AM29" s="534">
        <v>0.45</v>
      </c>
      <c r="AN29" s="534">
        <v>0.45</v>
      </c>
      <c r="AO29" s="401"/>
      <c r="AP29" s="401"/>
      <c r="AQ29" s="401"/>
      <c r="AR29" s="589" t="s">
        <v>42</v>
      </c>
      <c r="AS29" s="647"/>
      <c r="AT29" s="589">
        <v>115</v>
      </c>
      <c r="AU29" s="589">
        <v>414</v>
      </c>
      <c r="AV29" s="589">
        <v>321</v>
      </c>
      <c r="AW29" s="589">
        <v>332</v>
      </c>
      <c r="AX29" s="589">
        <v>1139</v>
      </c>
      <c r="AY29" s="589">
        <v>1745</v>
      </c>
      <c r="AZ29" s="401"/>
      <c r="BA29" s="401"/>
      <c r="BB29" s="401"/>
      <c r="BC29" s="403"/>
      <c r="BD29" s="647"/>
      <c r="BE29" s="534"/>
      <c r="BF29" s="534"/>
      <c r="BG29" s="401">
        <v>97</v>
      </c>
      <c r="BH29" s="534">
        <v>0.57999999999999996</v>
      </c>
      <c r="BI29" s="403" t="e">
        <f>WWWW[[#This Row],[Cases of Acute watery diarrhea]]/WWWW[[#This Row],[Total consultations]]</f>
        <v>#DIV/0!</v>
      </c>
      <c r="BJ29" s="398"/>
      <c r="BK29" s="647"/>
      <c r="BL29" s="647"/>
      <c r="BM29" s="404" t="str">
        <f>IFERROR(WWWW[[#This Row],['#_Water samples _passed_at_water source]]/WWWW[[#This Row],['#_Water samples_Tested_at_water_source]],"no test")</f>
        <v>no test</v>
      </c>
      <c r="BN29" s="403" t="str">
        <f>IFERROR(WWWW[[#This Row],['#_Water samples _passed_at_HH]]/WWWW[[#This Row],['#_Water samples_Tested_at_HH]],"no test")</f>
        <v>no test</v>
      </c>
      <c r="BO29" s="402" t="str">
        <f>IF(AND(WWWW[[#This Row],[%of Water samples which passed at water source]]="no test",WWWW[[#This Row],[%Water samples which passed at HH]]="no test"),"No Test","Tested")</f>
        <v>No Test</v>
      </c>
      <c r="BP29" s="404">
        <f>IF(WWWW[[#This Row],[Total PoP ]]="","",IF(((WWWW[[#This Row],['#_Functional_improved_water_source]]*500)+(WWWW[[#This Row],['#_litres_of_water_supplied_by_existing_water_boating/trucking ]]/90/15)+(WWWW[[#This Row],['#_Functional_water_point_at_TLS/CFS]]*500))/WWWW[[#This Row],[Total PoP ]]&gt;1,1,((WWWW[[#This Row],['#_Functional_improved_water_source]]*500)+(WWWW[[#This Row],['#_litres_of_water_supplied_by_existing_water_boating/trucking ]]/90/15)+(WWWW[[#This Row],['#_Functional_water_point_at_TLS/CFS]]*500))/WWWW[[#This Row],[Total PoP ]]))</f>
        <v>1</v>
      </c>
      <c r="BQ29" s="400">
        <f>WWWW[[#This Row],[Access to safe/improved water through improved water sources]]*WWWW[[#This Row],[Total PoP ]]</f>
        <v>6016</v>
      </c>
      <c r="BR29" s="403">
        <f>IF((WWWW[[#This Row],['#_litres_of_water_stored_in_ponds]]/90/15)/WWWW[[#This Row],[Total PoP ]]&gt;1,1,(WWWW[[#This Row],['#_litres_of_water_stored_in_ponds]]/90/15)/WWWW[[#This Row],[Total PoP ]])</f>
        <v>0</v>
      </c>
      <c r="BS29" s="400">
        <f>WWWW[[#This Row],[% Access to unimproved water points]]*WWWW[[#This Row],[Total PoP ]]</f>
        <v>0</v>
      </c>
      <c r="BT29" s="403">
        <f>IF(WWWW[[#This Row],[Access to safe/improved water through improved water sources]]+WWWW[[#This Row],[% Access to unimproved water points]]&gt;1,1,WWWW[[#This Row],[Access to safe/improved water through improved water sources]]+WWWW[[#This Row],[% Access to unimproved water points]])</f>
        <v>1</v>
      </c>
      <c r="BU29" s="400">
        <f>IF(WWWW[[#This Row],['# people with equitable and continuous access to sufficient quantity of safe drinking water]]+WWWW[[#This Row],['#People access to unimproved water sources]]&gt;WWWW[[#This Row],[Total PoP ]],WWWW[[#This Row],[Total PoP ]],WWWW[[#This Row],['# people with equitable and continuous access to sufficient quantity of safe drinking water]]+WWWW[[#This Row],['#People access to unimproved water sources]])</f>
        <v>6016</v>
      </c>
      <c r="BV29" s="400">
        <f>WWWW[[#This Row],[HRP1]]/500</f>
        <v>12.032</v>
      </c>
      <c r="BW29" s="405">
        <f>1-WWWW[[#This Row],[% HRP1]]</f>
        <v>0</v>
      </c>
      <c r="BX29" s="400">
        <f>WWWW[[#This Row],[%equitable and continuous access to sufficient quantity of safe drinking and domestic water''s GAP]]*WWWW[[#This Row],[Total PoP ]]</f>
        <v>0</v>
      </c>
      <c r="BY29" s="402">
        <f>ROUND(IF(WWWW[[#This Row],[Total PoP ]]&lt;500,1,WWWW[[#This Row],[Total PoP ]]/500),0)</f>
        <v>12</v>
      </c>
      <c r="BZ29" s="402">
        <f>IF(WWWW[[#This Row],[Total required water points]]-WWWW[[#This Row],['#Water points coverage]]&lt;0,0,WWWW[[#This Row],[Total required water points]]-WWWW[[#This Row],['#Water points coverage]])</f>
        <v>0</v>
      </c>
      <c r="CA29" s="403">
        <f>WWWW[[#This Row],[HRP2]]/WWWW[[#This Row],[Total PoP ]]</f>
        <v>0.66821808510638303</v>
      </c>
      <c r="CB29" s="400">
        <f>IF(WWWW[[#This Row],[Total PoP ]]="",0,IF(((WWWW[[#This Row],['#_Functional_adult_latrines]]*20)+(WWWW[[#This Row],['#_of_functional_children_latrines]]*20)+WWWW[[#This Row],['#_of_PWD_with_adapted_sanitation_option]]+(WWWW[[#This Row],['#_of_latrines_in_TLS/CFS]]*50))&gt;WWWW[[#This Row],[Total PoP ]],WWWW[[#This Row],[Total PoP ]],((WWWW[[#This Row],['#_Functional_adult_latrines]]*20)+(WWWW[[#This Row],['#_of_functional_children_latrines]]*20)+WWWW[[#This Row],['#_of_PWD_with_adapted_sanitation_option]]+(WWWW[[#This Row],['#_of_latrines_in_TLS/CFS]]*50))))</f>
        <v>4020</v>
      </c>
      <c r="CC29" s="402">
        <f>IF(WWWW[[#This Row],['#_of_latrines_in_TLS/CFS]]*50&gt;WWWW[[#This Row],['#_students at TLS_CFS]],WWWW[[#This Row],['#_students at TLS_CFS]],WWWW[[#This Row],['#_of_latrines_in_TLS/CFS]]*50)</f>
        <v>0</v>
      </c>
      <c r="CD29" s="402">
        <f>ROUND(IF(WWWW[[#This Row],[Location Type 1]]="camp",WWWW[[#This Row],[Total PoP ]]/20),0)</f>
        <v>301</v>
      </c>
      <c r="CE29" s="402">
        <f>IF(WWWW[[#This Row],[Total required Latrines]]-WWWW[[#This Row],['#_Existing_latrines]]&lt;0,0,WWWW[[#This Row],[Total required Latrines]]-WWWW[[#This Row],['#_Existing_latrines]])</f>
        <v>58</v>
      </c>
      <c r="CF29" s="71">
        <f>1-WWWW[[#This Row],[% HRP2]]</f>
        <v>0.33178191489361697</v>
      </c>
      <c r="CG29" s="404">
        <f>IF(WWWW[[#This Row],['#_Existing_latrines]]="","NA",(WWWW[[#This Row],['#_Existing_latrines]]-WWWW[[#This Row],['#_Functional_adult_latrines]])/WWWW[[#This Row],['#_Existing_latrines]])</f>
        <v>0.1728395061728395</v>
      </c>
      <c r="CH29" s="400">
        <f>IF(WWWW[[#This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Row],[_'#_of_Girls_receiving_consultation_hygiene_promotion_messages_and_sessions]]&gt;WWWW[[#This Row],[Total PoP ]],WWWW[[#This Row],[Total PoP ]],WWWW[[#This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f>
        <v>1182</v>
      </c>
      <c r="CI29" s="402">
        <f>IF(WWWW[[#This Row],['#_of_affected_households_receiving_a_sufficient_quantity_of_soap]]=0,0,IF(WWWW[[#This Row],['#_of_affected_households_receiving_a_sufficient_quantity_of_soap]]&gt;=WWWW[[#This Row],[Total HH]],WWWW[[#This Row],[Total PoP ]],IF(WWWW[[#This Row],['#_of_affected_households_receiving_a_sufficient_quantity_of_soap]]*5&gt;WWWW[[#This Row],[Total PoP ]],WWWW[[#This Row],[Total PoP ]],WWWW[[#This Row],['#_of_affected_households_receiving_a_sufficient_quantity_of_soap]]*5)))</f>
        <v>6016</v>
      </c>
      <c r="CJ29" s="402">
        <f>IF(WWWW[[#This Row],['#_of_affected_women_and_girls_receiving_a_sufficient_quantity_of_sanitary_pads]]&gt;WWWW[[#This Row],[Total PoP ]],WWWW[[#This Row],[Total PoP ]],WWWW[[#This Row],['#_of_affected_women_and_girls_receiving_a_sufficient_quantity_of_sanitary_pads]])</f>
        <v>1745</v>
      </c>
      <c r="CK29" s="402">
        <f>IF(WWWW[[#This Row],['# People with access to soap]]&gt;WWWW[[#This Row],['# People with access to Sanity Pads]],WWWW[[#This Row],['# People with access to soap]],WWWW[[#This Row],['# People with access to Sanity Pads]])</f>
        <v>6016</v>
      </c>
      <c r="CL29" s="402">
        <f>IF(WWWW[[#This Row],['# people reached by regular dedicated hygiene promotion_5]]&gt;WWWW[[#This Row],['# People received regular supply of hygiene items_6]],WWWW[[#This Row],['# people reached by regular dedicated hygiene promotion_5]],WWWW[[#This Row],['# People received regular supply of hygiene items_6]])</f>
        <v>6016</v>
      </c>
      <c r="CM29" s="405">
        <f>IF(WWWW[[#This Row],[HRP3]]/WWWW[[#This Row],[Total PoP ]]&gt;100%,100%,WWWW[[#This Row],[HRP3]]/WWWW[[#This Row],[Total PoP ]])</f>
        <v>1</v>
      </c>
      <c r="CN29" s="404">
        <f>1-WWWW[[#This Row],[Hygiene Coverage%]]</f>
        <v>0</v>
      </c>
      <c r="CO29" s="403">
        <f>WWWW[[#This Row],['# people reached by regular dedicated hygiene promotion_5]]/WWWW[[#This Row],[Total PoP ]]</f>
        <v>0.19647606382978725</v>
      </c>
      <c r="CP29" s="403">
        <f>IF(WWWW[[#This Row],['#_of_affected_households_receiving_a_sufficient_quantity_of_soap]]/WWWW[[#This Row],[Total HH]]&gt;1,1,WWWW[[#This Row],['#_of_affected_households_receiving_a_sufficient_quantity_of_soap]]/WWWW[[#This Row],[Total HH]])</f>
        <v>1</v>
      </c>
      <c r="CQ29" s="400" t="str">
        <f>IF(WWWW[[#This Row],['#_students at TLS_CFS]]="","No","Yes")</f>
        <v>Yes</v>
      </c>
      <c r="CR29" s="403">
        <f>WWWW[[#This Row],['#_of_affected_people_surveyed_who_report_feeling_informed_about_the_different_WASH_services_available_to_them]]/WWWW[[#This Row],[Total PoP ]]</f>
        <v>1.6123670212765957E-2</v>
      </c>
      <c r="CS29" s="398" t="str">
        <f>VLOOKUP(WWWW[[#This Row],[Site Name]],SiteDB6[[Site Name]:[CCCM Management]],6,FALSE)</f>
        <v>Yes</v>
      </c>
      <c r="CT29" s="398">
        <f>VLOOKUP(WWWW[[#This Row],[Site Name]],SiteDB6[[Site Name]:[CCCM Focal Agency]],7,FALSE)</f>
        <v>0</v>
      </c>
      <c r="CU29" s="398" t="str">
        <f>VLOOKUP(WWWW[[#This Row],[Site Name]],SiteDB6[[Site Name]:[Location Type 1]],9,FALSE)</f>
        <v>Camp</v>
      </c>
      <c r="CV29" s="398" t="str">
        <f>VLOOKUP(WWWW[[#This Row],[Site Name]],SiteDB6[[Site Name]:[Type of Accommodation]],10,FALSE)</f>
        <v>Self Settled Camp</v>
      </c>
      <c r="CW29" s="398" t="str">
        <f>VLOOKUP(WWWW[[#This Row],[Site Name]],SiteDB6[[Site Name]:[Ethnic or GCA/NGCA]],11,FALSE)</f>
        <v>Muslim</v>
      </c>
      <c r="CX29" s="398">
        <f>VLOOKUP(WWWW[[#This Row],[Site Name]],SiteDB6[[Site Name]:[Lat]],12,FALSE)</f>
        <v>20.1585</v>
      </c>
      <c r="CY29" s="398">
        <f>VLOOKUP(WWWW[[#This Row],[Site Name]],SiteDB6[[Site Name]:[Long]],13,FALSE)</f>
        <v>92.839416999999997</v>
      </c>
      <c r="CZ29" s="398" t="str">
        <f>VLOOKUP(WWWW[[#This Row],[Site Name]],SiteDB6[[Site Name]:[Pcode]],3,FALSE)</f>
        <v>MMR012CMP046</v>
      </c>
      <c r="DA29" s="406" t="str">
        <f t="shared" si="0"/>
        <v>Covered</v>
      </c>
      <c r="DB29" s="406">
        <f>VLOOKUP(WWWW[[#This Row],[Site Name]],SiteDB6[[Site Name]:[PWD_Total]],22,FALSE)</f>
        <v>283</v>
      </c>
      <c r="DC29" s="406">
        <f>VLOOKUP(WWWW[[#This Row],[Site Name]],SiteDB6[[Site Name]:[PWD_Total]],23,FALSE)</f>
        <v>715</v>
      </c>
      <c r="DD29" s="406">
        <f>VLOOKUP(WWWW[[#This Row],[Site Name]],SiteDB6[[Site Name]:[PWD_Total]],24,FALSE)</f>
        <v>998</v>
      </c>
      <c r="DE29" s="406"/>
      <c r="DF29" s="830"/>
      <c r="DG29" s="830"/>
      <c r="DH29" s="830"/>
      <c r="DJ29" s="37"/>
      <c r="DK29" s="37"/>
      <c r="DL29" s="38"/>
      <c r="DM29" s="38"/>
      <c r="DU29" s="20"/>
      <c r="DV29" s="20"/>
    </row>
    <row r="30" spans="1:126" hidden="1">
      <c r="A30" s="393" t="s">
        <v>2387</v>
      </c>
      <c r="B30" s="450" t="s">
        <v>2307</v>
      </c>
      <c r="C30" s="450" t="s">
        <v>2307</v>
      </c>
      <c r="D30" s="450" t="s">
        <v>41</v>
      </c>
      <c r="E30" s="532" t="s">
        <v>2706</v>
      </c>
      <c r="F30" s="399" t="s">
        <v>299</v>
      </c>
      <c r="G30" s="532" t="str">
        <f>VLOOKUP(WWWW[[#This Row],[Site Name]],SiteDB6[[Site Name]:[Location Type]],8,FALSE)</f>
        <v>Camp</v>
      </c>
      <c r="H30" s="399" t="s">
        <v>430</v>
      </c>
      <c r="I30" s="401">
        <v>1013</v>
      </c>
      <c r="J30" s="401">
        <v>5950</v>
      </c>
      <c r="K30" s="407"/>
      <c r="L30" s="408">
        <v>44104</v>
      </c>
      <c r="M30" s="589">
        <v>1558</v>
      </c>
      <c r="N30" s="589">
        <v>49</v>
      </c>
      <c r="O30" s="589">
        <v>115</v>
      </c>
      <c r="P30" s="589">
        <v>0</v>
      </c>
      <c r="Q30" s="542" t="s">
        <v>130</v>
      </c>
      <c r="R30" s="589">
        <v>9</v>
      </c>
      <c r="S30" s="589">
        <v>10</v>
      </c>
      <c r="T30" s="589">
        <v>53</v>
      </c>
      <c r="U30" s="589">
        <v>67</v>
      </c>
      <c r="V30" s="401"/>
      <c r="W30" s="401"/>
      <c r="X30" s="401"/>
      <c r="Y30" s="401"/>
      <c r="Z30" s="401"/>
      <c r="AA30" s="401"/>
      <c r="AB30" s="401"/>
      <c r="AC30" s="401"/>
      <c r="AD30" s="401">
        <v>6</v>
      </c>
      <c r="AE30" s="634"/>
      <c r="AF30" s="589">
        <v>210</v>
      </c>
      <c r="AG30" s="589">
        <v>360</v>
      </c>
      <c r="AH30" s="589">
        <v>13</v>
      </c>
      <c r="AI30" s="534">
        <v>0.17</v>
      </c>
      <c r="AJ30" s="589">
        <v>253</v>
      </c>
      <c r="AK30" s="534">
        <v>0.93</v>
      </c>
      <c r="AL30" s="534">
        <v>0.04</v>
      </c>
      <c r="AM30" s="534">
        <v>0.74</v>
      </c>
      <c r="AN30" s="534">
        <v>0.74</v>
      </c>
      <c r="AO30" s="401">
        <v>4</v>
      </c>
      <c r="AP30" s="401"/>
      <c r="AQ30" s="401">
        <v>15</v>
      </c>
      <c r="AR30" s="589" t="s">
        <v>42</v>
      </c>
      <c r="AS30" s="647"/>
      <c r="AT30" s="589">
        <v>472</v>
      </c>
      <c r="AU30" s="589">
        <v>1850</v>
      </c>
      <c r="AV30" s="589">
        <v>570</v>
      </c>
      <c r="AW30" s="589">
        <v>1367</v>
      </c>
      <c r="AX30" s="589">
        <v>1013</v>
      </c>
      <c r="AY30" s="589"/>
      <c r="AZ30" s="401"/>
      <c r="BA30" s="401"/>
      <c r="BB30" s="401"/>
      <c r="BC30" s="403">
        <v>0.53</v>
      </c>
      <c r="BD30" s="647"/>
      <c r="BE30" s="403"/>
      <c r="BF30" s="403"/>
      <c r="BG30" s="401"/>
      <c r="BH30" s="403"/>
      <c r="BI30" s="403" t="e">
        <f>WWWW[[#This Row],[Cases of Acute watery diarrhea]]/WWWW[[#This Row],[Total consultations]]</f>
        <v>#DIV/0!</v>
      </c>
      <c r="BJ30" s="398"/>
      <c r="BK30" s="647"/>
      <c r="BL30" s="647"/>
      <c r="BM30" s="404" t="str">
        <f>IFERROR(WWWW[[#This Row],['#_Water samples _passed_at_water source]]/WWWW[[#This Row],['#_Water samples_Tested_at_water_source]],"no test")</f>
        <v>no test</v>
      </c>
      <c r="BN30" s="403" t="str">
        <f>IFERROR(WWWW[[#This Row],['#_Water samples _passed_at_HH]]/WWWW[[#This Row],['#_Water samples_Tested_at_HH]],"no test")</f>
        <v>no test</v>
      </c>
      <c r="BO30" s="402" t="str">
        <f>IF(AND(WWWW[[#This Row],[%of Water samples which passed at water source]]="no test",WWWW[[#This Row],[%Water samples which passed at HH]]="no test"),"No Test","Tested")</f>
        <v>No Test</v>
      </c>
      <c r="BP30" s="404">
        <f>IF(WWWW[[#This Row],[Total PoP ]]="","",IF(((WWWW[[#This Row],['#_Functional_improved_water_source]]*500)+(WWWW[[#This Row],['#_litres_of_water_supplied_by_existing_water_boating/trucking ]]/90/15)+(WWWW[[#This Row],['#_Functional_water_point_at_TLS/CFS]]*500))/WWWW[[#This Row],[Total PoP ]]&gt;1,1,((WWWW[[#This Row],['#_Functional_improved_water_source]]*500)+(WWWW[[#This Row],['#_litres_of_water_supplied_by_existing_water_boating/trucking ]]/90/15)+(WWWW[[#This Row],['#_Functional_water_point_at_TLS/CFS]]*500))/WWWW[[#This Row],[Total PoP ]]))</f>
        <v>1</v>
      </c>
      <c r="BQ30" s="400">
        <f>WWWW[[#This Row],[Access to safe/improved water through improved water sources]]*WWWW[[#This Row],[Total PoP ]]</f>
        <v>5950</v>
      </c>
      <c r="BR30" s="403">
        <f>IF((WWWW[[#This Row],['#_litres_of_water_stored_in_ponds]]/90/15)/WWWW[[#This Row],[Total PoP ]]&gt;1,1,(WWWW[[#This Row],['#_litres_of_water_stored_in_ponds]]/90/15)/WWWW[[#This Row],[Total PoP ]])</f>
        <v>0</v>
      </c>
      <c r="BS30" s="400">
        <f>WWWW[[#This Row],[% Access to unimproved water points]]*WWWW[[#This Row],[Total PoP ]]</f>
        <v>0</v>
      </c>
      <c r="BT30" s="403">
        <f>IF(WWWW[[#This Row],[Access to safe/improved water through improved water sources]]+WWWW[[#This Row],[% Access to unimproved water points]]&gt;1,1,WWWW[[#This Row],[Access to safe/improved water through improved water sources]]+WWWW[[#This Row],[% Access to unimproved water points]])</f>
        <v>1</v>
      </c>
      <c r="BU30" s="400">
        <f>IF(WWWW[[#This Row],['# people with equitable and continuous access to sufficient quantity of safe drinking water]]+WWWW[[#This Row],['#People access to unimproved water sources]]&gt;WWWW[[#This Row],[Total PoP ]],WWWW[[#This Row],[Total PoP ]],WWWW[[#This Row],['# people with equitable and continuous access to sufficient quantity of safe drinking water]]+WWWW[[#This Row],['#People access to unimproved water sources]])</f>
        <v>5950</v>
      </c>
      <c r="BV30" s="400">
        <f>WWWW[[#This Row],[HRP1]]/500</f>
        <v>11.9</v>
      </c>
      <c r="BW30" s="405">
        <f>1-WWWW[[#This Row],[% HRP1]]</f>
        <v>0</v>
      </c>
      <c r="BX30" s="400">
        <f>WWWW[[#This Row],[%equitable and continuous access to sufficient quantity of safe drinking and domestic water''s GAP]]*WWWW[[#This Row],[Total PoP ]]</f>
        <v>0</v>
      </c>
      <c r="BY30" s="402">
        <f>ROUND(IF(WWWW[[#This Row],[Total PoP ]]&lt;500,1,WWWW[[#This Row],[Total PoP ]]/500),0)</f>
        <v>12</v>
      </c>
      <c r="BZ30" s="402">
        <f>IF(WWWW[[#This Row],[Total required water points]]-WWWW[[#This Row],['#Water points coverage]]&lt;0,0,WWWW[[#This Row],[Total required water points]]-WWWW[[#This Row],['#Water points coverage]])</f>
        <v>9.9999999999999645E-2</v>
      </c>
      <c r="CA30" s="403">
        <f>WWWW[[#This Row],[HRP2]]/WWWW[[#This Row],[Total PoP ]]</f>
        <v>0.8453781512605042</v>
      </c>
      <c r="CB30" s="400">
        <f>IF(WWWW[[#This Row],[Total PoP ]]="",0,IF(((WWWW[[#This Row],['#_Functional_adult_latrines]]*20)+(WWWW[[#This Row],['#_of_functional_children_latrines]]*20)+WWWW[[#This Row],['#_of_PWD_with_adapted_sanitation_option]]+(WWWW[[#This Row],['#_of_latrines_in_TLS/CFS]]*50))&gt;WWWW[[#This Row],[Total PoP ]],WWWW[[#This Row],[Total PoP ]],((WWWW[[#This Row],['#_Functional_adult_latrines]]*20)+(WWWW[[#This Row],['#_of_functional_children_latrines]]*20)+WWWW[[#This Row],['#_of_PWD_with_adapted_sanitation_option]]+(WWWW[[#This Row],['#_of_latrines_in_TLS/CFS]]*50))))</f>
        <v>5030</v>
      </c>
      <c r="CC30" s="402">
        <f>IF(WWWW[[#This Row],['#_of_latrines_in_TLS/CFS]]*50&gt;WWWW[[#This Row],['#_students at TLS_CFS]],WWWW[[#This Row],['#_students at TLS_CFS]],WWWW[[#This Row],['#_of_latrines_in_TLS/CFS]]*50)</f>
        <v>750</v>
      </c>
      <c r="CD30" s="402">
        <f>ROUND(IF(WWWW[[#This Row],[Location Type 1]]="camp",WWWW[[#This Row],[Total PoP ]]/20),0)</f>
        <v>298</v>
      </c>
      <c r="CE30" s="402">
        <f>IF(WWWW[[#This Row],[Total required Latrines]]-WWWW[[#This Row],['#_Existing_latrines]]&lt;0,0,WWWW[[#This Row],[Total required Latrines]]-WWWW[[#This Row],['#_Existing_latrines]])</f>
        <v>0</v>
      </c>
      <c r="CF30" s="541">
        <f>1-WWWW[[#This Row],[% HRP2]]</f>
        <v>0.1546218487394958</v>
      </c>
      <c r="CG30" s="404">
        <f>IF(WWWW[[#This Row],['#_Existing_latrines]]="","NA",(WWWW[[#This Row],['#_Existing_latrines]]-WWWW[[#This Row],['#_Functional_adult_latrines]])/WWWW[[#This Row],['#_Existing_latrines]])</f>
        <v>0.41666666666666669</v>
      </c>
      <c r="CH30" s="400">
        <f>IF(WWWW[[#This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Row],[_'#_of_Girls_receiving_consultation_hygiene_promotion_messages_and_sessions]]&gt;WWWW[[#This Row],[Total PoP ]],WWWW[[#This Row],[Total PoP ]],WWWW[[#This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f>
        <v>4259</v>
      </c>
      <c r="CI30" s="402">
        <f>IF(WWWW[[#This Row],['#_of_affected_households_receiving_a_sufficient_quantity_of_soap]]=0,0,IF(WWWW[[#This Row],['#_of_affected_households_receiving_a_sufficient_quantity_of_soap]]&gt;=WWWW[[#This Row],[Total HH]],WWWW[[#This Row],[Total PoP ]],IF(WWWW[[#This Row],['#_of_affected_households_receiving_a_sufficient_quantity_of_soap]]*5&gt;WWWW[[#This Row],[Total PoP ]],WWWW[[#This Row],[Total PoP ]],WWWW[[#This Row],['#_of_affected_households_receiving_a_sufficient_quantity_of_soap]]*5)))</f>
        <v>5950</v>
      </c>
      <c r="CJ30" s="402">
        <f>IF(WWWW[[#This Row],['#_of_affected_women_and_girls_receiving_a_sufficient_quantity_of_sanitary_pads]]&gt;WWWW[[#This Row],[Total PoP ]],WWWW[[#This Row],[Total PoP ]],WWWW[[#This Row],['#_of_affected_women_and_girls_receiving_a_sufficient_quantity_of_sanitary_pads]])</f>
        <v>0</v>
      </c>
      <c r="CK30" s="402">
        <f>IF(WWWW[[#This Row],['# People with access to soap]]&gt;WWWW[[#This Row],['# People with access to Sanity Pads]],WWWW[[#This Row],['# People with access to soap]],WWWW[[#This Row],['# People with access to Sanity Pads]])</f>
        <v>5950</v>
      </c>
      <c r="CL30" s="402">
        <f>IF(WWWW[[#This Row],['# people reached by regular dedicated hygiene promotion_5]]&gt;WWWW[[#This Row],['# People received regular supply of hygiene items_6]],WWWW[[#This Row],['# people reached by regular dedicated hygiene promotion_5]],WWWW[[#This Row],['# People received regular supply of hygiene items_6]])</f>
        <v>5950</v>
      </c>
      <c r="CM30" s="405">
        <f>IF(WWWW[[#This Row],[HRP3]]/WWWW[[#This Row],[Total PoP ]]&gt;100%,100%,WWWW[[#This Row],[HRP3]]/WWWW[[#This Row],[Total PoP ]])</f>
        <v>1</v>
      </c>
      <c r="CN30" s="404">
        <f>1-WWWW[[#This Row],[Hygiene Coverage%]]</f>
        <v>0</v>
      </c>
      <c r="CO30" s="403">
        <f>WWWW[[#This Row],['# people reached by regular dedicated hygiene promotion_5]]/WWWW[[#This Row],[Total PoP ]]</f>
        <v>0.71579831932773108</v>
      </c>
      <c r="CP30" s="403">
        <f>IF(WWWW[[#This Row],['#_of_affected_households_receiving_a_sufficient_quantity_of_soap]]/WWWW[[#This Row],[Total HH]]&gt;1,1,WWWW[[#This Row],['#_of_affected_households_receiving_a_sufficient_quantity_of_soap]]/WWWW[[#This Row],[Total HH]])</f>
        <v>1</v>
      </c>
      <c r="CQ30" s="400" t="str">
        <f>IF(WWWW[[#This Row],['#_students at TLS_CFS]]="","No","Yes")</f>
        <v>Yes</v>
      </c>
      <c r="CR30" s="403"/>
      <c r="CS30" s="398" t="str">
        <f>VLOOKUP(WWWW[[#This Row],[Site Name]],SiteDB6[[Site Name]:[CCCM Management]],6,FALSE)</f>
        <v>Yes</v>
      </c>
      <c r="CT30" s="398">
        <f>VLOOKUP(WWWW[[#This Row],[Site Name]],SiteDB6[[Site Name]:[CCCM Focal Agency]],7,FALSE)</f>
        <v>0</v>
      </c>
      <c r="CU30" s="398" t="str">
        <f>VLOOKUP(WWWW[[#This Row],[Site Name]],SiteDB6[[Site Name]:[Location Type 1]],9,FALSE)</f>
        <v>Camp</v>
      </c>
      <c r="CV30" s="398" t="str">
        <f>VLOOKUP(WWWW[[#This Row],[Site Name]],SiteDB6[[Site Name]:[Type of Accommodation]],10,FALSE)</f>
        <v>Planned Camp</v>
      </c>
      <c r="CW30" s="398" t="str">
        <f>VLOOKUP(WWWW[[#This Row],[Site Name]],SiteDB6[[Site Name]:[Ethnic or GCA/NGCA]],11,FALSE)</f>
        <v>Muslim</v>
      </c>
      <c r="CX30" s="398">
        <f>VLOOKUP(WWWW[[#This Row],[Site Name]],SiteDB6[[Site Name]:[Lat]],12,FALSE)</f>
        <v>20.179939999999998</v>
      </c>
      <c r="CY30" s="398">
        <f>VLOOKUP(WWWW[[#This Row],[Site Name]],SiteDB6[[Site Name]:[Long]],13,FALSE)</f>
        <v>92.831879000000001</v>
      </c>
      <c r="CZ30" s="398" t="str">
        <f>VLOOKUP(WWWW[[#This Row],[Site Name]],SiteDB6[[Site Name]:[Pcode]],3,FALSE)</f>
        <v>MMR012CMP048</v>
      </c>
      <c r="DA30" s="406" t="str">
        <f t="shared" si="0"/>
        <v>Covered</v>
      </c>
      <c r="DB30" s="406">
        <f>VLOOKUP(WWWW[[#This Row],[Site Name]],SiteDB6[[Site Name]:[PWD_Total]],22,FALSE)</f>
        <v>111</v>
      </c>
      <c r="DC30" s="406">
        <f>VLOOKUP(WWWW[[#This Row],[Site Name]],SiteDB6[[Site Name]:[PWD_Total]],23,FALSE)</f>
        <v>853</v>
      </c>
      <c r="DD30" s="406">
        <f>VLOOKUP(WWWW[[#This Row],[Site Name]],SiteDB6[[Site Name]:[PWD_Total]],24,FALSE)</f>
        <v>964</v>
      </c>
      <c r="DE30" s="406"/>
      <c r="DF30" s="830"/>
      <c r="DG30" s="830"/>
      <c r="DH30" s="830"/>
      <c r="DJ30" s="37"/>
      <c r="DK30" s="37"/>
      <c r="DL30" s="38"/>
      <c r="DM30" s="38"/>
      <c r="DU30" s="20"/>
      <c r="DV30" s="20"/>
    </row>
    <row r="31" spans="1:126" hidden="1">
      <c r="A31" s="393" t="s">
        <v>2387</v>
      </c>
      <c r="B31" s="393" t="s">
        <v>2702</v>
      </c>
      <c r="C31" s="399" t="s">
        <v>2307</v>
      </c>
      <c r="D31" s="399" t="s">
        <v>41</v>
      </c>
      <c r="E31" s="532" t="s">
        <v>2706</v>
      </c>
      <c r="F31" s="399" t="s">
        <v>299</v>
      </c>
      <c r="G31" s="532" t="str">
        <f>VLOOKUP(WWWW[[#This Row],[Site Name]],SiteDB6[[Site Name]:[Location Type]],8,FALSE)</f>
        <v>Camp</v>
      </c>
      <c r="H31" s="399" t="s">
        <v>432</v>
      </c>
      <c r="I31" s="401">
        <v>299</v>
      </c>
      <c r="J31" s="401">
        <v>1670</v>
      </c>
      <c r="K31" s="407"/>
      <c r="L31" s="408">
        <v>44104</v>
      </c>
      <c r="M31" s="589">
        <v>870</v>
      </c>
      <c r="N31" s="401"/>
      <c r="O31" s="401"/>
      <c r="P31" s="401" t="s">
        <v>2675</v>
      </c>
      <c r="Q31" s="400"/>
      <c r="R31" s="589">
        <v>2</v>
      </c>
      <c r="S31" s="589">
        <v>7</v>
      </c>
      <c r="T31" s="401"/>
      <c r="U31" s="401"/>
      <c r="V31" s="401"/>
      <c r="W31" s="401"/>
      <c r="X31" s="589">
        <v>24</v>
      </c>
      <c r="Y31" s="589">
        <v>22</v>
      </c>
      <c r="Z31" s="589">
        <v>11</v>
      </c>
      <c r="AA31" s="589">
        <v>8</v>
      </c>
      <c r="AB31" s="401"/>
      <c r="AC31" s="401"/>
      <c r="AD31" s="401">
        <v>6</v>
      </c>
      <c r="AE31" s="634"/>
      <c r="AF31" s="401"/>
      <c r="AG31" s="401"/>
      <c r="AH31" s="401"/>
      <c r="AI31" s="403"/>
      <c r="AJ31" s="401"/>
      <c r="AK31" s="403"/>
      <c r="AL31" s="403"/>
      <c r="AM31" s="403"/>
      <c r="AN31" s="403"/>
      <c r="AO31" s="401"/>
      <c r="AP31" s="401"/>
      <c r="AQ31" s="401">
        <v>16</v>
      </c>
      <c r="AR31" s="589" t="s">
        <v>130</v>
      </c>
      <c r="AS31" s="647"/>
      <c r="AT31" s="589">
        <v>51</v>
      </c>
      <c r="AU31" s="589">
        <v>674</v>
      </c>
      <c r="AV31" s="589">
        <v>864</v>
      </c>
      <c r="AW31" s="589">
        <v>1200</v>
      </c>
      <c r="AX31" s="589">
        <v>299</v>
      </c>
      <c r="AY31" s="589"/>
      <c r="AZ31" s="401"/>
      <c r="BA31" s="401"/>
      <c r="BB31" s="401"/>
      <c r="BC31" s="403">
        <v>0.5</v>
      </c>
      <c r="BD31" s="647"/>
      <c r="BE31" s="403"/>
      <c r="BF31" s="403"/>
      <c r="BG31" s="401"/>
      <c r="BH31" s="403"/>
      <c r="BI31" s="403" t="e">
        <f>WWWW[[#This Row],[Cases of Acute watery diarrhea]]/WWWW[[#This Row],[Total consultations]]</f>
        <v>#DIV/0!</v>
      </c>
      <c r="BJ31" s="398"/>
      <c r="BK31" s="647"/>
      <c r="BL31" s="647"/>
      <c r="BM31" s="404">
        <f>IFERROR(WWWW[[#This Row],['#_Water samples _passed_at_water source]]/WWWW[[#This Row],['#_Water samples_Tested_at_water_source]],"no test")</f>
        <v>0.91666666666666663</v>
      </c>
      <c r="BN31" s="403">
        <f>IFERROR(WWWW[[#This Row],['#_Water samples _passed_at_HH]]/WWWW[[#This Row],['#_Water samples_Tested_at_HH]],"no test")</f>
        <v>0.72727272727272729</v>
      </c>
      <c r="BO31" s="402" t="str">
        <f>IF(AND(WWWW[[#This Row],[%of Water samples which passed at water source]]="no test",WWWW[[#This Row],[%Water samples which passed at HH]]="no test"),"No Test","Tested")</f>
        <v>Tested</v>
      </c>
      <c r="BP31" s="404">
        <f>IF(WWWW[[#This Row],[Total PoP ]]="","",IF(((WWWW[[#This Row],['#_Functional_improved_water_source]]*500)+(WWWW[[#This Row],['#_litres_of_water_supplied_by_existing_water_boating/trucking ]]/90/15)+(WWWW[[#This Row],['#_Functional_water_point_at_TLS/CFS]]*500))/WWWW[[#This Row],[Total PoP ]]&gt;1,1,((WWWW[[#This Row],['#_Functional_improved_water_source]]*500)+(WWWW[[#This Row],['#_litres_of_water_supplied_by_existing_water_boating/trucking ]]/90/15)+(WWWW[[#This Row],['#_Functional_water_point_at_TLS/CFS]]*500))/WWWW[[#This Row],[Total PoP ]]))</f>
        <v>1</v>
      </c>
      <c r="BQ31" s="400">
        <f>WWWW[[#This Row],[Access to safe/improved water through improved water sources]]*WWWW[[#This Row],[Total PoP ]]</f>
        <v>1670</v>
      </c>
      <c r="BR31" s="403">
        <f>IF((WWWW[[#This Row],['#_litres_of_water_stored_in_ponds]]/90/15)/WWWW[[#This Row],[Total PoP ]]&gt;1,1,(WWWW[[#This Row],['#_litres_of_water_stored_in_ponds]]/90/15)/WWWW[[#This Row],[Total PoP ]])</f>
        <v>0</v>
      </c>
      <c r="BS31" s="400">
        <f>WWWW[[#This Row],[% Access to unimproved water points]]*WWWW[[#This Row],[Total PoP ]]</f>
        <v>0</v>
      </c>
      <c r="BT31" s="403">
        <f>IF(WWWW[[#This Row],[Access to safe/improved water through improved water sources]]+WWWW[[#This Row],[% Access to unimproved water points]]&gt;1,1,WWWW[[#This Row],[Access to safe/improved water through improved water sources]]+WWWW[[#This Row],[% Access to unimproved water points]])</f>
        <v>1</v>
      </c>
      <c r="BU31" s="400">
        <f>IF(WWWW[[#This Row],['# people with equitable and continuous access to sufficient quantity of safe drinking water]]+WWWW[[#This Row],['#People access to unimproved water sources]]&gt;WWWW[[#This Row],[Total PoP ]],WWWW[[#This Row],[Total PoP ]],WWWW[[#This Row],['# people with equitable and continuous access to sufficient quantity of safe drinking water]]+WWWW[[#This Row],['#People access to unimproved water sources]])</f>
        <v>1670</v>
      </c>
      <c r="BV31" s="400">
        <f>WWWW[[#This Row],[HRP1]]/500</f>
        <v>3.34</v>
      </c>
      <c r="BW31" s="405">
        <f>1-WWWW[[#This Row],[% HRP1]]</f>
        <v>0</v>
      </c>
      <c r="BX31" s="400">
        <f>WWWW[[#This Row],[%equitable and continuous access to sufficient quantity of safe drinking and domestic water''s GAP]]*WWWW[[#This Row],[Total PoP ]]</f>
        <v>0</v>
      </c>
      <c r="BY31" s="402">
        <f>ROUND(IF(WWWW[[#This Row],[Total PoP ]]&lt;500,1,WWWW[[#This Row],[Total PoP ]]/500),0)</f>
        <v>3</v>
      </c>
      <c r="BZ31" s="402">
        <f>IF(WWWW[[#This Row],[Total required water points]]-WWWW[[#This Row],['#Water points coverage]]&lt;0,0,WWWW[[#This Row],[Total required water points]]-WWWW[[#This Row],['#Water points coverage]])</f>
        <v>0</v>
      </c>
      <c r="CA31" s="403">
        <f>WWWW[[#This Row],[HRP2]]/WWWW[[#This Row],[Total PoP ]]</f>
        <v>0.47904191616766467</v>
      </c>
      <c r="CB31" s="400">
        <f>IF(WWWW[[#This Row],[Total PoP ]]="",0,IF(((WWWW[[#This Row],['#_Functional_adult_latrines]]*20)+(WWWW[[#This Row],['#_of_functional_children_latrines]]*20)+WWWW[[#This Row],['#_of_PWD_with_adapted_sanitation_option]]+(WWWW[[#This Row],['#_of_latrines_in_TLS/CFS]]*50))&gt;WWWW[[#This Row],[Total PoP ]],WWWW[[#This Row],[Total PoP ]],((WWWW[[#This Row],['#_Functional_adult_latrines]]*20)+(WWWW[[#This Row],['#_of_functional_children_latrines]]*20)+WWWW[[#This Row],['#_of_PWD_with_adapted_sanitation_option]]+(WWWW[[#This Row],['#_of_latrines_in_TLS/CFS]]*50))))</f>
        <v>800</v>
      </c>
      <c r="CC31" s="402">
        <f>IF(WWWW[[#This Row],['#_of_latrines_in_TLS/CFS]]*50&gt;WWWW[[#This Row],['#_students at TLS_CFS]],WWWW[[#This Row],['#_students at TLS_CFS]],WWWW[[#This Row],['#_of_latrines_in_TLS/CFS]]*50)</f>
        <v>800</v>
      </c>
      <c r="CD31" s="402">
        <f>ROUND(IF(WWWW[[#This Row],[Location Type 1]]="camp",WWWW[[#This Row],[Total PoP ]]/20),0)</f>
        <v>84</v>
      </c>
      <c r="CE31" s="402">
        <f>IF(WWWW[[#This Row],[Total required Latrines]]-WWWW[[#This Row],['#_Existing_latrines]]&lt;0,0,WWWW[[#This Row],[Total required Latrines]]-WWWW[[#This Row],['#_Existing_latrines]])</f>
        <v>84</v>
      </c>
      <c r="CF31" s="71">
        <f>1-WWWW[[#This Row],[% HRP2]]</f>
        <v>0.52095808383233533</v>
      </c>
      <c r="CG31" s="404" t="str">
        <f>IF(WWWW[[#This Row],['#_Existing_latrines]]="","NA",(WWWW[[#This Row],['#_Existing_latrines]]-WWWW[[#This Row],['#_Functional_adult_latrines]])/WWWW[[#This Row],['#_Existing_latrines]])</f>
        <v>NA</v>
      </c>
      <c r="CH31" s="400">
        <f>IF(WWWW[[#This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Row],[_'#_of_Girls_receiving_consultation_hygiene_promotion_messages_and_sessions]]&gt;WWWW[[#This Row],[Total PoP ]],WWWW[[#This Row],[Total PoP ]],WWWW[[#This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f>
        <v>1670</v>
      </c>
      <c r="CI31" s="402">
        <f>IF(WWWW[[#This Row],['#_of_affected_households_receiving_a_sufficient_quantity_of_soap]]=0,0,IF(WWWW[[#This Row],['#_of_affected_households_receiving_a_sufficient_quantity_of_soap]]&gt;=WWWW[[#This Row],[Total HH]],WWWW[[#This Row],[Total PoP ]],IF(WWWW[[#This Row],['#_of_affected_households_receiving_a_sufficient_quantity_of_soap]]*5&gt;WWWW[[#This Row],[Total PoP ]],WWWW[[#This Row],[Total PoP ]],WWWW[[#This Row],['#_of_affected_households_receiving_a_sufficient_quantity_of_soap]]*5)))</f>
        <v>1670</v>
      </c>
      <c r="CJ31" s="402">
        <f>IF(WWWW[[#This Row],['#_of_affected_women_and_girls_receiving_a_sufficient_quantity_of_sanitary_pads]]&gt;WWWW[[#This Row],[Total PoP ]],WWWW[[#This Row],[Total PoP ]],WWWW[[#This Row],['#_of_affected_women_and_girls_receiving_a_sufficient_quantity_of_sanitary_pads]])</f>
        <v>0</v>
      </c>
      <c r="CK31" s="402">
        <f>IF(WWWW[[#This Row],['# People with access to soap]]&gt;WWWW[[#This Row],['# People with access to Sanity Pads]],WWWW[[#This Row],['# People with access to soap]],WWWW[[#This Row],['# People with access to Sanity Pads]])</f>
        <v>1670</v>
      </c>
      <c r="CL31" s="402">
        <f>IF(WWWW[[#This Row],['# people reached by regular dedicated hygiene promotion_5]]&gt;WWWW[[#This Row],['# People received regular supply of hygiene items_6]],WWWW[[#This Row],['# people reached by regular dedicated hygiene promotion_5]],WWWW[[#This Row],['# People received regular supply of hygiene items_6]])</f>
        <v>1670</v>
      </c>
      <c r="CM31" s="405">
        <f>IF(WWWW[[#This Row],[HRP3]]/WWWW[[#This Row],[Total PoP ]]&gt;100%,100%,WWWW[[#This Row],[HRP3]]/WWWW[[#This Row],[Total PoP ]])</f>
        <v>1</v>
      </c>
      <c r="CN31" s="404">
        <f>1-WWWW[[#This Row],[Hygiene Coverage%]]</f>
        <v>0</v>
      </c>
      <c r="CO31" s="403">
        <f>WWWW[[#This Row],['# people reached by regular dedicated hygiene promotion_5]]/WWWW[[#This Row],[Total PoP ]]</f>
        <v>1</v>
      </c>
      <c r="CP31" s="403">
        <f>IF(WWWW[[#This Row],['#_of_affected_households_receiving_a_sufficient_quantity_of_soap]]/WWWW[[#This Row],[Total HH]]&gt;1,1,WWWW[[#This Row],['#_of_affected_households_receiving_a_sufficient_quantity_of_soap]]/WWWW[[#This Row],[Total HH]])</f>
        <v>1</v>
      </c>
      <c r="CQ31" s="400" t="str">
        <f>IF(WWWW[[#This Row],['#_students at TLS_CFS]]="","No","Yes")</f>
        <v>Yes</v>
      </c>
      <c r="CR31" s="403"/>
      <c r="CS31" s="398" t="str">
        <f>VLOOKUP(WWWW[[#This Row],[Site Name]],SiteDB6[[Site Name]:[CCCM Management]],6,FALSE)</f>
        <v>Yes</v>
      </c>
      <c r="CT31" s="398">
        <f>VLOOKUP(WWWW[[#This Row],[Site Name]],SiteDB6[[Site Name]:[CCCM Focal Agency]],7,FALSE)</f>
        <v>0</v>
      </c>
      <c r="CU31" s="398" t="str">
        <f>VLOOKUP(WWWW[[#This Row],[Site Name]],SiteDB6[[Site Name]:[Location Type 1]],9,FALSE)</f>
        <v>Camp</v>
      </c>
      <c r="CV31" s="398" t="str">
        <f>VLOOKUP(WWWW[[#This Row],[Site Name]],SiteDB6[[Site Name]:[Type of Accommodation]],10,FALSE)</f>
        <v>Host Families</v>
      </c>
      <c r="CW31" s="398" t="str">
        <f>VLOOKUP(WWWW[[#This Row],[Site Name]],SiteDB6[[Site Name]:[Ethnic or GCA/NGCA]],11,FALSE)</f>
        <v>Muslim</v>
      </c>
      <c r="CX31" s="398">
        <f>VLOOKUP(WWWW[[#This Row],[Site Name]],SiteDB6[[Site Name]:[Lat]],12,FALSE)</f>
        <v>20.181742</v>
      </c>
      <c r="CY31" s="398">
        <f>VLOOKUP(WWWW[[#This Row],[Site Name]],SiteDB6[[Site Name]:[Long]],13,FALSE)</f>
        <v>92.842230000000001</v>
      </c>
      <c r="CZ31" s="398" t="str">
        <f>VLOOKUP(WWWW[[#This Row],[Site Name]],SiteDB6[[Site Name]:[Pcode]],3,FALSE)</f>
        <v>MMR012CMP091</v>
      </c>
      <c r="DA31" s="406" t="str">
        <f t="shared" si="0"/>
        <v>Covered</v>
      </c>
      <c r="DB31" s="406">
        <f>VLOOKUP(WWWW[[#This Row],[Site Name]],SiteDB6[[Site Name]:[PWD_Total]],22,FALSE)</f>
        <v>0</v>
      </c>
      <c r="DC31" s="406">
        <f>VLOOKUP(WWWW[[#This Row],[Site Name]],SiteDB6[[Site Name]:[PWD_Total]],23,FALSE)</f>
        <v>0</v>
      </c>
      <c r="DD31" s="406">
        <f>VLOOKUP(WWWW[[#This Row],[Site Name]],SiteDB6[[Site Name]:[PWD_Total]],24,FALSE)</f>
        <v>0</v>
      </c>
      <c r="DE31" s="406"/>
      <c r="DF31" s="830"/>
      <c r="DG31" s="830"/>
      <c r="DH31" s="830"/>
      <c r="DJ31" s="37"/>
      <c r="DK31" s="37"/>
      <c r="DL31" s="38"/>
      <c r="DM31" s="38"/>
      <c r="DU31" s="20"/>
      <c r="DV31" s="20"/>
    </row>
    <row r="32" spans="1:126" hidden="1">
      <c r="A32" s="590" t="s">
        <v>2388</v>
      </c>
      <c r="B32" s="590" t="s">
        <v>270</v>
      </c>
      <c r="C32" s="450" t="s">
        <v>270</v>
      </c>
      <c r="D32" s="450" t="s">
        <v>2293</v>
      </c>
      <c r="E32" s="532" t="s">
        <v>2706</v>
      </c>
      <c r="F32" s="450" t="s">
        <v>406</v>
      </c>
      <c r="G32" s="532" t="str">
        <f>VLOOKUP(WWWW[[#This Row],[Site Name]],SiteDB6[[Site Name]:[Location Type]],8,FALSE)</f>
        <v>Camp</v>
      </c>
      <c r="H32" s="450" t="s">
        <v>416</v>
      </c>
      <c r="I32" s="589">
        <v>1249</v>
      </c>
      <c r="J32" s="589">
        <v>4859</v>
      </c>
      <c r="K32" s="453">
        <v>43374</v>
      </c>
      <c r="L32" s="854">
        <v>44012</v>
      </c>
      <c r="M32" s="589">
        <v>965</v>
      </c>
      <c r="N32" s="589"/>
      <c r="O32" s="589"/>
      <c r="P32" s="589">
        <v>12</v>
      </c>
      <c r="Q32" s="542" t="s">
        <v>42</v>
      </c>
      <c r="R32" s="589">
        <v>13</v>
      </c>
      <c r="S32" s="589">
        <v>2</v>
      </c>
      <c r="T32" s="589">
        <v>6</v>
      </c>
      <c r="U32" s="589">
        <v>6</v>
      </c>
      <c r="V32" s="589">
        <v>0</v>
      </c>
      <c r="W32" s="589">
        <v>17293476.800000001</v>
      </c>
      <c r="X32" s="589"/>
      <c r="Y32" s="589"/>
      <c r="Z32" s="589">
        <v>4</v>
      </c>
      <c r="AA32" s="589">
        <v>1</v>
      </c>
      <c r="AB32" s="589">
        <v>1249</v>
      </c>
      <c r="AC32" s="589"/>
      <c r="AD32" s="589"/>
      <c r="AE32" s="635" t="s">
        <v>3184</v>
      </c>
      <c r="AF32" s="589">
        <v>185</v>
      </c>
      <c r="AG32" s="589">
        <v>178</v>
      </c>
      <c r="AH32" s="589"/>
      <c r="AI32" s="534"/>
      <c r="AJ32" s="589"/>
      <c r="AK32" s="534"/>
      <c r="AL32" s="534"/>
      <c r="AM32" s="534"/>
      <c r="AN32" s="534"/>
      <c r="AO32" s="589">
        <v>26</v>
      </c>
      <c r="AP32" s="589">
        <v>69</v>
      </c>
      <c r="AQ32" s="589">
        <v>12</v>
      </c>
      <c r="AR32" s="589" t="s">
        <v>42</v>
      </c>
      <c r="AS32" s="648"/>
      <c r="AT32" s="589">
        <v>923</v>
      </c>
      <c r="AU32" s="589">
        <v>1118</v>
      </c>
      <c r="AV32" s="589">
        <v>1458</v>
      </c>
      <c r="AW32" s="589">
        <v>1362</v>
      </c>
      <c r="AX32" s="589">
        <v>1249</v>
      </c>
      <c r="AY32" s="589">
        <v>3123</v>
      </c>
      <c r="AZ32" s="534"/>
      <c r="BA32" s="534">
        <v>0.87</v>
      </c>
      <c r="BB32" s="534"/>
      <c r="BC32" s="403">
        <v>1</v>
      </c>
      <c r="BD32" s="855"/>
      <c r="BE32" s="534"/>
      <c r="BF32" s="534"/>
      <c r="BG32" s="589"/>
      <c r="BH32" s="534"/>
      <c r="BI32" s="534">
        <f>WWWW[[#This Row],[Cases of Acute watery diarrhea]]/WWWW[[#This Row],[Total consultations]]</f>
        <v>0</v>
      </c>
      <c r="BJ32" s="535" t="s">
        <v>130</v>
      </c>
      <c r="BK32" s="648"/>
      <c r="BL32" s="648"/>
      <c r="BM32" s="536" t="str">
        <f>IFERROR(WWWW[[#This Row],['#_Water samples _passed_at_water source]]/WWWW[[#This Row],['#_Water samples_Tested_at_water_source]],"no test")</f>
        <v>no test</v>
      </c>
      <c r="BN32" s="534">
        <f>IFERROR(WWWW[[#This Row],['#_Water samples _passed_at_HH]]/WWWW[[#This Row],['#_Water samples_Tested_at_HH]],"no test")</f>
        <v>0.25</v>
      </c>
      <c r="BO32" s="535" t="str">
        <f>IF(AND(WWWW[[#This Row],[%of Water samples which passed at water source]]="no test",WWWW[[#This Row],[%Water samples which passed at HH]]="no test"),"No Test","Tested")</f>
        <v>Tested</v>
      </c>
      <c r="BP32" s="536">
        <f>IF(WWWW[[#This Row],[Total PoP ]]="","",IF(((WWWW[[#This Row],['#_Functional_improved_water_source]]*500)+(WWWW[[#This Row],['#_litres_of_water_supplied_by_existing_water_boating/trucking ]]/90/15)+(WWWW[[#This Row],['#_Functional_water_point_at_TLS/CFS]]*500))/WWWW[[#This Row],[Total PoP ]]&gt;1,1,((WWWW[[#This Row],['#_Functional_improved_water_source]]*500)+(WWWW[[#This Row],['#_litres_of_water_supplied_by_existing_water_boating/trucking ]]/90/15)+(WWWW[[#This Row],['#_Functional_water_point_at_TLS/CFS]]*500))/WWWW[[#This Row],[Total PoP ]]))</f>
        <v>0.61741098991562049</v>
      </c>
      <c r="BQ32" s="542">
        <f>WWWW[[#This Row],[Access to safe/improved water through improved water sources]]*WWWW[[#This Row],[Total PoP ]]</f>
        <v>3000</v>
      </c>
      <c r="BR32" s="536">
        <f>IF((WWWW[[#This Row],['#_litres_of_water_stored_in_ponds]]/90/15)/WWWW[[#This Row],[Total PoP ]]&gt;1,1,(WWWW[[#This Row],['#_litres_of_water_stored_in_ponds]]/90/15)/WWWW[[#This Row],[Total PoP ]])</f>
        <v>1</v>
      </c>
      <c r="BS32" s="542">
        <f>WWWW[[#This Row],[% Access to unimproved water points]]*WWWW[[#This Row],[Total PoP ]]</f>
        <v>4859</v>
      </c>
      <c r="BT32" s="536">
        <f>IF(WWWW[[#This Row],[Access to safe/improved water through improved water sources]]+WWWW[[#This Row],[% Access to unimproved water points]]&gt;1,1,WWWW[[#This Row],[Access to safe/improved water through improved water sources]]+WWWW[[#This Row],[% Access to unimproved water points]])</f>
        <v>1</v>
      </c>
      <c r="BU32" s="542">
        <f>IF(WWWW[[#This Row],['# people with equitable and continuous access to sufficient quantity of safe drinking water]]+WWWW[[#This Row],['#People access to unimproved water sources]]&gt;WWWW[[#This Row],[Total PoP ]],WWWW[[#This Row],[Total PoP ]],WWWW[[#This Row],['# people with equitable and continuous access to sufficient quantity of safe drinking water]]+WWWW[[#This Row],['#People access to unimproved water sources]])</f>
        <v>4859</v>
      </c>
      <c r="BV32" s="542">
        <f>WWWW[[#This Row],[HRP1]]/500</f>
        <v>9.718</v>
      </c>
      <c r="BW32" s="533">
        <f>1-WWWW[[#This Row],[% HRP1]]</f>
        <v>0</v>
      </c>
      <c r="BX32" s="542">
        <f>WWWW[[#This Row],[%equitable and continuous access to sufficient quantity of safe drinking and domestic water''s GAP]]*WWWW[[#This Row],[Total PoP ]]</f>
        <v>0</v>
      </c>
      <c r="BY32" s="535">
        <f>ROUND(IF(WWWW[[#This Row],[Total PoP ]]&lt;500,1,WWWW[[#This Row],[Total PoP ]]/500),0)</f>
        <v>10</v>
      </c>
      <c r="BZ32" s="535">
        <f>IF(WWWW[[#This Row],[Total required water points]]-WWWW[[#This Row],['#Water points coverage]]&lt;0,0,WWWW[[#This Row],[Total required water points]]-WWWW[[#This Row],['#Water points coverage]])</f>
        <v>0.28200000000000003</v>
      </c>
      <c r="CA32" s="536">
        <f>WWWW[[#This Row],[HRP2]]/WWWW[[#This Row],[Total PoP ]]</f>
        <v>1</v>
      </c>
      <c r="CB32" s="542">
        <f>IF(WWWW[[#This Row],[Total PoP ]]="",0,IF(((WWWW[[#This Row],['#_Functional_adult_latrines]]*20)+(WWWW[[#This Row],['#_of_functional_children_latrines]]*20)+WWWW[[#This Row],['#_of_PWD_with_adapted_sanitation_option]]+(WWWW[[#This Row],['#_of_latrines_in_TLS/CFS]]*50))&gt;WWWW[[#This Row],[Total PoP ]],WWWW[[#This Row],[Total PoP ]],((WWWW[[#This Row],['#_Functional_adult_latrines]]*20)+(WWWW[[#This Row],['#_of_functional_children_latrines]]*20)+WWWW[[#This Row],['#_of_PWD_with_adapted_sanitation_option]]+(WWWW[[#This Row],['#_of_latrines_in_TLS/CFS]]*50))))</f>
        <v>4859</v>
      </c>
      <c r="CC32" s="535">
        <f>IF(WWWW[[#This Row],['#_of_latrines_in_TLS/CFS]]*50&gt;WWWW[[#This Row],['#_students at TLS_CFS]],WWWW[[#This Row],['#_students at TLS_CFS]],WWWW[[#This Row],['#_of_latrines_in_TLS/CFS]]*50)</f>
        <v>600</v>
      </c>
      <c r="CD32" s="535">
        <f>ROUND(IF(WWWW[[#This Row],[Location Type 1]]="camp",WWWW[[#This Row],[Total PoP ]]/20),0)</f>
        <v>243</v>
      </c>
      <c r="CE32" s="535">
        <f>IF(WWWW[[#This Row],[Total required Latrines]]-WWWW[[#This Row],['#_Existing_latrines]]&lt;0,0,WWWW[[#This Row],[Total required Latrines]]-WWWW[[#This Row],['#_Existing_latrines]])</f>
        <v>65</v>
      </c>
      <c r="CF32" s="533">
        <f>1-WWWW[[#This Row],[% HRP2]]</f>
        <v>0</v>
      </c>
      <c r="CG32" s="536">
        <f>IF(WWWW[[#This Row],['#_Existing_latrines]]="","NA",(WWWW[[#This Row],['#_Existing_latrines]]-WWWW[[#This Row],['#_Functional_adult_latrines]])/WWWW[[#This Row],['#_Existing_latrines]])</f>
        <v>-3.9325842696629212E-2</v>
      </c>
      <c r="CH32" s="542">
        <f>IF(WWWW[[#This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Row],[_'#_of_Girls_receiving_consultation_hygiene_promotion_messages_and_sessions]]&gt;WWWW[[#This Row],[Total PoP ]],WWWW[[#This Row],[Total PoP ]],WWWW[[#This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f>
        <v>4859</v>
      </c>
      <c r="CI32" s="535">
        <f>IF(WWWW[[#This Row],['#_of_affected_households_receiving_a_sufficient_quantity_of_soap]]=0,0,IF(WWWW[[#This Row],['#_of_affected_households_receiving_a_sufficient_quantity_of_soap]]&gt;=WWWW[[#This Row],[Total HH]],WWWW[[#This Row],[Total PoP ]],IF(WWWW[[#This Row],['#_of_affected_households_receiving_a_sufficient_quantity_of_soap]]*5&gt;WWWW[[#This Row],[Total PoP ]],WWWW[[#This Row],[Total PoP ]],WWWW[[#This Row],['#_of_affected_households_receiving_a_sufficient_quantity_of_soap]]*5)))</f>
        <v>4859</v>
      </c>
      <c r="CJ32" s="535">
        <f>IF(WWWW[[#This Row],['#_of_affected_women_and_girls_receiving_a_sufficient_quantity_of_sanitary_pads]]&gt;WWWW[[#This Row],[Total PoP ]],WWWW[[#This Row],[Total PoP ]],WWWW[[#This Row],['#_of_affected_women_and_girls_receiving_a_sufficient_quantity_of_sanitary_pads]])</f>
        <v>3123</v>
      </c>
      <c r="CK32" s="535">
        <f>IF(WWWW[[#This Row],['# People with access to soap]]&gt;WWWW[[#This Row],['# People with access to Sanity Pads]],WWWW[[#This Row],['# People with access to soap]],WWWW[[#This Row],['# People with access to Sanity Pads]])</f>
        <v>4859</v>
      </c>
      <c r="CL32" s="535">
        <f>IF(WWWW[[#This Row],['# people reached by regular dedicated hygiene promotion_5]]&gt;WWWW[[#This Row],['# People received regular supply of hygiene items_6]],WWWW[[#This Row],['# people reached by regular dedicated hygiene promotion_5]],WWWW[[#This Row],['# People received regular supply of hygiene items_6]])</f>
        <v>4859</v>
      </c>
      <c r="CM32" s="533">
        <f>IF(WWWW[[#This Row],[HRP3]]/WWWW[[#This Row],[Total PoP ]]&gt;100%,100%,WWWW[[#This Row],[HRP3]]/WWWW[[#This Row],[Total PoP ]])</f>
        <v>1</v>
      </c>
      <c r="CN32" s="536">
        <f>1-WWWW[[#This Row],[Hygiene Coverage%]]</f>
        <v>0</v>
      </c>
      <c r="CO32" s="534">
        <f>WWWW[[#This Row],['# people reached by regular dedicated hygiene promotion_5]]/WWWW[[#This Row],[Total PoP ]]</f>
        <v>1</v>
      </c>
      <c r="CP32" s="536">
        <f>IF(WWWW[[#This Row],['#_of_affected_households_receiving_a_sufficient_quantity_of_soap]]/WWWW[[#This Row],[Total HH]]&gt;1,1,WWWW[[#This Row],['#_of_affected_households_receiving_a_sufficient_quantity_of_soap]]/WWWW[[#This Row],[Total HH]])</f>
        <v>1</v>
      </c>
      <c r="CQ32" s="542" t="str">
        <f>IF(WWWW[[#This Row],['#_students at TLS_CFS]]="","No","Yes")</f>
        <v>Yes</v>
      </c>
      <c r="CR32" s="534"/>
      <c r="CS32" s="537" t="str">
        <f>VLOOKUP(WWWW[[#This Row],[Site Name]],SiteDB6[[Site Name]:[CCCM Management]],6,FALSE)</f>
        <v>Yes</v>
      </c>
      <c r="CT32" s="537" t="str">
        <f>VLOOKUP(WWWW[[#This Row],[Site Name]],SiteDB6[[Site Name]:[CCCM Focal Agency]],7,FALSE)</f>
        <v>LWF</v>
      </c>
      <c r="CU32" s="537" t="str">
        <f>VLOOKUP(WWWW[[#This Row],[Site Name]],SiteDB6[[Site Name]:[Location Type 1]],9,FALSE)</f>
        <v>Camp</v>
      </c>
      <c r="CV32" s="537" t="str">
        <f>VLOOKUP(WWWW[[#This Row],[Site Name]],SiteDB6[[Site Name]:[Type of Accommodation]],10,FALSE)</f>
        <v>Planned Camp</v>
      </c>
      <c r="CW32" s="537" t="str">
        <f>VLOOKUP(WWWW[[#This Row],[Site Name]],SiteDB6[[Site Name]:[Ethnic or GCA/NGCA]],11,FALSE)</f>
        <v>Muslim</v>
      </c>
      <c r="CX32" s="537">
        <f>VLOOKUP(WWWW[[#This Row],[Site Name]],SiteDB6[[Site Name]:[Lat]],12,FALSE)</f>
        <v>20.108101999999999</v>
      </c>
      <c r="CY32" s="537">
        <f>VLOOKUP(WWWW[[#This Row],[Site Name]],SiteDB6[[Site Name]:[Long]],13,FALSE)</f>
        <v>92.985095000000001</v>
      </c>
      <c r="CZ32" s="537" t="str">
        <f>VLOOKUP(WWWW[[#This Row],[Site Name]],SiteDB6[[Site Name]:[Pcode]],3,FALSE)</f>
        <v>MMR012CMP016</v>
      </c>
      <c r="DA32" s="564" t="str">
        <f t="shared" si="0"/>
        <v>Covered</v>
      </c>
      <c r="DB32" s="564">
        <f>VLOOKUP(WWWW[[#This Row],[Site Name]],SiteDB6[[Site Name]:[PWD_Total]],22,FALSE)</f>
        <v>79</v>
      </c>
      <c r="DC32" s="564">
        <f>VLOOKUP(WWWW[[#This Row],[Site Name]],SiteDB6[[Site Name]:[PWD_Total]],23,FALSE)</f>
        <v>615</v>
      </c>
      <c r="DD32" s="564">
        <f>VLOOKUP(WWWW[[#This Row],[Site Name]],SiteDB6[[Site Name]:[PWD_Total]],24,FALSE)</f>
        <v>694</v>
      </c>
      <c r="DE32" s="537"/>
      <c r="DF32" s="564">
        <v>1111</v>
      </c>
      <c r="DG32" s="564">
        <v>0</v>
      </c>
      <c r="DH32" s="564">
        <v>0</v>
      </c>
    </row>
    <row r="33" spans="1:114" hidden="1">
      <c r="A33" s="590" t="s">
        <v>2388</v>
      </c>
      <c r="B33" s="590" t="s">
        <v>2308</v>
      </c>
      <c r="C33" s="450" t="s">
        <v>2308</v>
      </c>
      <c r="D33" s="450" t="s">
        <v>41</v>
      </c>
      <c r="E33" s="532" t="s">
        <v>2706</v>
      </c>
      <c r="F33" s="450" t="s">
        <v>299</v>
      </c>
      <c r="G33" s="532" t="str">
        <f>VLOOKUP(WWWW[[#This Row],[Site Name]],SiteDB6[[Site Name]:[Location Type]],8,FALSE)</f>
        <v>Camp</v>
      </c>
      <c r="H33" s="450" t="s">
        <v>418</v>
      </c>
      <c r="I33" s="589">
        <v>397</v>
      </c>
      <c r="J33" s="589">
        <v>2111</v>
      </c>
      <c r="K33" s="453">
        <v>43009</v>
      </c>
      <c r="L33" s="854">
        <v>44104</v>
      </c>
      <c r="M33" s="589">
        <v>1642</v>
      </c>
      <c r="N33" s="589">
        <v>16</v>
      </c>
      <c r="O33" s="589">
        <v>35</v>
      </c>
      <c r="P33" s="589">
        <v>0</v>
      </c>
      <c r="Q33" s="542" t="s">
        <v>130</v>
      </c>
      <c r="R33" s="589">
        <v>10</v>
      </c>
      <c r="S33" s="589">
        <v>5</v>
      </c>
      <c r="T33" s="589">
        <v>22</v>
      </c>
      <c r="U33" s="589">
        <v>25</v>
      </c>
      <c r="V33" s="589"/>
      <c r="W33" s="589"/>
      <c r="X33" s="589"/>
      <c r="Y33" s="589"/>
      <c r="Z33" s="589"/>
      <c r="AA33" s="589"/>
      <c r="AB33" s="589">
        <v>0</v>
      </c>
      <c r="AC33" s="589">
        <v>30</v>
      </c>
      <c r="AD33" s="589">
        <v>9</v>
      </c>
      <c r="AE33" s="635"/>
      <c r="AF33" s="589">
        <v>108</v>
      </c>
      <c r="AG33" s="589">
        <v>120</v>
      </c>
      <c r="AH33" s="589">
        <v>19</v>
      </c>
      <c r="AI33" s="534">
        <v>0.26</v>
      </c>
      <c r="AJ33" s="589">
        <v>26</v>
      </c>
      <c r="AK33" s="534">
        <v>1</v>
      </c>
      <c r="AL33" s="534">
        <v>1</v>
      </c>
      <c r="AM33" s="534">
        <v>0.91</v>
      </c>
      <c r="AN33" s="534">
        <v>0.91</v>
      </c>
      <c r="AO33" s="589">
        <v>0</v>
      </c>
      <c r="AP33" s="589"/>
      <c r="AQ33" s="589">
        <v>18</v>
      </c>
      <c r="AR33" s="589" t="s">
        <v>42</v>
      </c>
      <c r="AS33" s="648"/>
      <c r="AT33" s="589"/>
      <c r="AU33" s="589">
        <v>87</v>
      </c>
      <c r="AV33" s="589">
        <v>233</v>
      </c>
      <c r="AW33" s="589">
        <v>178</v>
      </c>
      <c r="AX33" s="589">
        <v>397</v>
      </c>
      <c r="AY33" s="589">
        <v>882</v>
      </c>
      <c r="AZ33" s="534"/>
      <c r="BA33" s="534"/>
      <c r="BB33" s="534"/>
      <c r="BC33" s="534">
        <v>0.78</v>
      </c>
      <c r="BD33" s="855"/>
      <c r="BE33" s="534"/>
      <c r="BF33" s="534"/>
      <c r="BG33" s="589">
        <v>0.56000000000000005</v>
      </c>
      <c r="BH33" s="534">
        <v>0.46</v>
      </c>
      <c r="BI33" s="534"/>
      <c r="BJ33" s="535"/>
      <c r="BK33" s="648"/>
      <c r="BL33" s="648"/>
      <c r="BM33" s="536" t="str">
        <f>IFERROR(WWWW[[#This Row],['#_Water samples _passed_at_water source]]/WWWW[[#This Row],['#_Water samples_Tested_at_water_source]],"no test")</f>
        <v>no test</v>
      </c>
      <c r="BN33" s="534" t="str">
        <f>IFERROR(WWWW[[#This Row],['#_Water samples _passed_at_HH]]/WWWW[[#This Row],['#_Water samples_Tested_at_HH]],"no test")</f>
        <v>no test</v>
      </c>
      <c r="BO33" s="535" t="str">
        <f>IF(AND(WWWW[[#This Row],[%of Water samples which passed at water source]]="no test",WWWW[[#This Row],[%Water samples which passed at HH]]="no test"),"No Test","Tested")</f>
        <v>No Test</v>
      </c>
      <c r="BP33" s="536">
        <f>IF(WWWW[[#This Row],[Total PoP ]]="","",IF(((WWWW[[#This Row],['#_Functional_improved_water_source]]*500)+(WWWW[[#This Row],['#_litres_of_water_supplied_by_existing_water_boating/trucking ]]/90/15)+(WWWW[[#This Row],['#_Functional_water_point_at_TLS/CFS]]*500))/WWWW[[#This Row],[Total PoP ]]&gt;1,1,((WWWW[[#This Row],['#_Functional_improved_water_source]]*500)+(WWWW[[#This Row],['#_litres_of_water_supplied_by_existing_water_boating/trucking ]]/90/15)+(WWWW[[#This Row],['#_Functional_water_point_at_TLS/CFS]]*500))/WWWW[[#This Row],[Total PoP ]]))</f>
        <v>1</v>
      </c>
      <c r="BQ33" s="542">
        <f>WWWW[[#This Row],[Access to safe/improved water through improved water sources]]*WWWW[[#This Row],[Total PoP ]]</f>
        <v>2111</v>
      </c>
      <c r="BR33" s="536">
        <f>IF((WWWW[[#This Row],['#_litres_of_water_stored_in_ponds]]/90/15)/WWWW[[#This Row],[Total PoP ]]&gt;1,1,(WWWW[[#This Row],['#_litres_of_water_stored_in_ponds]]/90/15)/WWWW[[#This Row],[Total PoP ]])</f>
        <v>0</v>
      </c>
      <c r="BS33" s="542">
        <f>WWWW[[#This Row],[% Access to unimproved water points]]*WWWW[[#This Row],[Total PoP ]]</f>
        <v>0</v>
      </c>
      <c r="BT33" s="536">
        <f>IF(WWWW[[#This Row],[Access to safe/improved water through improved water sources]]+WWWW[[#This Row],[% Access to unimproved water points]]&gt;1,1,WWWW[[#This Row],[Access to safe/improved water through improved water sources]]+WWWW[[#This Row],[% Access to unimproved water points]])</f>
        <v>1</v>
      </c>
      <c r="BU33" s="542">
        <f>IF(WWWW[[#This Row],['# people with equitable and continuous access to sufficient quantity of safe drinking water]]+WWWW[[#This Row],['#People access to unimproved water sources]]&gt;WWWW[[#This Row],[Total PoP ]],WWWW[[#This Row],[Total PoP ]],WWWW[[#This Row],['# people with equitable and continuous access to sufficient quantity of safe drinking water]]+WWWW[[#This Row],['#People access to unimproved water sources]])</f>
        <v>2111</v>
      </c>
      <c r="BV33" s="542">
        <f>WWWW[[#This Row],[HRP1]]/500</f>
        <v>4.2220000000000004</v>
      </c>
      <c r="BW33" s="533">
        <f>1-WWWW[[#This Row],[% HRP1]]</f>
        <v>0</v>
      </c>
      <c r="BX33" s="542">
        <f>WWWW[[#This Row],[%equitable and continuous access to sufficient quantity of safe drinking and domestic water''s GAP]]*WWWW[[#This Row],[Total PoP ]]</f>
        <v>0</v>
      </c>
      <c r="BY33" s="535">
        <f>ROUND(IF(WWWW[[#This Row],[Total PoP ]]&lt;500,1,WWWW[[#This Row],[Total PoP ]]/500),0)</f>
        <v>4</v>
      </c>
      <c r="BZ33" s="535">
        <f>IF(WWWW[[#This Row],[Total required water points]]-WWWW[[#This Row],['#Water points coverage]]&lt;0,0,WWWW[[#This Row],[Total required water points]]-WWWW[[#This Row],['#Water points coverage]])</f>
        <v>0</v>
      </c>
      <c r="CA33" s="536">
        <f>WWWW[[#This Row],[HRP2]]/WWWW[[#This Row],[Total PoP ]]</f>
        <v>1</v>
      </c>
      <c r="CB33" s="542">
        <f>IF(WWWW[[#This Row],[Total PoP ]]="",0,IF(((WWWW[[#This Row],['#_Functional_adult_latrines]]*20)+(WWWW[[#This Row],['#_of_functional_children_latrines]]*20)+WWWW[[#This Row],['#_of_PWD_with_adapted_sanitation_option]]+(WWWW[[#This Row],['#_of_latrines_in_TLS/CFS]]*50))&gt;WWWW[[#This Row],[Total PoP ]],WWWW[[#This Row],[Total PoP ]],((WWWW[[#This Row],['#_Functional_adult_latrines]]*20)+(WWWW[[#This Row],['#_of_functional_children_latrines]]*20)+WWWW[[#This Row],['#_of_PWD_with_adapted_sanitation_option]]+(WWWW[[#This Row],['#_of_latrines_in_TLS/CFS]]*50))))</f>
        <v>2111</v>
      </c>
      <c r="CC33" s="535">
        <f>IF(WWWW[[#This Row],['#_of_latrines_in_TLS/CFS]]*50&gt;WWWW[[#This Row],['#_students at TLS_CFS]],WWWW[[#This Row],['#_students at TLS_CFS]],WWWW[[#This Row],['#_of_latrines_in_TLS/CFS]]*50)</f>
        <v>900</v>
      </c>
      <c r="CD33" s="535">
        <f>ROUND(IF(WWWW[[#This Row],[Location Type 1]]="camp",WWWW[[#This Row],[Total PoP ]]/20),0)</f>
        <v>106</v>
      </c>
      <c r="CE33" s="535">
        <f>IF(WWWW[[#This Row],[Total required Latrines]]-WWWW[[#This Row],['#_Existing_latrines]]&lt;0,0,WWWW[[#This Row],[Total required Latrines]]-WWWW[[#This Row],['#_Existing_latrines]])</f>
        <v>0</v>
      </c>
      <c r="CF33" s="533">
        <f>1-WWWW[[#This Row],[% HRP2]]</f>
        <v>0</v>
      </c>
      <c r="CG33" s="536">
        <f>IF(WWWW[[#This Row],['#_Existing_latrines]]="","NA",(WWWW[[#This Row],['#_Existing_latrines]]-WWWW[[#This Row],['#_Functional_adult_latrines]])/WWWW[[#This Row],['#_Existing_latrines]])</f>
        <v>0.1</v>
      </c>
      <c r="CH33" s="542">
        <f>IF(WWWW[[#This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Row],[_'#_of_Girls_receiving_consultation_hygiene_promotion_messages_and_sessions]]&gt;WWWW[[#This Row],[Total PoP ]],WWWW[[#This Row],[Total PoP ]],WWWW[[#This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f>
        <v>498</v>
      </c>
      <c r="CI33" s="535">
        <f>IF(WWWW[[#This Row],['#_of_affected_households_receiving_a_sufficient_quantity_of_soap]]=0,0,IF(WWWW[[#This Row],['#_of_affected_households_receiving_a_sufficient_quantity_of_soap]]&gt;=WWWW[[#This Row],[Total HH]],WWWW[[#This Row],[Total PoP ]],IF(WWWW[[#This Row],['#_of_affected_households_receiving_a_sufficient_quantity_of_soap]]*5&gt;WWWW[[#This Row],[Total PoP ]],WWWW[[#This Row],[Total PoP ]],WWWW[[#This Row],['#_of_affected_households_receiving_a_sufficient_quantity_of_soap]]*5)))</f>
        <v>2111</v>
      </c>
      <c r="CJ33" s="535">
        <f>IF(WWWW[[#This Row],['#_of_affected_women_and_girls_receiving_a_sufficient_quantity_of_sanitary_pads]]&gt;WWWW[[#This Row],[Total PoP ]],WWWW[[#This Row],[Total PoP ]],WWWW[[#This Row],['#_of_affected_women_and_girls_receiving_a_sufficient_quantity_of_sanitary_pads]])</f>
        <v>882</v>
      </c>
      <c r="CK33" s="535">
        <f>IF(WWWW[[#This Row],['# People with access to soap]]&gt;WWWW[[#This Row],['# People with access to Sanity Pads]],WWWW[[#This Row],['# People with access to soap]],WWWW[[#This Row],['# People with access to Sanity Pads]])</f>
        <v>2111</v>
      </c>
      <c r="CL33" s="535">
        <f>IF(WWWW[[#This Row],['# people reached by regular dedicated hygiene promotion_5]]&gt;WWWW[[#This Row],['# People received regular supply of hygiene items_6]],WWWW[[#This Row],['# people reached by regular dedicated hygiene promotion_5]],WWWW[[#This Row],['# People received regular supply of hygiene items_6]])</f>
        <v>2111</v>
      </c>
      <c r="CM33" s="533">
        <f>IF(WWWW[[#This Row],[HRP3]]/WWWW[[#This Row],[Total PoP ]]&gt;100%,100%,WWWW[[#This Row],[HRP3]]/WWWW[[#This Row],[Total PoP ]])</f>
        <v>1</v>
      </c>
      <c r="CN33" s="536">
        <f>1-WWWW[[#This Row],[Hygiene Coverage%]]</f>
        <v>0</v>
      </c>
      <c r="CO33" s="534">
        <f>WWWW[[#This Row],['# people reached by regular dedicated hygiene promotion_5]]/WWWW[[#This Row],[Total PoP ]]</f>
        <v>0.23590715300805307</v>
      </c>
      <c r="CP33" s="536">
        <f>IF(WWWW[[#This Row],['#_of_affected_households_receiving_a_sufficient_quantity_of_soap]]/WWWW[[#This Row],[Total HH]]&gt;1,1,WWWW[[#This Row],['#_of_affected_households_receiving_a_sufficient_quantity_of_soap]]/WWWW[[#This Row],[Total HH]])</f>
        <v>1</v>
      </c>
      <c r="CQ33" s="542" t="str">
        <f>IF(WWWW[[#This Row],['#_students at TLS_CFS]]="","No","Yes")</f>
        <v>Yes</v>
      </c>
      <c r="CR33" s="534"/>
      <c r="CS33" s="537" t="str">
        <f>VLOOKUP(WWWW[[#This Row],[Site Name]],SiteDB6[[Site Name]:[CCCM Management]],6,FALSE)</f>
        <v>Yes</v>
      </c>
      <c r="CT33" s="537">
        <f>VLOOKUP(WWWW[[#This Row],[Site Name]],SiteDB6[[Site Name]:[CCCM Focal Agency]],7,FALSE)</f>
        <v>0</v>
      </c>
      <c r="CU33" s="537" t="str">
        <f>VLOOKUP(WWWW[[#This Row],[Site Name]],SiteDB6[[Site Name]:[Location Type 1]],9,FALSE)</f>
        <v>Camp</v>
      </c>
      <c r="CV33" s="537" t="str">
        <f>VLOOKUP(WWWW[[#This Row],[Site Name]],SiteDB6[[Site Name]:[Type of Accommodation]],10,FALSE)</f>
        <v>Planned Camp</v>
      </c>
      <c r="CW33" s="537" t="str">
        <f>VLOOKUP(WWWW[[#This Row],[Site Name]],SiteDB6[[Site Name]:[Ethnic or GCA/NGCA]],11,FALSE)</f>
        <v>Muslim</v>
      </c>
      <c r="CX33" s="537">
        <f>VLOOKUP(WWWW[[#This Row],[Site Name]],SiteDB6[[Site Name]:[Lat]],12,FALSE)</f>
        <v>20.128488999999998</v>
      </c>
      <c r="CY33" s="537">
        <f>VLOOKUP(WWWW[[#This Row],[Site Name]],SiteDB6[[Site Name]:[Long]],13,FALSE)</f>
        <v>92.875814000000005</v>
      </c>
      <c r="CZ33" s="537" t="str">
        <f>VLOOKUP(WWWW[[#This Row],[Site Name]],SiteDB6[[Site Name]:[Pcode]],3,FALSE)</f>
        <v>MMR012CMP039</v>
      </c>
      <c r="DA33" s="564" t="str">
        <f t="shared" si="0"/>
        <v>Covered</v>
      </c>
      <c r="DB33" s="564">
        <f>VLOOKUP(WWWW[[#This Row],[Site Name]],SiteDB6[[Site Name]:[PWD_Total]],22,FALSE)</f>
        <v>99</v>
      </c>
      <c r="DC33" s="564">
        <f>VLOOKUP(WWWW[[#This Row],[Site Name]],SiteDB6[[Site Name]:[PWD_Total]],23,FALSE)</f>
        <v>287</v>
      </c>
      <c r="DD33" s="564">
        <f>VLOOKUP(WWWW[[#This Row],[Site Name]],SiteDB6[[Site Name]:[PWD_Total]],24,FALSE)</f>
        <v>386</v>
      </c>
      <c r="DE33" s="537"/>
      <c r="DF33" s="564"/>
      <c r="DG33" s="564"/>
      <c r="DH33" s="564"/>
    </row>
    <row r="34" spans="1:114" hidden="1">
      <c r="A34" s="590" t="s">
        <v>2388</v>
      </c>
      <c r="B34" s="590" t="s">
        <v>2308</v>
      </c>
      <c r="C34" s="450" t="s">
        <v>2308</v>
      </c>
      <c r="D34" s="450" t="s">
        <v>41</v>
      </c>
      <c r="E34" s="532" t="s">
        <v>2706</v>
      </c>
      <c r="F34" s="450" t="s">
        <v>299</v>
      </c>
      <c r="G34" s="532" t="str">
        <f>VLOOKUP(WWWW[[#This Row],[Site Name]],SiteDB6[[Site Name]:[Location Type]],8,FALSE)</f>
        <v>Camp</v>
      </c>
      <c r="H34" s="450" t="s">
        <v>429</v>
      </c>
      <c r="I34" s="589">
        <v>1016</v>
      </c>
      <c r="J34" s="589">
        <v>4892</v>
      </c>
      <c r="K34" s="453">
        <v>43009</v>
      </c>
      <c r="L34" s="854">
        <v>44104</v>
      </c>
      <c r="M34" s="589">
        <v>3364</v>
      </c>
      <c r="N34" s="589">
        <v>40</v>
      </c>
      <c r="O34" s="589">
        <v>180</v>
      </c>
      <c r="P34" s="589">
        <v>0</v>
      </c>
      <c r="Q34" s="542" t="s">
        <v>130</v>
      </c>
      <c r="R34" s="589">
        <v>16</v>
      </c>
      <c r="S34" s="589">
        <v>7</v>
      </c>
      <c r="T34" s="589">
        <v>39</v>
      </c>
      <c r="U34" s="589">
        <v>50</v>
      </c>
      <c r="V34" s="589"/>
      <c r="W34" s="589"/>
      <c r="X34" s="589">
        <v>42</v>
      </c>
      <c r="Y34" s="589">
        <v>39</v>
      </c>
      <c r="Z34" s="589">
        <v>108</v>
      </c>
      <c r="AA34" s="589">
        <v>59</v>
      </c>
      <c r="AB34" s="589">
        <v>0</v>
      </c>
      <c r="AC34" s="589">
        <v>30</v>
      </c>
      <c r="AD34" s="589">
        <v>24</v>
      </c>
      <c r="AE34" s="635"/>
      <c r="AF34" s="589">
        <v>204</v>
      </c>
      <c r="AG34" s="589">
        <v>250</v>
      </c>
      <c r="AH34" s="589">
        <v>399</v>
      </c>
      <c r="AI34" s="534">
        <v>0.69</v>
      </c>
      <c r="AJ34" s="589">
        <v>520</v>
      </c>
      <c r="AK34" s="534">
        <v>0.98</v>
      </c>
      <c r="AL34" s="534">
        <v>0.9</v>
      </c>
      <c r="AM34" s="534">
        <v>0.9</v>
      </c>
      <c r="AN34" s="534">
        <v>0.9</v>
      </c>
      <c r="AO34" s="589">
        <v>4</v>
      </c>
      <c r="AP34" s="589"/>
      <c r="AQ34" s="589">
        <v>32</v>
      </c>
      <c r="AR34" s="589" t="s">
        <v>42</v>
      </c>
      <c r="AS34" s="648"/>
      <c r="AT34" s="589">
        <v>208</v>
      </c>
      <c r="AU34" s="589">
        <v>511</v>
      </c>
      <c r="AV34" s="589">
        <v>1138</v>
      </c>
      <c r="AW34" s="589">
        <v>1139</v>
      </c>
      <c r="AX34" s="589">
        <v>1016</v>
      </c>
      <c r="AY34" s="589">
        <v>1602</v>
      </c>
      <c r="AZ34" s="534"/>
      <c r="BA34" s="534"/>
      <c r="BB34" s="534"/>
      <c r="BC34" s="403">
        <v>0.8</v>
      </c>
      <c r="BD34" s="855"/>
      <c r="BE34" s="534"/>
      <c r="BF34" s="534"/>
      <c r="BG34" s="589">
        <v>0.3</v>
      </c>
      <c r="BH34" s="534">
        <v>0.94</v>
      </c>
      <c r="BI34" s="534">
        <f>WWWW[[#This Row],[Cases of Acute watery diarrhea]]/WWWW[[#This Row],[Total consultations]]</f>
        <v>3.6277024551117629E-2</v>
      </c>
      <c r="BJ34" s="535"/>
      <c r="BK34" s="648"/>
      <c r="BL34" s="648"/>
      <c r="BM34" s="536">
        <f>IFERROR(WWWW[[#This Row],['#_Water samples _passed_at_water source]]/WWWW[[#This Row],['#_Water samples_Tested_at_water_source]],"no test")</f>
        <v>0.9285714285714286</v>
      </c>
      <c r="BN34" s="534">
        <f>IFERROR(WWWW[[#This Row],['#_Water samples _passed_at_HH]]/WWWW[[#This Row],['#_Water samples_Tested_at_HH]],"no test")</f>
        <v>0.54629629629629628</v>
      </c>
      <c r="BO34" s="535" t="str">
        <f>IF(AND(WWWW[[#This Row],[%of Water samples which passed at water source]]="no test",WWWW[[#This Row],[%Water samples which passed at HH]]="no test"),"No Test","Tested")</f>
        <v>Tested</v>
      </c>
      <c r="BP34" s="536">
        <f>IF(WWWW[[#This Row],[Total PoP ]]="","",IF(((WWWW[[#This Row],['#_Functional_improved_water_source]]*500)+(WWWW[[#This Row],['#_litres_of_water_supplied_by_existing_water_boating/trucking ]]/90/15)+(WWWW[[#This Row],['#_Functional_water_point_at_TLS/CFS]]*500))/WWWW[[#This Row],[Total PoP ]]&gt;1,1,((WWWW[[#This Row],['#_Functional_improved_water_source]]*500)+(WWWW[[#This Row],['#_litres_of_water_supplied_by_existing_water_boating/trucking ]]/90/15)+(WWWW[[#This Row],['#_Functional_water_point_at_TLS/CFS]]*500))/WWWW[[#This Row],[Total PoP ]]))</f>
        <v>1</v>
      </c>
      <c r="BQ34" s="542">
        <f>WWWW[[#This Row],[Access to safe/improved water through improved water sources]]*WWWW[[#This Row],[Total PoP ]]</f>
        <v>4892</v>
      </c>
      <c r="BR34" s="536">
        <f>IF((WWWW[[#This Row],['#_litres_of_water_stored_in_ponds]]/90/15)/WWWW[[#This Row],[Total PoP ]]&gt;1,1,(WWWW[[#This Row],['#_litres_of_water_stored_in_ponds]]/90/15)/WWWW[[#This Row],[Total PoP ]])</f>
        <v>0</v>
      </c>
      <c r="BS34" s="542">
        <f>WWWW[[#This Row],[% Access to unimproved water points]]*WWWW[[#This Row],[Total PoP ]]</f>
        <v>0</v>
      </c>
      <c r="BT34" s="536">
        <f>IF(WWWW[[#This Row],[Access to safe/improved water through improved water sources]]+WWWW[[#This Row],[% Access to unimproved water points]]&gt;1,1,WWWW[[#This Row],[Access to safe/improved water through improved water sources]]+WWWW[[#This Row],[% Access to unimproved water points]])</f>
        <v>1</v>
      </c>
      <c r="BU34" s="542">
        <f>IF(WWWW[[#This Row],['# people with equitable and continuous access to sufficient quantity of safe drinking water]]+WWWW[[#This Row],['#People access to unimproved water sources]]&gt;WWWW[[#This Row],[Total PoP ]],WWWW[[#This Row],[Total PoP ]],WWWW[[#This Row],['# people with equitable and continuous access to sufficient quantity of safe drinking water]]+WWWW[[#This Row],['#People access to unimproved water sources]])</f>
        <v>4892</v>
      </c>
      <c r="BV34" s="542">
        <f>WWWW[[#This Row],[HRP1]]/500</f>
        <v>9.7840000000000007</v>
      </c>
      <c r="BW34" s="533">
        <f>1-WWWW[[#This Row],[% HRP1]]</f>
        <v>0</v>
      </c>
      <c r="BX34" s="542">
        <f>WWWW[[#This Row],[%equitable and continuous access to sufficient quantity of safe drinking and domestic water''s GAP]]*WWWW[[#This Row],[Total PoP ]]</f>
        <v>0</v>
      </c>
      <c r="BY34" s="535">
        <f>ROUND(IF(WWWW[[#This Row],[Total PoP ]]&lt;500,1,WWWW[[#This Row],[Total PoP ]]/500),0)</f>
        <v>10</v>
      </c>
      <c r="BZ34" s="535">
        <f>IF(WWWW[[#This Row],[Total required water points]]-WWWW[[#This Row],['#Water points coverage]]&lt;0,0,WWWW[[#This Row],[Total required water points]]-WWWW[[#This Row],['#Water points coverage]])</f>
        <v>0.2159999999999993</v>
      </c>
      <c r="CA34" s="536">
        <f>WWWW[[#This Row],[HRP2]]/WWWW[[#This Row],[Total PoP ]]</f>
        <v>1</v>
      </c>
      <c r="CB34" s="542">
        <f>IF(WWWW[[#This Row],[Total PoP ]]="",0,IF(((WWWW[[#This Row],['#_Functional_adult_latrines]]*20)+(WWWW[[#This Row],['#_of_functional_children_latrines]]*20)+WWWW[[#This Row],['#_of_PWD_with_adapted_sanitation_option]]+(WWWW[[#This Row],['#_of_latrines_in_TLS/CFS]]*50))&gt;WWWW[[#This Row],[Total PoP ]],WWWW[[#This Row],[Total PoP ]],((WWWW[[#This Row],['#_Functional_adult_latrines]]*20)+(WWWW[[#This Row],['#_of_functional_children_latrines]]*20)+WWWW[[#This Row],['#_of_PWD_with_adapted_sanitation_option]]+(WWWW[[#This Row],['#_of_latrines_in_TLS/CFS]]*50))))</f>
        <v>4892</v>
      </c>
      <c r="CC34" s="535">
        <f>IF(WWWW[[#This Row],['#_of_latrines_in_TLS/CFS]]*50&gt;WWWW[[#This Row],['#_students at TLS_CFS]],WWWW[[#This Row],['#_students at TLS_CFS]],WWWW[[#This Row],['#_of_latrines_in_TLS/CFS]]*50)</f>
        <v>1600</v>
      </c>
      <c r="CD34" s="535">
        <f>ROUND(IF(WWWW[[#This Row],[Location Type 1]]="camp",WWWW[[#This Row],[Total PoP ]]/20),0)</f>
        <v>245</v>
      </c>
      <c r="CE34" s="535">
        <f>IF(WWWW[[#This Row],[Total required Latrines]]-WWWW[[#This Row],['#_Existing_latrines]]&lt;0,0,WWWW[[#This Row],[Total required Latrines]]-WWWW[[#This Row],['#_Existing_latrines]])</f>
        <v>0</v>
      </c>
      <c r="CF34" s="533">
        <f>1-WWWW[[#This Row],[% HRP2]]</f>
        <v>0</v>
      </c>
      <c r="CG34" s="536">
        <f>IF(WWWW[[#This Row],['#_Existing_latrines]]="","NA",(WWWW[[#This Row],['#_Existing_latrines]]-WWWW[[#This Row],['#_Functional_adult_latrines]])/WWWW[[#This Row],['#_Existing_latrines]])</f>
        <v>0.184</v>
      </c>
      <c r="CH34" s="542">
        <f>IF(WWWW[[#This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Row],[_'#_of_Girls_receiving_consultation_hygiene_promotion_messages_and_sessions]]&gt;WWWW[[#This Row],[Total PoP ]],WWWW[[#This Row],[Total PoP ]],WWWW[[#This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f>
        <v>2996</v>
      </c>
      <c r="CI34" s="535">
        <f>IF(WWWW[[#This Row],['#_of_affected_households_receiving_a_sufficient_quantity_of_soap]]=0,0,IF(WWWW[[#This Row],['#_of_affected_households_receiving_a_sufficient_quantity_of_soap]]&gt;=WWWW[[#This Row],[Total HH]],WWWW[[#This Row],[Total PoP ]],IF(WWWW[[#This Row],['#_of_affected_households_receiving_a_sufficient_quantity_of_soap]]*5&gt;WWWW[[#This Row],[Total PoP ]],WWWW[[#This Row],[Total PoP ]],WWWW[[#This Row],['#_of_affected_households_receiving_a_sufficient_quantity_of_soap]]*5)))</f>
        <v>4892</v>
      </c>
      <c r="CJ34" s="535">
        <f>IF(WWWW[[#This Row],['#_of_affected_women_and_girls_receiving_a_sufficient_quantity_of_sanitary_pads]]&gt;WWWW[[#This Row],[Total PoP ]],WWWW[[#This Row],[Total PoP ]],WWWW[[#This Row],['#_of_affected_women_and_girls_receiving_a_sufficient_quantity_of_sanitary_pads]])</f>
        <v>1602</v>
      </c>
      <c r="CK34" s="535">
        <f>IF(WWWW[[#This Row],['# People with access to soap]]&gt;WWWW[[#This Row],['# People with access to Sanity Pads]],WWWW[[#This Row],['# People with access to soap]],WWWW[[#This Row],['# People with access to Sanity Pads]])</f>
        <v>4892</v>
      </c>
      <c r="CL34" s="535">
        <f>IF(WWWW[[#This Row],['# people reached by regular dedicated hygiene promotion_5]]&gt;WWWW[[#This Row],['# People received regular supply of hygiene items_6]],WWWW[[#This Row],['# people reached by regular dedicated hygiene promotion_5]],WWWW[[#This Row],['# People received regular supply of hygiene items_6]])</f>
        <v>4892</v>
      </c>
      <c r="CM34" s="533">
        <f>IF(WWWW[[#This Row],[HRP3]]/WWWW[[#This Row],[Total PoP ]]&gt;100%,100%,WWWW[[#This Row],[HRP3]]/WWWW[[#This Row],[Total PoP ]])</f>
        <v>1</v>
      </c>
      <c r="CN34" s="536">
        <f>1-WWWW[[#This Row],[Hygiene Coverage%]]</f>
        <v>0</v>
      </c>
      <c r="CO34" s="534">
        <f>WWWW[[#This Row],['# people reached by regular dedicated hygiene promotion_5]]/WWWW[[#This Row],[Total PoP ]]</f>
        <v>0.61242845461978745</v>
      </c>
      <c r="CP34" s="536">
        <f>IF(WWWW[[#This Row],['#_of_affected_households_receiving_a_sufficient_quantity_of_soap]]/WWWW[[#This Row],[Total HH]]&gt;1,1,WWWW[[#This Row],['#_of_affected_households_receiving_a_sufficient_quantity_of_soap]]/WWWW[[#This Row],[Total HH]])</f>
        <v>1</v>
      </c>
      <c r="CQ34" s="542" t="str">
        <f>IF(WWWW[[#This Row],['#_students at TLS_CFS]]="","No","Yes")</f>
        <v>Yes</v>
      </c>
      <c r="CR34" s="534"/>
      <c r="CS34" s="537" t="str">
        <f>VLOOKUP(WWWW[[#This Row],[Site Name]],SiteDB6[[Site Name]:[CCCM Management]],6,FALSE)</f>
        <v>Yes</v>
      </c>
      <c r="CT34" s="537">
        <f>VLOOKUP(WWWW[[#This Row],[Site Name]],SiteDB6[[Site Name]:[CCCM Focal Agency]],7,FALSE)</f>
        <v>0</v>
      </c>
      <c r="CU34" s="537" t="str">
        <f>VLOOKUP(WWWW[[#This Row],[Site Name]],SiteDB6[[Site Name]:[Location Type 1]],9,FALSE)</f>
        <v>Camp</v>
      </c>
      <c r="CV34" s="537" t="str">
        <f>VLOOKUP(WWWW[[#This Row],[Site Name]],SiteDB6[[Site Name]:[Type of Accommodation]],10,FALSE)</f>
        <v>Planned Camp</v>
      </c>
      <c r="CW34" s="537" t="str">
        <f>VLOOKUP(WWWW[[#This Row],[Site Name]],SiteDB6[[Site Name]:[Ethnic or GCA/NGCA]],11,FALSE)</f>
        <v>Muslim</v>
      </c>
      <c r="CX34" s="537">
        <f>VLOOKUP(WWWW[[#This Row],[Site Name]],SiteDB6[[Site Name]:[Lat]],12,FALSE)</f>
        <v>20.179417000000001</v>
      </c>
      <c r="CY34" s="537">
        <f>VLOOKUP(WWWW[[#This Row],[Site Name]],SiteDB6[[Site Name]:[Long]],13,FALSE)</f>
        <v>92.813028000000003</v>
      </c>
      <c r="CZ34" s="537" t="str">
        <f>VLOOKUP(WWWW[[#This Row],[Site Name]],SiteDB6[[Site Name]:[Pcode]],3,FALSE)</f>
        <v>MMR012CMP113</v>
      </c>
      <c r="DA34" s="564" t="str">
        <f t="shared" si="0"/>
        <v>Covered</v>
      </c>
      <c r="DB34" s="564">
        <f>VLOOKUP(WWWW[[#This Row],[Site Name]],SiteDB6[[Site Name]:[PWD_Total]],22,FALSE)</f>
        <v>124</v>
      </c>
      <c r="DC34" s="564">
        <f>VLOOKUP(WWWW[[#This Row],[Site Name]],SiteDB6[[Site Name]:[PWD_Total]],23,FALSE)</f>
        <v>410</v>
      </c>
      <c r="DD34" s="564">
        <f>VLOOKUP(WWWW[[#This Row],[Site Name]],SiteDB6[[Site Name]:[PWD_Total]],24,FALSE)</f>
        <v>534</v>
      </c>
      <c r="DE34" s="537"/>
      <c r="DF34" s="564">
        <v>2729</v>
      </c>
      <c r="DG34" s="564">
        <v>99</v>
      </c>
      <c r="DH34" s="564">
        <v>0</v>
      </c>
      <c r="DJ34" s="858"/>
    </row>
    <row r="35" spans="1:114" hidden="1">
      <c r="A35" s="590" t="s">
        <v>2388</v>
      </c>
      <c r="B35" s="590" t="s">
        <v>2308</v>
      </c>
      <c r="C35" s="450" t="s">
        <v>2308</v>
      </c>
      <c r="D35" s="450" t="s">
        <v>41</v>
      </c>
      <c r="E35" s="532" t="s">
        <v>2706</v>
      </c>
      <c r="F35" s="450" t="s">
        <v>299</v>
      </c>
      <c r="G35" s="532" t="str">
        <f>VLOOKUP(WWWW[[#This Row],[Site Name]],SiteDB6[[Site Name]:[Location Type]],8,FALSE)</f>
        <v>Camp</v>
      </c>
      <c r="H35" s="450" t="s">
        <v>431</v>
      </c>
      <c r="I35" s="589">
        <v>1311</v>
      </c>
      <c r="J35" s="589">
        <v>6936</v>
      </c>
      <c r="K35" s="453">
        <v>43009</v>
      </c>
      <c r="L35" s="854">
        <v>44104</v>
      </c>
      <c r="M35" s="589">
        <v>3041</v>
      </c>
      <c r="N35" s="589"/>
      <c r="O35" s="589"/>
      <c r="P35" s="589">
        <v>0</v>
      </c>
      <c r="Q35" s="542" t="s">
        <v>130</v>
      </c>
      <c r="R35" s="589"/>
      <c r="S35" s="589"/>
      <c r="T35" s="589">
        <v>64</v>
      </c>
      <c r="U35" s="589">
        <v>80</v>
      </c>
      <c r="V35" s="589"/>
      <c r="W35" s="589"/>
      <c r="X35" s="589">
        <v>69</v>
      </c>
      <c r="Y35" s="589">
        <v>57</v>
      </c>
      <c r="Z35" s="589">
        <v>136</v>
      </c>
      <c r="AA35" s="589">
        <v>71</v>
      </c>
      <c r="AB35" s="589">
        <v>0</v>
      </c>
      <c r="AC35" s="589">
        <v>30</v>
      </c>
      <c r="AD35" s="589"/>
      <c r="AE35" s="635"/>
      <c r="AF35" s="589">
        <v>238</v>
      </c>
      <c r="AG35" s="589">
        <v>328</v>
      </c>
      <c r="AH35" s="589"/>
      <c r="AI35" s="534"/>
      <c r="AJ35" s="589"/>
      <c r="AK35" s="534"/>
      <c r="AL35" s="534"/>
      <c r="AM35" s="534"/>
      <c r="AN35" s="534"/>
      <c r="AO35" s="589"/>
      <c r="AP35" s="589"/>
      <c r="AQ35" s="589"/>
      <c r="AR35" s="589" t="s">
        <v>42</v>
      </c>
      <c r="AS35" s="648"/>
      <c r="AT35" s="589"/>
      <c r="AU35" s="589"/>
      <c r="AV35" s="589"/>
      <c r="AW35" s="589"/>
      <c r="AX35" s="589">
        <v>1311</v>
      </c>
      <c r="AY35" s="589">
        <v>2133</v>
      </c>
      <c r="AZ35" s="534"/>
      <c r="BA35" s="534"/>
      <c r="BB35" s="534"/>
      <c r="BC35" s="403">
        <v>0.85</v>
      </c>
      <c r="BD35" s="855"/>
      <c r="BE35" s="534"/>
      <c r="BF35" s="534"/>
      <c r="BG35" s="589"/>
      <c r="BH35" s="534"/>
      <c r="BI35" s="534"/>
      <c r="BJ35" s="535"/>
      <c r="BK35" s="648"/>
      <c r="BL35" s="648"/>
      <c r="BM35" s="536">
        <f>IFERROR(WWWW[[#This Row],['#_Water samples _passed_at_water source]]/WWWW[[#This Row],['#_Water samples_Tested_at_water_source]],"no test")</f>
        <v>0.82608695652173914</v>
      </c>
      <c r="BN35" s="534">
        <f>IFERROR(WWWW[[#This Row],['#_Water samples _passed_at_HH]]/WWWW[[#This Row],['#_Water samples_Tested_at_HH]],"no test")</f>
        <v>0.5220588235294118</v>
      </c>
      <c r="BO35" s="535" t="str">
        <f>IF(AND(WWWW[[#This Row],[%of Water samples which passed at water source]]="no test",WWWW[[#This Row],[%Water samples which passed at HH]]="no test"),"No Test","Tested")</f>
        <v>Tested</v>
      </c>
      <c r="BP35" s="536">
        <f>IF(WWWW[[#This Row],[Total PoP ]]="","",IF(((WWWW[[#This Row],['#_Functional_improved_water_source]]*500)+(WWWW[[#This Row],['#_litres_of_water_supplied_by_existing_water_boating/trucking ]]/90/15)+(WWWW[[#This Row],['#_Functional_water_point_at_TLS/CFS]]*500))/WWWW[[#This Row],[Total PoP ]]&gt;1,1,((WWWW[[#This Row],['#_Functional_improved_water_source]]*500)+(WWWW[[#This Row],['#_litres_of_water_supplied_by_existing_water_boating/trucking ]]/90/15)+(WWWW[[#This Row],['#_Functional_water_point_at_TLS/CFS]]*500))/WWWW[[#This Row],[Total PoP ]]))</f>
        <v>1</v>
      </c>
      <c r="BQ35" s="542">
        <f>WWWW[[#This Row],[Access to safe/improved water through improved water sources]]*WWWW[[#This Row],[Total PoP ]]</f>
        <v>6936</v>
      </c>
      <c r="BR35" s="536">
        <f>IF((WWWW[[#This Row],['#_litres_of_water_stored_in_ponds]]/90/15)/WWWW[[#This Row],[Total PoP ]]&gt;1,1,(WWWW[[#This Row],['#_litres_of_water_stored_in_ponds]]/90/15)/WWWW[[#This Row],[Total PoP ]])</f>
        <v>0</v>
      </c>
      <c r="BS35" s="542">
        <f>WWWW[[#This Row],[% Access to unimproved water points]]*WWWW[[#This Row],[Total PoP ]]</f>
        <v>0</v>
      </c>
      <c r="BT35" s="536">
        <f>IF(WWWW[[#This Row],[Access to safe/improved water through improved water sources]]+WWWW[[#This Row],[% Access to unimproved water points]]&gt;1,1,WWWW[[#This Row],[Access to safe/improved water through improved water sources]]+WWWW[[#This Row],[% Access to unimproved water points]])</f>
        <v>1</v>
      </c>
      <c r="BU35" s="542">
        <f>IF(WWWW[[#This Row],['# people with equitable and continuous access to sufficient quantity of safe drinking water]]+WWWW[[#This Row],['#People access to unimproved water sources]]&gt;WWWW[[#This Row],[Total PoP ]],WWWW[[#This Row],[Total PoP ]],WWWW[[#This Row],['# people with equitable and continuous access to sufficient quantity of safe drinking water]]+WWWW[[#This Row],['#People access to unimproved water sources]])</f>
        <v>6936</v>
      </c>
      <c r="BV35" s="542">
        <f>WWWW[[#This Row],[HRP1]]/500</f>
        <v>13.872</v>
      </c>
      <c r="BW35" s="533">
        <f>1-WWWW[[#This Row],[% HRP1]]</f>
        <v>0</v>
      </c>
      <c r="BX35" s="542">
        <f>WWWW[[#This Row],[%equitable and continuous access to sufficient quantity of safe drinking and domestic water''s GAP]]*WWWW[[#This Row],[Total PoP ]]</f>
        <v>0</v>
      </c>
      <c r="BY35" s="535">
        <f>ROUND(IF(WWWW[[#This Row],[Total PoP ]]&lt;500,1,WWWW[[#This Row],[Total PoP ]]/500),0)</f>
        <v>14</v>
      </c>
      <c r="BZ35" s="535">
        <f>IF(WWWW[[#This Row],[Total required water points]]-WWWW[[#This Row],['#Water points coverage]]&lt;0,0,WWWW[[#This Row],[Total required water points]]-WWWW[[#This Row],['#Water points coverage]])</f>
        <v>0.12800000000000011</v>
      </c>
      <c r="CA35" s="536">
        <f>WWWW[[#This Row],[HRP2]]/WWWW[[#This Row],[Total PoP ]]</f>
        <v>0.68627450980392157</v>
      </c>
      <c r="CB35" s="542">
        <f>IF(WWWW[[#This Row],[Total PoP ]]="",0,IF(((WWWW[[#This Row],['#_Functional_adult_latrines]]*20)+(WWWW[[#This Row],['#_of_functional_children_latrines]]*20)+WWWW[[#This Row],['#_of_PWD_with_adapted_sanitation_option]]+(WWWW[[#This Row],['#_of_latrines_in_TLS/CFS]]*50))&gt;WWWW[[#This Row],[Total PoP ]],WWWW[[#This Row],[Total PoP ]],((WWWW[[#This Row],['#_Functional_adult_latrines]]*20)+(WWWW[[#This Row],['#_of_functional_children_latrines]]*20)+WWWW[[#This Row],['#_of_PWD_with_adapted_sanitation_option]]+(WWWW[[#This Row],['#_of_latrines_in_TLS/CFS]]*50))))</f>
        <v>4760</v>
      </c>
      <c r="CC35" s="535">
        <f>IF(WWWW[[#This Row],['#_of_latrines_in_TLS/CFS]]*50&gt;WWWW[[#This Row],['#_students at TLS_CFS]],WWWW[[#This Row],['#_students at TLS_CFS]],WWWW[[#This Row],['#_of_latrines_in_TLS/CFS]]*50)</f>
        <v>0</v>
      </c>
      <c r="CD35" s="535">
        <f>ROUND(IF(WWWW[[#This Row],[Location Type 1]]="camp",WWWW[[#This Row],[Total PoP ]]/20),0)</f>
        <v>347</v>
      </c>
      <c r="CE35" s="535">
        <f>IF(WWWW[[#This Row],[Total required Latrines]]-WWWW[[#This Row],['#_Existing_latrines]]&lt;0,0,WWWW[[#This Row],[Total required Latrines]]-WWWW[[#This Row],['#_Existing_latrines]])</f>
        <v>19</v>
      </c>
      <c r="CF35" s="533">
        <f>1-WWWW[[#This Row],[% HRP2]]</f>
        <v>0.31372549019607843</v>
      </c>
      <c r="CG35" s="536">
        <f>IF(WWWW[[#This Row],['#_Existing_latrines]]="","NA",(WWWW[[#This Row],['#_Existing_latrines]]-WWWW[[#This Row],['#_Functional_adult_latrines]])/WWWW[[#This Row],['#_Existing_latrines]])</f>
        <v>0.27439024390243905</v>
      </c>
      <c r="CH35" s="542">
        <f>IF(WWWW[[#This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Row],[_'#_of_Girls_receiving_consultation_hygiene_promotion_messages_and_sessions]]&gt;WWWW[[#This Row],[Total PoP ]],WWWW[[#This Row],[Total PoP ]],WWWW[[#This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f>
        <v>0</v>
      </c>
      <c r="CI35" s="535">
        <f>IF(WWWW[[#This Row],['#_of_affected_households_receiving_a_sufficient_quantity_of_soap]]=0,0,IF(WWWW[[#This Row],['#_of_affected_households_receiving_a_sufficient_quantity_of_soap]]&gt;=WWWW[[#This Row],[Total HH]],WWWW[[#This Row],[Total PoP ]],IF(WWWW[[#This Row],['#_of_affected_households_receiving_a_sufficient_quantity_of_soap]]*5&gt;WWWW[[#This Row],[Total PoP ]],WWWW[[#This Row],[Total PoP ]],WWWW[[#This Row],['#_of_affected_households_receiving_a_sufficient_quantity_of_soap]]*5)))</f>
        <v>6936</v>
      </c>
      <c r="CJ35" s="535">
        <f>IF(WWWW[[#This Row],['#_of_affected_women_and_girls_receiving_a_sufficient_quantity_of_sanitary_pads]]&gt;WWWW[[#This Row],[Total PoP ]],WWWW[[#This Row],[Total PoP ]],WWWW[[#This Row],['#_of_affected_women_and_girls_receiving_a_sufficient_quantity_of_sanitary_pads]])</f>
        <v>2133</v>
      </c>
      <c r="CK35" s="535">
        <f>IF(WWWW[[#This Row],['# People with access to soap]]&gt;WWWW[[#This Row],['# People with access to Sanity Pads]],WWWW[[#This Row],['# People with access to soap]],WWWW[[#This Row],['# People with access to Sanity Pads]])</f>
        <v>6936</v>
      </c>
      <c r="CL35" s="535">
        <f>IF(WWWW[[#This Row],['# people reached by regular dedicated hygiene promotion_5]]&gt;WWWW[[#This Row],['# People received regular supply of hygiene items_6]],WWWW[[#This Row],['# people reached by regular dedicated hygiene promotion_5]],WWWW[[#This Row],['# People received regular supply of hygiene items_6]])</f>
        <v>6936</v>
      </c>
      <c r="CM35" s="533">
        <f>IF(WWWW[[#This Row],[HRP3]]/WWWW[[#This Row],[Total PoP ]]&gt;100%,100%,WWWW[[#This Row],[HRP3]]/WWWW[[#This Row],[Total PoP ]])</f>
        <v>1</v>
      </c>
      <c r="CN35" s="536">
        <f>1-WWWW[[#This Row],[Hygiene Coverage%]]</f>
        <v>0</v>
      </c>
      <c r="CO35" s="534">
        <f>WWWW[[#This Row],['# people reached by regular dedicated hygiene promotion_5]]/WWWW[[#This Row],[Total PoP ]]</f>
        <v>0</v>
      </c>
      <c r="CP35" s="536">
        <f>IF(WWWW[[#This Row],['#_of_affected_households_receiving_a_sufficient_quantity_of_soap]]/WWWW[[#This Row],[Total HH]]&gt;1,1,WWWW[[#This Row],['#_of_affected_households_receiving_a_sufficient_quantity_of_soap]]/WWWW[[#This Row],[Total HH]])</f>
        <v>1</v>
      </c>
      <c r="CQ35" s="542" t="str">
        <f>IF(WWWW[[#This Row],['#_students at TLS_CFS]]="","No","Yes")</f>
        <v>Yes</v>
      </c>
      <c r="CR35" s="534"/>
      <c r="CS35" s="537" t="str">
        <f>VLOOKUP(WWWW[[#This Row],[Site Name]],SiteDB6[[Site Name]:[CCCM Management]],6,FALSE)</f>
        <v>Yes</v>
      </c>
      <c r="CT35" s="537">
        <f>VLOOKUP(WWWW[[#This Row],[Site Name]],SiteDB6[[Site Name]:[CCCM Focal Agency]],7,FALSE)</f>
        <v>0</v>
      </c>
      <c r="CU35" s="537" t="str">
        <f>VLOOKUP(WWWW[[#This Row],[Site Name]],SiteDB6[[Site Name]:[Location Type 1]],9,FALSE)</f>
        <v>Camp</v>
      </c>
      <c r="CV35" s="537" t="str">
        <f>VLOOKUP(WWWW[[#This Row],[Site Name]],SiteDB6[[Site Name]:[Type of Accommodation]],10,FALSE)</f>
        <v>Planned Camp</v>
      </c>
      <c r="CW35" s="537" t="str">
        <f>VLOOKUP(WWWW[[#This Row],[Site Name]],SiteDB6[[Site Name]:[Ethnic or GCA/NGCA]],11,FALSE)</f>
        <v>Muslim</v>
      </c>
      <c r="CX35" s="537">
        <f>VLOOKUP(WWWW[[#This Row],[Site Name]],SiteDB6[[Site Name]:[Lat]],12,FALSE)</f>
        <v>20.181405999999999</v>
      </c>
      <c r="CY35" s="537">
        <f>VLOOKUP(WWWW[[#This Row],[Site Name]],SiteDB6[[Site Name]:[Long]],13,FALSE)</f>
        <v>92.807552000000001</v>
      </c>
      <c r="CZ35" s="537" t="str">
        <f>VLOOKUP(WWWW[[#This Row],[Site Name]],SiteDB6[[Site Name]:[Pcode]],3,FALSE)</f>
        <v>MMR012CMP114</v>
      </c>
      <c r="DA35" s="564" t="str">
        <f t="shared" si="0"/>
        <v>Covered</v>
      </c>
      <c r="DB35" s="564">
        <f>VLOOKUP(WWWW[[#This Row],[Site Name]],SiteDB6[[Site Name]:[PWD_Total]],22,FALSE)</f>
        <v>193</v>
      </c>
      <c r="DC35" s="564">
        <f>VLOOKUP(WWWW[[#This Row],[Site Name]],SiteDB6[[Site Name]:[PWD_Total]],23,FALSE)</f>
        <v>637</v>
      </c>
      <c r="DD35" s="564">
        <f>VLOOKUP(WWWW[[#This Row],[Site Name]],SiteDB6[[Site Name]:[PWD_Total]],24,FALSE)</f>
        <v>830</v>
      </c>
      <c r="DE35" s="537"/>
      <c r="DF35" s="564"/>
      <c r="DG35" s="564"/>
      <c r="DH35" s="564"/>
    </row>
    <row r="36" spans="1:114" hidden="1">
      <c r="A36" s="590" t="s">
        <v>2388</v>
      </c>
      <c r="B36" s="590" t="s">
        <v>2308</v>
      </c>
      <c r="C36" s="450" t="s">
        <v>2308</v>
      </c>
      <c r="D36" s="450" t="s">
        <v>41</v>
      </c>
      <c r="E36" s="532" t="s">
        <v>2706</v>
      </c>
      <c r="F36" s="450" t="s">
        <v>299</v>
      </c>
      <c r="G36" s="532" t="str">
        <f>VLOOKUP(WWWW[[#This Row],[Site Name]],SiteDB6[[Site Name]:[Location Type]],8,FALSE)</f>
        <v>Camp</v>
      </c>
      <c r="H36" s="450" t="s">
        <v>2699</v>
      </c>
      <c r="I36" s="589">
        <v>22</v>
      </c>
      <c r="J36" s="589">
        <v>114</v>
      </c>
      <c r="K36" s="453">
        <v>43009</v>
      </c>
      <c r="L36" s="854">
        <v>44104</v>
      </c>
      <c r="M36" s="589">
        <v>211</v>
      </c>
      <c r="N36" s="589"/>
      <c r="O36" s="589"/>
      <c r="P36" s="589">
        <v>0</v>
      </c>
      <c r="Q36" s="542"/>
      <c r="R36" s="589"/>
      <c r="S36" s="589"/>
      <c r="T36" s="589"/>
      <c r="U36" s="589"/>
      <c r="V36" s="589"/>
      <c r="W36" s="589"/>
      <c r="X36" s="589"/>
      <c r="Y36" s="589"/>
      <c r="Z36" s="589"/>
      <c r="AA36" s="589"/>
      <c r="AB36" s="589">
        <v>0</v>
      </c>
      <c r="AC36" s="589">
        <v>30</v>
      </c>
      <c r="AD36" s="589"/>
      <c r="AE36" s="635"/>
      <c r="AF36" s="589"/>
      <c r="AG36" s="589"/>
      <c r="AH36" s="589"/>
      <c r="AI36" s="534"/>
      <c r="AJ36" s="589"/>
      <c r="AK36" s="534"/>
      <c r="AL36" s="534"/>
      <c r="AM36" s="534"/>
      <c r="AN36" s="534"/>
      <c r="AO36" s="589"/>
      <c r="AP36" s="589"/>
      <c r="AQ36" s="589"/>
      <c r="AR36" s="589" t="s">
        <v>130</v>
      </c>
      <c r="AS36" s="648"/>
      <c r="AT36" s="589"/>
      <c r="AU36" s="589"/>
      <c r="AV36" s="589"/>
      <c r="AW36" s="589"/>
      <c r="AX36" s="589">
        <v>22</v>
      </c>
      <c r="AY36" s="589">
        <v>40</v>
      </c>
      <c r="AZ36" s="534"/>
      <c r="BA36" s="534"/>
      <c r="BB36" s="534"/>
      <c r="BC36" s="403">
        <v>0.5</v>
      </c>
      <c r="BD36" s="855"/>
      <c r="BE36" s="534"/>
      <c r="BF36" s="534"/>
      <c r="BG36" s="589"/>
      <c r="BH36" s="534"/>
      <c r="BI36" s="534"/>
      <c r="BJ36" s="535"/>
      <c r="BK36" s="648"/>
      <c r="BL36" s="648"/>
      <c r="BM36" s="536" t="str">
        <f>IFERROR(WWWW[[#This Row],['#_Water samples _passed_at_water source]]/WWWW[[#This Row],['#_Water samples_Tested_at_water_source]],"no test")</f>
        <v>no test</v>
      </c>
      <c r="BN36" s="534" t="str">
        <f>IFERROR(WWWW[[#This Row],['#_Water samples _passed_at_HH]]/WWWW[[#This Row],['#_Water samples_Tested_at_HH]],"no test")</f>
        <v>no test</v>
      </c>
      <c r="BO36" s="535" t="str">
        <f>IF(AND(WWWW[[#This Row],[%of Water samples which passed at water source]]="no test",WWWW[[#This Row],[%Water samples which passed at HH]]="no test"),"No Test","Tested")</f>
        <v>No Test</v>
      </c>
      <c r="BP36" s="536">
        <f>IF(WWWW[[#This Row],[Total PoP ]]="","",IF(((WWWW[[#This Row],['#_Functional_improved_water_source]]*500)+(WWWW[[#This Row],['#_litres_of_water_supplied_by_existing_water_boating/trucking ]]/90/15)+(WWWW[[#This Row],['#_Functional_water_point_at_TLS/CFS]]*500))/WWWW[[#This Row],[Total PoP ]]&gt;1,1,((WWWW[[#This Row],['#_Functional_improved_water_source]]*500)+(WWWW[[#This Row],['#_litres_of_water_supplied_by_existing_water_boating/trucking ]]/90/15)+(WWWW[[#This Row],['#_Functional_water_point_at_TLS/CFS]]*500))/WWWW[[#This Row],[Total PoP ]]))</f>
        <v>0</v>
      </c>
      <c r="BQ36" s="542">
        <f>WWWW[[#This Row],[Access to safe/improved water through improved water sources]]*WWWW[[#This Row],[Total PoP ]]</f>
        <v>0</v>
      </c>
      <c r="BR36" s="536">
        <f>IF((WWWW[[#This Row],['#_litres_of_water_stored_in_ponds]]/90/15)/WWWW[[#This Row],[Total PoP ]]&gt;1,1,(WWWW[[#This Row],['#_litres_of_water_stored_in_ponds]]/90/15)/WWWW[[#This Row],[Total PoP ]])</f>
        <v>0</v>
      </c>
      <c r="BS36" s="542">
        <f>WWWW[[#This Row],[% Access to unimproved water points]]*WWWW[[#This Row],[Total PoP ]]</f>
        <v>0</v>
      </c>
      <c r="BT36" s="536">
        <f>IF(WWWW[[#This Row],[Access to safe/improved water through improved water sources]]+WWWW[[#This Row],[% Access to unimproved water points]]&gt;1,1,WWWW[[#This Row],[Access to safe/improved water through improved water sources]]+WWWW[[#This Row],[% Access to unimproved water points]])</f>
        <v>0</v>
      </c>
      <c r="BU36" s="542">
        <f>IF(WWWW[[#This Row],['# people with equitable and continuous access to sufficient quantity of safe drinking water]]+WWWW[[#This Row],['#People access to unimproved water sources]]&gt;WWWW[[#This Row],[Total PoP ]],WWWW[[#This Row],[Total PoP ]],WWWW[[#This Row],['# people with equitable and continuous access to sufficient quantity of safe drinking water]]+WWWW[[#This Row],['#People access to unimproved water sources]])</f>
        <v>0</v>
      </c>
      <c r="BV36" s="542">
        <f>WWWW[[#This Row],[HRP1]]/500</f>
        <v>0</v>
      </c>
      <c r="BW36" s="533">
        <f>1-WWWW[[#This Row],[% HRP1]]</f>
        <v>1</v>
      </c>
      <c r="BX36" s="542">
        <f>WWWW[[#This Row],[%equitable and continuous access to sufficient quantity of safe drinking and domestic water''s GAP]]*WWWW[[#This Row],[Total PoP ]]</f>
        <v>114</v>
      </c>
      <c r="BY36" s="535">
        <f>ROUND(IF(WWWW[[#This Row],[Total PoP ]]&lt;500,1,WWWW[[#This Row],[Total PoP ]]/500),0)</f>
        <v>1</v>
      </c>
      <c r="BZ36" s="535">
        <f>IF(WWWW[[#This Row],[Total required water points]]-WWWW[[#This Row],['#Water points coverage]]&lt;0,0,WWWW[[#This Row],[Total required water points]]-WWWW[[#This Row],['#Water points coverage]])</f>
        <v>1</v>
      </c>
      <c r="CA36" s="536">
        <f>WWWW[[#This Row],[HRP2]]/WWWW[[#This Row],[Total PoP ]]</f>
        <v>0</v>
      </c>
      <c r="CB36" s="542">
        <f>IF(WWWW[[#This Row],[Total PoP ]]="",0,IF(((WWWW[[#This Row],['#_Functional_adult_latrines]]*20)+(WWWW[[#This Row],['#_of_functional_children_latrines]]*20)+WWWW[[#This Row],['#_of_PWD_with_adapted_sanitation_option]]+(WWWW[[#This Row],['#_of_latrines_in_TLS/CFS]]*50))&gt;WWWW[[#This Row],[Total PoP ]],WWWW[[#This Row],[Total PoP ]],((WWWW[[#This Row],['#_Functional_adult_latrines]]*20)+(WWWW[[#This Row],['#_of_functional_children_latrines]]*20)+WWWW[[#This Row],['#_of_PWD_with_adapted_sanitation_option]]+(WWWW[[#This Row],['#_of_latrines_in_TLS/CFS]]*50))))</f>
        <v>0</v>
      </c>
      <c r="CC36" s="535">
        <f>IF(WWWW[[#This Row],['#_of_latrines_in_TLS/CFS]]*50&gt;WWWW[[#This Row],['#_students at TLS_CFS]],WWWW[[#This Row],['#_students at TLS_CFS]],WWWW[[#This Row],['#_of_latrines_in_TLS/CFS]]*50)</f>
        <v>0</v>
      </c>
      <c r="CD36" s="535">
        <f>ROUND(IF(WWWW[[#This Row],[Location Type 1]]="camp",WWWW[[#This Row],[Total PoP ]]/20),0)</f>
        <v>6</v>
      </c>
      <c r="CE36" s="535">
        <f>IF(WWWW[[#This Row],[Total required Latrines]]-WWWW[[#This Row],['#_Existing_latrines]]&lt;0,0,WWWW[[#This Row],[Total required Latrines]]-WWWW[[#This Row],['#_Existing_latrines]])</f>
        <v>6</v>
      </c>
      <c r="CF36" s="533">
        <f>1-WWWW[[#This Row],[% HRP2]]</f>
        <v>1</v>
      </c>
      <c r="CG36" s="536" t="str">
        <f>IF(WWWW[[#This Row],['#_Existing_latrines]]="","NA",(WWWW[[#This Row],['#_Existing_latrines]]-WWWW[[#This Row],['#_Functional_adult_latrines]])/WWWW[[#This Row],['#_Existing_latrines]])</f>
        <v>NA</v>
      </c>
      <c r="CH36" s="542">
        <f>IF(WWWW[[#This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Row],[_'#_of_Girls_receiving_consultation_hygiene_promotion_messages_and_sessions]]&gt;WWWW[[#This Row],[Total PoP ]],WWWW[[#This Row],[Total PoP ]],WWWW[[#This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f>
        <v>0</v>
      </c>
      <c r="CI36" s="535">
        <f>IF(WWWW[[#This Row],['#_of_affected_households_receiving_a_sufficient_quantity_of_soap]]=0,0,IF(WWWW[[#This Row],['#_of_affected_households_receiving_a_sufficient_quantity_of_soap]]&gt;=WWWW[[#This Row],[Total HH]],WWWW[[#This Row],[Total PoP ]],IF(WWWW[[#This Row],['#_of_affected_households_receiving_a_sufficient_quantity_of_soap]]*5&gt;WWWW[[#This Row],[Total PoP ]],WWWW[[#This Row],[Total PoP ]],WWWW[[#This Row],['#_of_affected_households_receiving_a_sufficient_quantity_of_soap]]*5)))</f>
        <v>114</v>
      </c>
      <c r="CJ36" s="535">
        <f>IF(WWWW[[#This Row],['#_of_affected_women_and_girls_receiving_a_sufficient_quantity_of_sanitary_pads]]&gt;WWWW[[#This Row],[Total PoP ]],WWWW[[#This Row],[Total PoP ]],WWWW[[#This Row],['#_of_affected_women_and_girls_receiving_a_sufficient_quantity_of_sanitary_pads]])</f>
        <v>40</v>
      </c>
      <c r="CK36" s="535">
        <f>IF(WWWW[[#This Row],['# People with access to soap]]&gt;WWWW[[#This Row],['# People with access to Sanity Pads]],WWWW[[#This Row],['# People with access to soap]],WWWW[[#This Row],['# People with access to Sanity Pads]])</f>
        <v>114</v>
      </c>
      <c r="CL36" s="535">
        <f>IF(WWWW[[#This Row],['# people reached by regular dedicated hygiene promotion_5]]&gt;WWWW[[#This Row],['# People received regular supply of hygiene items_6]],WWWW[[#This Row],['# people reached by regular dedicated hygiene promotion_5]],WWWW[[#This Row],['# People received regular supply of hygiene items_6]])</f>
        <v>114</v>
      </c>
      <c r="CM36" s="533">
        <f>IF(WWWW[[#This Row],[HRP3]]/WWWW[[#This Row],[Total PoP ]]&gt;100%,100%,WWWW[[#This Row],[HRP3]]/WWWW[[#This Row],[Total PoP ]])</f>
        <v>1</v>
      </c>
      <c r="CN36" s="536">
        <f>1-WWWW[[#This Row],[Hygiene Coverage%]]</f>
        <v>0</v>
      </c>
      <c r="CO36" s="534">
        <f>WWWW[[#This Row],['# people reached by regular dedicated hygiene promotion_5]]/WWWW[[#This Row],[Total PoP ]]</f>
        <v>0</v>
      </c>
      <c r="CP36" s="536">
        <f>IF(WWWW[[#This Row],['#_of_affected_households_receiving_a_sufficient_quantity_of_soap]]/WWWW[[#This Row],[Total HH]]&gt;1,1,WWWW[[#This Row],['#_of_affected_households_receiving_a_sufficient_quantity_of_soap]]/WWWW[[#This Row],[Total HH]])</f>
        <v>1</v>
      </c>
      <c r="CQ36" s="542" t="str">
        <f>IF(WWWW[[#This Row],['#_students at TLS_CFS]]="","No","Yes")</f>
        <v>Yes</v>
      </c>
      <c r="CR36" s="534"/>
      <c r="CS36" s="537" t="str">
        <f>VLOOKUP(WWWW[[#This Row],[Site Name]],SiteDB6[[Site Name]:[CCCM Management]],6,FALSE)</f>
        <v>Yes</v>
      </c>
      <c r="CT36" s="537">
        <f>VLOOKUP(WWWW[[#This Row],[Site Name]],SiteDB6[[Site Name]:[CCCM Focal Agency]],7,FALSE)</f>
        <v>0</v>
      </c>
      <c r="CU36" s="537" t="str">
        <f>VLOOKUP(WWWW[[#This Row],[Site Name]],SiteDB6[[Site Name]:[Location Type 1]],9,FALSE)</f>
        <v>Camp</v>
      </c>
      <c r="CV36" s="537" t="str">
        <f>VLOOKUP(WWWW[[#This Row],[Site Name]],SiteDB6[[Site Name]:[Type of Accommodation]],10,FALSE)</f>
        <v>Host Families</v>
      </c>
      <c r="CW36" s="537" t="str">
        <f>VLOOKUP(WWWW[[#This Row],[Site Name]],SiteDB6[[Site Name]:[Ethnic or GCA/NGCA]],11,FALSE)</f>
        <v>Muslim</v>
      </c>
      <c r="CX36" s="537">
        <f>VLOOKUP(WWWW[[#This Row],[Site Name]],SiteDB6[[Site Name]:[Lat]],12,FALSE)</f>
        <v>20.182987000000001</v>
      </c>
      <c r="CY36" s="537">
        <f>VLOOKUP(WWWW[[#This Row],[Site Name]],SiteDB6[[Site Name]:[Long]],13,FALSE)</f>
        <v>92.804803000000007</v>
      </c>
      <c r="CZ36" s="537" t="str">
        <f>VLOOKUP(WWWW[[#This Row],[Site Name]],SiteDB6[[Site Name]:[Pcode]],3,FALSE)</f>
        <v>MMR012CMP103</v>
      </c>
      <c r="DA36" s="564" t="str">
        <f t="shared" si="0"/>
        <v>Covered</v>
      </c>
      <c r="DB36" s="564">
        <f>VLOOKUP(WWWW[[#This Row],[Site Name]],SiteDB6[[Site Name]:[PWD_Total]],22,FALSE)</f>
        <v>0</v>
      </c>
      <c r="DC36" s="564">
        <f>VLOOKUP(WWWW[[#This Row],[Site Name]],SiteDB6[[Site Name]:[PWD_Total]],23,FALSE)</f>
        <v>0</v>
      </c>
      <c r="DD36" s="564">
        <f>VLOOKUP(WWWW[[#This Row],[Site Name]],SiteDB6[[Site Name]:[PWD_Total]],24,FALSE)</f>
        <v>0</v>
      </c>
      <c r="DE36" s="537"/>
      <c r="DF36" s="564"/>
      <c r="DG36" s="564"/>
      <c r="DH36" s="564"/>
    </row>
    <row r="37" spans="1:114" hidden="1">
      <c r="A37" s="590" t="s">
        <v>2388</v>
      </c>
      <c r="B37" s="590" t="s">
        <v>2308</v>
      </c>
      <c r="C37" s="450" t="s">
        <v>2308</v>
      </c>
      <c r="D37" s="450" t="s">
        <v>41</v>
      </c>
      <c r="E37" s="532" t="s">
        <v>2706</v>
      </c>
      <c r="F37" s="450" t="s">
        <v>299</v>
      </c>
      <c r="G37" s="532" t="str">
        <f>VLOOKUP(WWWW[[#This Row],[Site Name]],SiteDB6[[Site Name]:[Location Type]],8,FALSE)</f>
        <v>Camp</v>
      </c>
      <c r="H37" s="450" t="s">
        <v>428</v>
      </c>
      <c r="I37" s="589">
        <v>2009</v>
      </c>
      <c r="J37" s="589">
        <v>11625</v>
      </c>
      <c r="K37" s="453">
        <v>43009</v>
      </c>
      <c r="L37" s="854">
        <v>44104</v>
      </c>
      <c r="M37" s="589">
        <v>232</v>
      </c>
      <c r="N37" s="589">
        <v>40</v>
      </c>
      <c r="O37" s="589">
        <v>160</v>
      </c>
      <c r="P37" s="589">
        <v>0</v>
      </c>
      <c r="Q37" s="542" t="s">
        <v>130</v>
      </c>
      <c r="R37" s="589">
        <v>10</v>
      </c>
      <c r="S37" s="589">
        <v>7</v>
      </c>
      <c r="T37" s="589">
        <v>69</v>
      </c>
      <c r="U37" s="589">
        <v>82</v>
      </c>
      <c r="V37" s="589"/>
      <c r="W37" s="589"/>
      <c r="X37" s="589">
        <v>60</v>
      </c>
      <c r="Y37" s="589">
        <v>54</v>
      </c>
      <c r="Z37" s="589">
        <v>125</v>
      </c>
      <c r="AA37" s="589">
        <v>76</v>
      </c>
      <c r="AB37" s="589">
        <v>0</v>
      </c>
      <c r="AC37" s="589">
        <v>30</v>
      </c>
      <c r="AD37" s="589">
        <v>21</v>
      </c>
      <c r="AE37" s="635"/>
      <c r="AF37" s="589">
        <v>370</v>
      </c>
      <c r="AG37" s="589">
        <v>498</v>
      </c>
      <c r="AH37" s="589">
        <v>215</v>
      </c>
      <c r="AI37" s="534">
        <v>0.73</v>
      </c>
      <c r="AJ37" s="589">
        <v>415</v>
      </c>
      <c r="AK37" s="534">
        <v>0.98</v>
      </c>
      <c r="AL37" s="534">
        <v>0.91</v>
      </c>
      <c r="AM37" s="534">
        <v>0.7</v>
      </c>
      <c r="AN37" s="534">
        <v>0.7</v>
      </c>
      <c r="AO37" s="589">
        <v>8</v>
      </c>
      <c r="AP37" s="589"/>
      <c r="AQ37" s="589">
        <v>7</v>
      </c>
      <c r="AR37" s="589" t="s">
        <v>42</v>
      </c>
      <c r="AS37" s="648"/>
      <c r="AT37" s="589">
        <v>62</v>
      </c>
      <c r="AU37" s="589">
        <v>134</v>
      </c>
      <c r="AV37" s="589">
        <v>701</v>
      </c>
      <c r="AW37" s="589">
        <v>734</v>
      </c>
      <c r="AX37" s="589">
        <v>2009</v>
      </c>
      <c r="AY37" s="589">
        <v>3699</v>
      </c>
      <c r="AZ37" s="534"/>
      <c r="BA37" s="534"/>
      <c r="BB37" s="534"/>
      <c r="BC37" s="534"/>
      <c r="BD37" s="855"/>
      <c r="BE37" s="534"/>
      <c r="BF37" s="534"/>
      <c r="BG37" s="589">
        <v>0.42</v>
      </c>
      <c r="BH37" s="534">
        <v>0.92</v>
      </c>
      <c r="BI37" s="534">
        <f>WWWW[[#This Row],[Cases of Acute watery diarrhea]]/WWWW[[#This Row],[Total consultations]]</f>
        <v>1.2115258677144728E-2</v>
      </c>
      <c r="BJ37" s="535"/>
      <c r="BK37" s="648"/>
      <c r="BL37" s="648"/>
      <c r="BM37" s="536">
        <f>IFERROR(WWWW[[#This Row],['#_Water samples _passed_at_water source]]/WWWW[[#This Row],['#_Water samples_Tested_at_water_source]],"no test")</f>
        <v>0.9</v>
      </c>
      <c r="BN37" s="534">
        <f>IFERROR(WWWW[[#This Row],['#_Water samples _passed_at_HH]]/WWWW[[#This Row],['#_Water samples_Tested_at_HH]],"no test")</f>
        <v>0.60799999999999998</v>
      </c>
      <c r="BO37" s="535" t="str">
        <f>IF(AND(WWWW[[#This Row],[%of Water samples which passed at water source]]="no test",WWWW[[#This Row],[%Water samples which passed at HH]]="no test"),"No Test","Tested")</f>
        <v>Tested</v>
      </c>
      <c r="BP37" s="536">
        <f>IF(WWWW[[#This Row],[Total PoP ]]="","",IF(((WWWW[[#This Row],['#_Functional_improved_water_source]]*500)+(WWWW[[#This Row],['#_litres_of_water_supplied_by_existing_water_boating/trucking ]]/90/15)+(WWWW[[#This Row],['#_Functional_water_point_at_TLS/CFS]]*500))/WWWW[[#This Row],[Total PoP ]]&gt;1,1,((WWWW[[#This Row],['#_Functional_improved_water_source]]*500)+(WWWW[[#This Row],['#_litres_of_water_supplied_by_existing_water_boating/trucking ]]/90/15)+(WWWW[[#This Row],['#_Functional_water_point_at_TLS/CFS]]*500))/WWWW[[#This Row],[Total PoP ]]))</f>
        <v>1</v>
      </c>
      <c r="BQ37" s="542">
        <f>WWWW[[#This Row],[Access to safe/improved water through improved water sources]]*WWWW[[#This Row],[Total PoP ]]</f>
        <v>11625</v>
      </c>
      <c r="BR37" s="536">
        <f>IF((WWWW[[#This Row],['#_litres_of_water_stored_in_ponds]]/90/15)/WWWW[[#This Row],[Total PoP ]]&gt;1,1,(WWWW[[#This Row],['#_litres_of_water_stored_in_ponds]]/90/15)/WWWW[[#This Row],[Total PoP ]])</f>
        <v>0</v>
      </c>
      <c r="BS37" s="542">
        <f>WWWW[[#This Row],[% Access to unimproved water points]]*WWWW[[#This Row],[Total PoP ]]</f>
        <v>0</v>
      </c>
      <c r="BT37" s="536">
        <f>IF(WWWW[[#This Row],[Access to safe/improved water through improved water sources]]+WWWW[[#This Row],[% Access to unimproved water points]]&gt;1,1,WWWW[[#This Row],[Access to safe/improved water through improved water sources]]+WWWW[[#This Row],[% Access to unimproved water points]])</f>
        <v>1</v>
      </c>
      <c r="BU37" s="542">
        <f>IF(WWWW[[#This Row],['# people with equitable and continuous access to sufficient quantity of safe drinking water]]+WWWW[[#This Row],['#People access to unimproved water sources]]&gt;WWWW[[#This Row],[Total PoP ]],WWWW[[#This Row],[Total PoP ]],WWWW[[#This Row],['# people with equitable and continuous access to sufficient quantity of safe drinking water]]+WWWW[[#This Row],['#People access to unimproved water sources]])</f>
        <v>11625</v>
      </c>
      <c r="BV37" s="542">
        <f>WWWW[[#This Row],[HRP1]]/500</f>
        <v>23.25</v>
      </c>
      <c r="BW37" s="533">
        <f>1-WWWW[[#This Row],[% HRP1]]</f>
        <v>0</v>
      </c>
      <c r="BX37" s="542">
        <f>WWWW[[#This Row],[%equitable and continuous access to sufficient quantity of safe drinking and domestic water''s GAP]]*WWWW[[#This Row],[Total PoP ]]</f>
        <v>0</v>
      </c>
      <c r="BY37" s="535">
        <f>ROUND(IF(WWWW[[#This Row],[Total PoP ]]&lt;500,1,WWWW[[#This Row],[Total PoP ]]/500),0)</f>
        <v>23</v>
      </c>
      <c r="BZ37" s="535">
        <f>IF(WWWW[[#This Row],[Total required water points]]-WWWW[[#This Row],['#Water points coverage]]&lt;0,0,WWWW[[#This Row],[Total required water points]]-WWWW[[#This Row],['#Water points coverage]])</f>
        <v>0</v>
      </c>
      <c r="CA37" s="536">
        <f>WWWW[[#This Row],[HRP2]]/WWWW[[#This Row],[Total PoP ]]</f>
        <v>0.68043010752688171</v>
      </c>
      <c r="CB37" s="542">
        <f>IF(WWWW[[#This Row],[Total PoP ]]="",0,IF(((WWWW[[#This Row],['#_Functional_adult_latrines]]*20)+(WWWW[[#This Row],['#_of_functional_children_latrines]]*20)+WWWW[[#This Row],['#_of_PWD_with_adapted_sanitation_option]]+(WWWW[[#This Row],['#_of_latrines_in_TLS/CFS]]*50))&gt;WWWW[[#This Row],[Total PoP ]],WWWW[[#This Row],[Total PoP ]],((WWWW[[#This Row],['#_Functional_adult_latrines]]*20)+(WWWW[[#This Row],['#_of_functional_children_latrines]]*20)+WWWW[[#This Row],['#_of_PWD_with_adapted_sanitation_option]]+(WWWW[[#This Row],['#_of_latrines_in_TLS/CFS]]*50))))</f>
        <v>7910</v>
      </c>
      <c r="CC37" s="535">
        <f>IF(WWWW[[#This Row],['#_of_latrines_in_TLS/CFS]]*50&gt;WWWW[[#This Row],['#_students at TLS_CFS]],WWWW[[#This Row],['#_students at TLS_CFS]],WWWW[[#This Row],['#_of_latrines_in_TLS/CFS]]*50)</f>
        <v>232</v>
      </c>
      <c r="CD37" s="535">
        <f>ROUND(IF(WWWW[[#This Row],[Location Type 1]]="camp",WWWW[[#This Row],[Total PoP ]]/20),0)</f>
        <v>581</v>
      </c>
      <c r="CE37" s="535">
        <f>IF(WWWW[[#This Row],[Total required Latrines]]-WWWW[[#This Row],['#_Existing_latrines]]&lt;0,0,WWWW[[#This Row],[Total required Latrines]]-WWWW[[#This Row],['#_Existing_latrines]])</f>
        <v>83</v>
      </c>
      <c r="CF37" s="533">
        <f>1-WWWW[[#This Row],[% HRP2]]</f>
        <v>0.31956989247311829</v>
      </c>
      <c r="CG37" s="536">
        <f>IF(WWWW[[#This Row],['#_Existing_latrines]]="","NA",(WWWW[[#This Row],['#_Existing_latrines]]-WWWW[[#This Row],['#_Functional_adult_latrines]])/WWWW[[#This Row],['#_Existing_latrines]])</f>
        <v>0.25702811244979917</v>
      </c>
      <c r="CH37" s="542">
        <f>IF(WWWW[[#This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Row],[_'#_of_Girls_receiving_consultation_hygiene_promotion_messages_and_sessions]]&gt;WWWW[[#This Row],[Total PoP ]],WWWW[[#This Row],[Total PoP ]],WWWW[[#This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f>
        <v>1631</v>
      </c>
      <c r="CI37" s="535">
        <f>IF(WWWW[[#This Row],['#_of_affected_households_receiving_a_sufficient_quantity_of_soap]]=0,0,IF(WWWW[[#This Row],['#_of_affected_households_receiving_a_sufficient_quantity_of_soap]]&gt;=WWWW[[#This Row],[Total HH]],WWWW[[#This Row],[Total PoP ]],IF(WWWW[[#This Row],['#_of_affected_households_receiving_a_sufficient_quantity_of_soap]]*5&gt;WWWW[[#This Row],[Total PoP ]],WWWW[[#This Row],[Total PoP ]],WWWW[[#This Row],['#_of_affected_households_receiving_a_sufficient_quantity_of_soap]]*5)))</f>
        <v>11625</v>
      </c>
      <c r="CJ37" s="535">
        <f>IF(WWWW[[#This Row],['#_of_affected_women_and_girls_receiving_a_sufficient_quantity_of_sanitary_pads]]&gt;WWWW[[#This Row],[Total PoP ]],WWWW[[#This Row],[Total PoP ]],WWWW[[#This Row],['#_of_affected_women_and_girls_receiving_a_sufficient_quantity_of_sanitary_pads]])</f>
        <v>3699</v>
      </c>
      <c r="CK37" s="535">
        <f>IF(WWWW[[#This Row],['# People with access to soap]]&gt;WWWW[[#This Row],['# People with access to Sanity Pads]],WWWW[[#This Row],['# People with access to soap]],WWWW[[#This Row],['# People with access to Sanity Pads]])</f>
        <v>11625</v>
      </c>
      <c r="CL37" s="535">
        <f>IF(WWWW[[#This Row],['# people reached by regular dedicated hygiene promotion_5]]&gt;WWWW[[#This Row],['# People received regular supply of hygiene items_6]],WWWW[[#This Row],['# people reached by regular dedicated hygiene promotion_5]],WWWW[[#This Row],['# People received regular supply of hygiene items_6]])</f>
        <v>11625</v>
      </c>
      <c r="CM37" s="533">
        <f>IF(WWWW[[#This Row],[HRP3]]/WWWW[[#This Row],[Total PoP ]]&gt;100%,100%,WWWW[[#This Row],[HRP3]]/WWWW[[#This Row],[Total PoP ]])</f>
        <v>1</v>
      </c>
      <c r="CN37" s="536">
        <f>1-WWWW[[#This Row],[Hygiene Coverage%]]</f>
        <v>0</v>
      </c>
      <c r="CO37" s="534">
        <f>WWWW[[#This Row],['# people reached by regular dedicated hygiene promotion_5]]/WWWW[[#This Row],[Total PoP ]]</f>
        <v>0.14030107526881722</v>
      </c>
      <c r="CP37" s="536">
        <f>IF(WWWW[[#This Row],['#_of_affected_households_receiving_a_sufficient_quantity_of_soap]]/WWWW[[#This Row],[Total HH]]&gt;1,1,WWWW[[#This Row],['#_of_affected_households_receiving_a_sufficient_quantity_of_soap]]/WWWW[[#This Row],[Total HH]])</f>
        <v>1</v>
      </c>
      <c r="CQ37" s="542" t="str">
        <f>IF(WWWW[[#This Row],['#_students at TLS_CFS]]="","No","Yes")</f>
        <v>Yes</v>
      </c>
      <c r="CR37" s="534"/>
      <c r="CS37" s="537" t="str">
        <f>VLOOKUP(WWWW[[#This Row],[Site Name]],SiteDB6[[Site Name]:[CCCM Management]],6,FALSE)</f>
        <v>Yes</v>
      </c>
      <c r="CT37" s="537">
        <f>VLOOKUP(WWWW[[#This Row],[Site Name]],SiteDB6[[Site Name]:[CCCM Focal Agency]],7,FALSE)</f>
        <v>0</v>
      </c>
      <c r="CU37" s="537" t="str">
        <f>VLOOKUP(WWWW[[#This Row],[Site Name]],SiteDB6[[Site Name]:[Location Type 1]],9,FALSE)</f>
        <v>Camp</v>
      </c>
      <c r="CV37" s="537" t="str">
        <f>VLOOKUP(WWWW[[#This Row],[Site Name]],SiteDB6[[Site Name]:[Type of Accommodation]],10,FALSE)</f>
        <v>Planned Camp</v>
      </c>
      <c r="CW37" s="537" t="str">
        <f>VLOOKUP(WWWW[[#This Row],[Site Name]],SiteDB6[[Site Name]:[Ethnic or GCA/NGCA]],11,FALSE)</f>
        <v>Muslim</v>
      </c>
      <c r="CX37" s="537">
        <f>VLOOKUP(WWWW[[#This Row],[Site Name]],SiteDB6[[Site Name]:[Lat]],12,FALSE)</f>
        <v>20.16846</v>
      </c>
      <c r="CY37" s="537">
        <f>VLOOKUP(WWWW[[#This Row],[Site Name]],SiteDB6[[Site Name]:[Long]],13,FALSE)</f>
        <v>92.827427</v>
      </c>
      <c r="CZ37" s="537" t="str">
        <f>VLOOKUP(WWWW[[#This Row],[Site Name]],SiteDB6[[Site Name]:[Pcode]],3,FALSE)</f>
        <v>MMR012CMP041</v>
      </c>
      <c r="DA37" s="564" t="str">
        <f t="shared" si="0"/>
        <v>Covered</v>
      </c>
      <c r="DB37" s="564">
        <f>VLOOKUP(WWWW[[#This Row],[Site Name]],SiteDB6[[Site Name]:[PWD_Total]],22,FALSE)</f>
        <v>92</v>
      </c>
      <c r="DC37" s="564">
        <f>VLOOKUP(WWWW[[#This Row],[Site Name]],SiteDB6[[Site Name]:[PWD_Total]],23,FALSE)</f>
        <v>645</v>
      </c>
      <c r="DD37" s="564">
        <f>VLOOKUP(WWWW[[#This Row],[Site Name]],SiteDB6[[Site Name]:[PWD_Total]],24,FALSE)</f>
        <v>737</v>
      </c>
      <c r="DE37" s="537"/>
      <c r="DF37" s="564">
        <v>3054</v>
      </c>
      <c r="DG37" s="564">
        <v>37</v>
      </c>
      <c r="DH37" s="564">
        <v>0</v>
      </c>
    </row>
    <row r="38" spans="1:114" hidden="1">
      <c r="A38" s="590" t="s">
        <v>2388</v>
      </c>
      <c r="B38" s="590" t="s">
        <v>2308</v>
      </c>
      <c r="C38" s="450" t="s">
        <v>2308</v>
      </c>
      <c r="D38" s="450" t="s">
        <v>41</v>
      </c>
      <c r="E38" s="532" t="s">
        <v>2706</v>
      </c>
      <c r="F38" s="450" t="s">
        <v>299</v>
      </c>
      <c r="G38" s="532" t="str">
        <f>VLOOKUP(WWWW[[#This Row],[Site Name]],SiteDB6[[Site Name]:[Location Type]],8,FALSE)</f>
        <v>Camp</v>
      </c>
      <c r="H38" s="450" t="s">
        <v>427</v>
      </c>
      <c r="I38" s="589">
        <v>604</v>
      </c>
      <c r="J38" s="589">
        <v>3360</v>
      </c>
      <c r="K38" s="453">
        <v>43009</v>
      </c>
      <c r="L38" s="854">
        <v>44104</v>
      </c>
      <c r="M38" s="589"/>
      <c r="N38" s="589"/>
      <c r="O38" s="589"/>
      <c r="P38" s="589">
        <v>0</v>
      </c>
      <c r="Q38" s="542"/>
      <c r="R38" s="589"/>
      <c r="S38" s="589"/>
      <c r="T38" s="589">
        <v>19</v>
      </c>
      <c r="U38" s="589">
        <v>20</v>
      </c>
      <c r="V38" s="589"/>
      <c r="W38" s="589"/>
      <c r="X38" s="589">
        <v>19</v>
      </c>
      <c r="Y38" s="589">
        <v>16</v>
      </c>
      <c r="Z38" s="589">
        <v>24</v>
      </c>
      <c r="AA38" s="589">
        <v>8</v>
      </c>
      <c r="AB38" s="589">
        <v>0</v>
      </c>
      <c r="AC38" s="589">
        <v>30</v>
      </c>
      <c r="AD38" s="589">
        <v>1</v>
      </c>
      <c r="AE38" s="635"/>
      <c r="AF38" s="589"/>
      <c r="AG38" s="589"/>
      <c r="AH38" s="589"/>
      <c r="AI38" s="534"/>
      <c r="AJ38" s="589"/>
      <c r="AK38" s="534"/>
      <c r="AL38" s="534"/>
      <c r="AM38" s="534"/>
      <c r="AN38" s="534"/>
      <c r="AO38" s="589"/>
      <c r="AP38" s="589"/>
      <c r="AQ38" s="589">
        <v>10</v>
      </c>
      <c r="AR38" s="589" t="s">
        <v>130</v>
      </c>
      <c r="AS38" s="648"/>
      <c r="AT38" s="589"/>
      <c r="AU38" s="589"/>
      <c r="AV38" s="589"/>
      <c r="AW38" s="589"/>
      <c r="AX38" s="589">
        <v>604</v>
      </c>
      <c r="AY38" s="589">
        <v>1170</v>
      </c>
      <c r="AZ38" s="534"/>
      <c r="BA38" s="534"/>
      <c r="BB38" s="534"/>
      <c r="BC38" s="534"/>
      <c r="BD38" s="855"/>
      <c r="BE38" s="534"/>
      <c r="BF38" s="534"/>
      <c r="BG38" s="589"/>
      <c r="BH38" s="534">
        <v>0.67</v>
      </c>
      <c r="BI38" s="534"/>
      <c r="BJ38" s="535"/>
      <c r="BK38" s="648"/>
      <c r="BL38" s="648"/>
      <c r="BM38" s="536">
        <f>IFERROR(WWWW[[#This Row],['#_Water samples _passed_at_water source]]/WWWW[[#This Row],['#_Water samples_Tested_at_water_source]],"no test")</f>
        <v>0.84210526315789469</v>
      </c>
      <c r="BN38" s="534">
        <f>IFERROR(WWWW[[#This Row],['#_Water samples _passed_at_HH]]/WWWW[[#This Row],['#_Water samples_Tested_at_HH]],"no test")</f>
        <v>0.33333333333333331</v>
      </c>
      <c r="BO38" s="535" t="str">
        <f>IF(AND(WWWW[[#This Row],[%of Water samples which passed at water source]]="no test",WWWW[[#This Row],[%Water samples which passed at HH]]="no test"),"No Test","Tested")</f>
        <v>Tested</v>
      </c>
      <c r="BP38" s="536">
        <f>IF(WWWW[[#This Row],[Total PoP ]]="","",IF(((WWWW[[#This Row],['#_Functional_improved_water_source]]*500)+(WWWW[[#This Row],['#_litres_of_water_supplied_by_existing_water_boating/trucking ]]/90/15)+(WWWW[[#This Row],['#_Functional_water_point_at_TLS/CFS]]*500))/WWWW[[#This Row],[Total PoP ]]&gt;1,1,((WWWW[[#This Row],['#_Functional_improved_water_source]]*500)+(WWWW[[#This Row],['#_litres_of_water_supplied_by_existing_water_boating/trucking ]]/90/15)+(WWWW[[#This Row],['#_Functional_water_point_at_TLS/CFS]]*500))/WWWW[[#This Row],[Total PoP ]]))</f>
        <v>1</v>
      </c>
      <c r="BQ38" s="542">
        <f>WWWW[[#This Row],[Access to safe/improved water through improved water sources]]*WWWW[[#This Row],[Total PoP ]]</f>
        <v>3360</v>
      </c>
      <c r="BR38" s="536">
        <f>IF((WWWW[[#This Row],['#_litres_of_water_stored_in_ponds]]/90/15)/WWWW[[#This Row],[Total PoP ]]&gt;1,1,(WWWW[[#This Row],['#_litres_of_water_stored_in_ponds]]/90/15)/WWWW[[#This Row],[Total PoP ]])</f>
        <v>0</v>
      </c>
      <c r="BS38" s="542">
        <f>WWWW[[#This Row],[% Access to unimproved water points]]*WWWW[[#This Row],[Total PoP ]]</f>
        <v>0</v>
      </c>
      <c r="BT38" s="536">
        <f>IF(WWWW[[#This Row],[Access to safe/improved water through improved water sources]]+WWWW[[#This Row],[% Access to unimproved water points]]&gt;1,1,WWWW[[#This Row],[Access to safe/improved water through improved water sources]]+WWWW[[#This Row],[% Access to unimproved water points]])</f>
        <v>1</v>
      </c>
      <c r="BU38" s="542">
        <f>IF(WWWW[[#This Row],['# people with equitable and continuous access to sufficient quantity of safe drinking water]]+WWWW[[#This Row],['#People access to unimproved water sources]]&gt;WWWW[[#This Row],[Total PoP ]],WWWW[[#This Row],[Total PoP ]],WWWW[[#This Row],['# people with equitable and continuous access to sufficient quantity of safe drinking water]]+WWWW[[#This Row],['#People access to unimproved water sources]])</f>
        <v>3360</v>
      </c>
      <c r="BV38" s="542">
        <f>WWWW[[#This Row],[HRP1]]/500</f>
        <v>6.72</v>
      </c>
      <c r="BW38" s="533">
        <f>1-WWWW[[#This Row],[% HRP1]]</f>
        <v>0</v>
      </c>
      <c r="BX38" s="542">
        <f>WWWW[[#This Row],[%equitable and continuous access to sufficient quantity of safe drinking and domestic water''s GAP]]*WWWW[[#This Row],[Total PoP ]]</f>
        <v>0</v>
      </c>
      <c r="BY38" s="535">
        <f>ROUND(IF(WWWW[[#This Row],[Total PoP ]]&lt;500,1,WWWW[[#This Row],[Total PoP ]]/500),0)</f>
        <v>7</v>
      </c>
      <c r="BZ38" s="535">
        <f>IF(WWWW[[#This Row],[Total required water points]]-WWWW[[#This Row],['#Water points coverage]]&lt;0,0,WWWW[[#This Row],[Total required water points]]-WWWW[[#This Row],['#Water points coverage]])</f>
        <v>0.28000000000000025</v>
      </c>
      <c r="CA38" s="536">
        <f>WWWW[[#This Row],[HRP2]]/WWWW[[#This Row],[Total PoP ]]</f>
        <v>0.14880952380952381</v>
      </c>
      <c r="CB38" s="542">
        <f>IF(WWWW[[#This Row],[Total PoP ]]="",0,IF(((WWWW[[#This Row],['#_Functional_adult_latrines]]*20)+(WWWW[[#This Row],['#_of_functional_children_latrines]]*20)+WWWW[[#This Row],['#_of_PWD_with_adapted_sanitation_option]]+(WWWW[[#This Row],['#_of_latrines_in_TLS/CFS]]*50))&gt;WWWW[[#This Row],[Total PoP ]],WWWW[[#This Row],[Total PoP ]],((WWWW[[#This Row],['#_Functional_adult_latrines]]*20)+(WWWW[[#This Row],['#_of_functional_children_latrines]]*20)+WWWW[[#This Row],['#_of_PWD_with_adapted_sanitation_option]]+(WWWW[[#This Row],['#_of_latrines_in_TLS/CFS]]*50))))</f>
        <v>500</v>
      </c>
      <c r="CC38" s="535">
        <f>IF(WWWW[[#This Row],['#_of_latrines_in_TLS/CFS]]*50&gt;WWWW[[#This Row],['#_students at TLS_CFS]],WWWW[[#This Row],['#_students at TLS_CFS]],WWWW[[#This Row],['#_of_latrines_in_TLS/CFS]]*50)</f>
        <v>0</v>
      </c>
      <c r="CD38" s="535">
        <f>ROUND(IF(WWWW[[#This Row],[Location Type 1]]="camp",WWWW[[#This Row],[Total PoP ]]/20),0)</f>
        <v>168</v>
      </c>
      <c r="CE38" s="535">
        <f>IF(WWWW[[#This Row],[Total required Latrines]]-WWWW[[#This Row],['#_Existing_latrines]]&lt;0,0,WWWW[[#This Row],[Total required Latrines]]-WWWW[[#This Row],['#_Existing_latrines]])</f>
        <v>168</v>
      </c>
      <c r="CF38" s="533">
        <f>1-WWWW[[#This Row],[% HRP2]]</f>
        <v>0.85119047619047616</v>
      </c>
      <c r="CG38" s="536" t="str">
        <f>IF(WWWW[[#This Row],['#_Existing_latrines]]="","NA",(WWWW[[#This Row],['#_Existing_latrines]]-WWWW[[#This Row],['#_Functional_adult_latrines]])/WWWW[[#This Row],['#_Existing_latrines]])</f>
        <v>NA</v>
      </c>
      <c r="CH38" s="542">
        <f>IF(WWWW[[#This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Row],[_'#_of_Girls_receiving_consultation_hygiene_promotion_messages_and_sessions]]&gt;WWWW[[#This Row],[Total PoP ]],WWWW[[#This Row],[Total PoP ]],WWWW[[#This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f>
        <v>0</v>
      </c>
      <c r="CI38" s="535">
        <f>IF(WWWW[[#This Row],['#_of_affected_households_receiving_a_sufficient_quantity_of_soap]]=0,0,IF(WWWW[[#This Row],['#_of_affected_households_receiving_a_sufficient_quantity_of_soap]]&gt;=WWWW[[#This Row],[Total HH]],WWWW[[#This Row],[Total PoP ]],IF(WWWW[[#This Row],['#_of_affected_households_receiving_a_sufficient_quantity_of_soap]]*5&gt;WWWW[[#This Row],[Total PoP ]],WWWW[[#This Row],[Total PoP ]],WWWW[[#This Row],['#_of_affected_households_receiving_a_sufficient_quantity_of_soap]]*5)))</f>
        <v>3360</v>
      </c>
      <c r="CJ38" s="535">
        <f>IF(WWWW[[#This Row],['#_of_affected_women_and_girls_receiving_a_sufficient_quantity_of_sanitary_pads]]&gt;WWWW[[#This Row],[Total PoP ]],WWWW[[#This Row],[Total PoP ]],WWWW[[#This Row],['#_of_affected_women_and_girls_receiving_a_sufficient_quantity_of_sanitary_pads]])</f>
        <v>1170</v>
      </c>
      <c r="CK38" s="535">
        <f>IF(WWWW[[#This Row],['# People with access to soap]]&gt;WWWW[[#This Row],['# People with access to Sanity Pads]],WWWW[[#This Row],['# People with access to soap]],WWWW[[#This Row],['# People with access to Sanity Pads]])</f>
        <v>3360</v>
      </c>
      <c r="CL38" s="535">
        <f>IF(WWWW[[#This Row],['# people reached by regular dedicated hygiene promotion_5]]&gt;WWWW[[#This Row],['# People received regular supply of hygiene items_6]],WWWW[[#This Row],['# people reached by regular dedicated hygiene promotion_5]],WWWW[[#This Row],['# People received regular supply of hygiene items_6]])</f>
        <v>3360</v>
      </c>
      <c r="CM38" s="533">
        <f>IF(WWWW[[#This Row],[HRP3]]/WWWW[[#This Row],[Total PoP ]]&gt;100%,100%,WWWW[[#This Row],[HRP3]]/WWWW[[#This Row],[Total PoP ]])</f>
        <v>1</v>
      </c>
      <c r="CN38" s="536">
        <f>1-WWWW[[#This Row],[Hygiene Coverage%]]</f>
        <v>0</v>
      </c>
      <c r="CO38" s="534">
        <f>WWWW[[#This Row],['# people reached by regular dedicated hygiene promotion_5]]/WWWW[[#This Row],[Total PoP ]]</f>
        <v>0</v>
      </c>
      <c r="CP38" s="536">
        <f>IF(WWWW[[#This Row],['#_of_affected_households_receiving_a_sufficient_quantity_of_soap]]/WWWW[[#This Row],[Total HH]]&gt;1,1,WWWW[[#This Row],['#_of_affected_households_receiving_a_sufficient_quantity_of_soap]]/WWWW[[#This Row],[Total HH]])</f>
        <v>1</v>
      </c>
      <c r="CQ38" s="542" t="str">
        <f>IF(WWWW[[#This Row],['#_students at TLS_CFS]]="","No","Yes")</f>
        <v>No</v>
      </c>
      <c r="CR38" s="534"/>
      <c r="CS38" s="537" t="str">
        <f>VLOOKUP(WWWW[[#This Row],[Site Name]],SiteDB6[[Site Name]:[CCCM Management]],6,FALSE)</f>
        <v>Yes</v>
      </c>
      <c r="CT38" s="537">
        <f>VLOOKUP(WWWW[[#This Row],[Site Name]],SiteDB6[[Site Name]:[CCCM Focal Agency]],7,FALSE)</f>
        <v>0</v>
      </c>
      <c r="CU38" s="537" t="str">
        <f>VLOOKUP(WWWW[[#This Row],[Site Name]],SiteDB6[[Site Name]:[Location Type 1]],9,FALSE)</f>
        <v>Camp</v>
      </c>
      <c r="CV38" s="537" t="str">
        <f>VLOOKUP(WWWW[[#This Row],[Site Name]],SiteDB6[[Site Name]:[Type of Accommodation]],10,FALSE)</f>
        <v>Host Families</v>
      </c>
      <c r="CW38" s="537" t="str">
        <f>VLOOKUP(WWWW[[#This Row],[Site Name]],SiteDB6[[Site Name]:[Ethnic or GCA/NGCA]],11,FALSE)</f>
        <v>Muslim</v>
      </c>
      <c r="CX38" s="537">
        <f>VLOOKUP(WWWW[[#This Row],[Site Name]],SiteDB6[[Site Name]:[Lat]],12,FALSE)</f>
        <v>20.167421999999998</v>
      </c>
      <c r="CY38" s="537">
        <f>VLOOKUP(WWWW[[#This Row],[Site Name]],SiteDB6[[Site Name]:[Long]],13,FALSE)</f>
        <v>92.830074999999994</v>
      </c>
      <c r="CZ38" s="537" t="str">
        <f>VLOOKUP(WWWW[[#This Row],[Site Name]],SiteDB6[[Site Name]:[Pcode]],3,FALSE)</f>
        <v>MMR012CMP097</v>
      </c>
      <c r="DA38" s="564" t="str">
        <f t="shared" si="0"/>
        <v>Covered</v>
      </c>
      <c r="DB38" s="564">
        <f>VLOOKUP(WWWW[[#This Row],[Site Name]],SiteDB6[[Site Name]:[PWD_Total]],22,FALSE)</f>
        <v>0</v>
      </c>
      <c r="DC38" s="564">
        <f>VLOOKUP(WWWW[[#This Row],[Site Name]],SiteDB6[[Site Name]:[PWD_Total]],23,FALSE)</f>
        <v>0</v>
      </c>
      <c r="DD38" s="564">
        <f>VLOOKUP(WWWW[[#This Row],[Site Name]],SiteDB6[[Site Name]:[PWD_Total]],24,FALSE)</f>
        <v>0</v>
      </c>
      <c r="DE38" s="537"/>
      <c r="DF38" s="564"/>
      <c r="DG38" s="564"/>
      <c r="DH38" s="564"/>
    </row>
    <row r="39" spans="1:114" hidden="1">
      <c r="A39" s="590" t="s">
        <v>2388</v>
      </c>
      <c r="B39" s="590" t="s">
        <v>2307</v>
      </c>
      <c r="C39" s="450" t="s">
        <v>2307</v>
      </c>
      <c r="D39" s="450" t="s">
        <v>41</v>
      </c>
      <c r="E39" s="532" t="s">
        <v>2706</v>
      </c>
      <c r="F39" s="450" t="s">
        <v>299</v>
      </c>
      <c r="G39" s="532" t="str">
        <f>VLOOKUP(WWWW[[#This Row],[Site Name]],SiteDB6[[Site Name]:[Location Type]],8,FALSE)</f>
        <v>Camp</v>
      </c>
      <c r="H39" s="450" t="s">
        <v>2309</v>
      </c>
      <c r="I39" s="589">
        <v>400</v>
      </c>
      <c r="J39" s="589">
        <v>2248</v>
      </c>
      <c r="K39" s="453">
        <v>43009</v>
      </c>
      <c r="L39" s="854">
        <v>44104</v>
      </c>
      <c r="M39" s="589">
        <v>444</v>
      </c>
      <c r="N39" s="589">
        <v>20</v>
      </c>
      <c r="O39" s="589">
        <v>59</v>
      </c>
      <c r="P39" s="589">
        <v>0</v>
      </c>
      <c r="Q39" s="542" t="s">
        <v>130</v>
      </c>
      <c r="R39" s="589">
        <v>12</v>
      </c>
      <c r="S39" s="589">
        <v>6</v>
      </c>
      <c r="T39" s="589">
        <v>50</v>
      </c>
      <c r="U39" s="589">
        <v>52</v>
      </c>
      <c r="V39" s="589"/>
      <c r="W39" s="589"/>
      <c r="X39" s="589">
        <v>45</v>
      </c>
      <c r="Y39" s="589">
        <v>38</v>
      </c>
      <c r="Z39" s="589">
        <v>57</v>
      </c>
      <c r="AA39" s="589">
        <v>32</v>
      </c>
      <c r="AB39" s="589">
        <v>0</v>
      </c>
      <c r="AC39" s="589">
        <v>30</v>
      </c>
      <c r="AD39" s="589">
        <v>0</v>
      </c>
      <c r="AE39" s="635"/>
      <c r="AF39" s="589">
        <v>106</v>
      </c>
      <c r="AG39" s="589">
        <v>106</v>
      </c>
      <c r="AH39" s="589">
        <v>23</v>
      </c>
      <c r="AI39" s="534">
        <v>0.34</v>
      </c>
      <c r="AJ39" s="589">
        <v>113</v>
      </c>
      <c r="AK39" s="534">
        <v>1</v>
      </c>
      <c r="AL39" s="534">
        <v>0.36</v>
      </c>
      <c r="AM39" s="534">
        <v>1</v>
      </c>
      <c r="AN39" s="534">
        <v>1</v>
      </c>
      <c r="AO39" s="589">
        <v>8</v>
      </c>
      <c r="AP39" s="589"/>
      <c r="AQ39" s="589">
        <v>7</v>
      </c>
      <c r="AR39" s="589" t="s">
        <v>42</v>
      </c>
      <c r="AS39" s="648"/>
      <c r="AT39" s="589">
        <v>400</v>
      </c>
      <c r="AU39" s="589">
        <v>2800</v>
      </c>
      <c r="AV39" s="589">
        <v>1119</v>
      </c>
      <c r="AW39" s="589">
        <v>1179</v>
      </c>
      <c r="AX39" s="589">
        <v>400</v>
      </c>
      <c r="AY39" s="589">
        <v>846</v>
      </c>
      <c r="AZ39" s="534"/>
      <c r="BA39" s="534"/>
      <c r="BB39" s="534"/>
      <c r="BC39" s="534">
        <v>0</v>
      </c>
      <c r="BD39" s="855"/>
      <c r="BE39" s="534"/>
      <c r="BF39" s="534"/>
      <c r="BG39" s="589">
        <v>1</v>
      </c>
      <c r="BH39" s="534">
        <v>0.67</v>
      </c>
      <c r="BI39" s="534">
        <f>WWWW[[#This Row],[Cases of Acute watery diarrhea]]/WWWW[[#This Row],[Total consultations]]</f>
        <v>0.11241217798594848</v>
      </c>
      <c r="BJ39" s="535"/>
      <c r="BK39" s="648"/>
      <c r="BL39" s="648"/>
      <c r="BM39" s="536">
        <f>IFERROR(WWWW[[#This Row],['#_Water samples _passed_at_water source]]/WWWW[[#This Row],['#_Water samples_Tested_at_water_source]],"no test")</f>
        <v>0.84444444444444444</v>
      </c>
      <c r="BN39" s="534">
        <f>IFERROR(WWWW[[#This Row],['#_Water samples _passed_at_HH]]/WWWW[[#This Row],['#_Water samples_Tested_at_HH]],"no test")</f>
        <v>0.56140350877192979</v>
      </c>
      <c r="BO39" s="535" t="str">
        <f>IF(AND(WWWW[[#This Row],[%of Water samples which passed at water source]]="no test",WWWW[[#This Row],[%Water samples which passed at HH]]="no test"),"No Test","Tested")</f>
        <v>Tested</v>
      </c>
      <c r="BP39" s="536">
        <f>IF(WWWW[[#This Row],[Total PoP ]]="","",IF(((WWWW[[#This Row],['#_Functional_improved_water_source]]*500)+(WWWW[[#This Row],['#_litres_of_water_supplied_by_existing_water_boating/trucking ]]/90/15)+(WWWW[[#This Row],['#_Functional_water_point_at_TLS/CFS]]*500))/WWWW[[#This Row],[Total PoP ]]&gt;1,1,((WWWW[[#This Row],['#_Functional_improved_water_source]]*500)+(WWWW[[#This Row],['#_litres_of_water_supplied_by_existing_water_boating/trucking ]]/90/15)+(WWWW[[#This Row],['#_Functional_water_point_at_TLS/CFS]]*500))/WWWW[[#This Row],[Total PoP ]]))</f>
        <v>1</v>
      </c>
      <c r="BQ39" s="542">
        <f>WWWW[[#This Row],[Access to safe/improved water through improved water sources]]*WWWW[[#This Row],[Total PoP ]]</f>
        <v>2248</v>
      </c>
      <c r="BR39" s="536">
        <f>IF((WWWW[[#This Row],['#_litres_of_water_stored_in_ponds]]/90/15)/WWWW[[#This Row],[Total PoP ]]&gt;1,1,(WWWW[[#This Row],['#_litres_of_water_stored_in_ponds]]/90/15)/WWWW[[#This Row],[Total PoP ]])</f>
        <v>0</v>
      </c>
      <c r="BS39" s="542">
        <f>WWWW[[#This Row],[% Access to unimproved water points]]*WWWW[[#This Row],[Total PoP ]]</f>
        <v>0</v>
      </c>
      <c r="BT39" s="536">
        <f>IF(WWWW[[#This Row],[Access to safe/improved water through improved water sources]]+WWWW[[#This Row],[% Access to unimproved water points]]&gt;1,1,WWWW[[#This Row],[Access to safe/improved water through improved water sources]]+WWWW[[#This Row],[% Access to unimproved water points]])</f>
        <v>1</v>
      </c>
      <c r="BU39" s="542">
        <f>IF(WWWW[[#This Row],['# people with equitable and continuous access to sufficient quantity of safe drinking water]]+WWWW[[#This Row],['#People access to unimproved water sources]]&gt;WWWW[[#This Row],[Total PoP ]],WWWW[[#This Row],[Total PoP ]],WWWW[[#This Row],['# people with equitable and continuous access to sufficient quantity of safe drinking water]]+WWWW[[#This Row],['#People access to unimproved water sources]])</f>
        <v>2248</v>
      </c>
      <c r="BV39" s="542">
        <f>WWWW[[#This Row],[HRP1]]/500</f>
        <v>4.4960000000000004</v>
      </c>
      <c r="BW39" s="533">
        <f>1-WWWW[[#This Row],[% HRP1]]</f>
        <v>0</v>
      </c>
      <c r="BX39" s="542">
        <f>WWWW[[#This Row],[%equitable and continuous access to sufficient quantity of safe drinking and domestic water''s GAP]]*WWWW[[#This Row],[Total PoP ]]</f>
        <v>0</v>
      </c>
      <c r="BY39" s="535">
        <f>ROUND(IF(WWWW[[#This Row],[Total PoP ]]&lt;500,1,WWWW[[#This Row],[Total PoP ]]/500),0)</f>
        <v>4</v>
      </c>
      <c r="BZ39" s="535">
        <f>IF(WWWW[[#This Row],[Total required water points]]-WWWW[[#This Row],['#Water points coverage]]&lt;0,0,WWWW[[#This Row],[Total required water points]]-WWWW[[#This Row],['#Water points coverage]])</f>
        <v>0</v>
      </c>
      <c r="CA39" s="536">
        <f>WWWW[[#This Row],[HRP2]]/WWWW[[#This Row],[Total PoP ]]</f>
        <v>1</v>
      </c>
      <c r="CB39" s="542">
        <f>IF(WWWW[[#This Row],[Total PoP ]]="",0,IF(((WWWW[[#This Row],['#_Functional_adult_latrines]]*20)+(WWWW[[#This Row],['#_of_functional_children_latrines]]*20)+WWWW[[#This Row],['#_of_PWD_with_adapted_sanitation_option]]+(WWWW[[#This Row],['#_of_latrines_in_TLS/CFS]]*50))&gt;WWWW[[#This Row],[Total PoP ]],WWWW[[#This Row],[Total PoP ]],((WWWW[[#This Row],['#_Functional_adult_latrines]]*20)+(WWWW[[#This Row],['#_of_functional_children_latrines]]*20)+WWWW[[#This Row],['#_of_PWD_with_adapted_sanitation_option]]+(WWWW[[#This Row],['#_of_latrines_in_TLS/CFS]]*50))))</f>
        <v>2248</v>
      </c>
      <c r="CC39" s="535">
        <f>IF(WWWW[[#This Row],['#_of_latrines_in_TLS/CFS]]*50&gt;WWWW[[#This Row],['#_students at TLS_CFS]],WWWW[[#This Row],['#_students at TLS_CFS]],WWWW[[#This Row],['#_of_latrines_in_TLS/CFS]]*50)</f>
        <v>350</v>
      </c>
      <c r="CD39" s="535">
        <f>ROUND(IF(WWWW[[#This Row],[Location Type 1]]="camp",WWWW[[#This Row],[Total PoP ]]/20),0)</f>
        <v>112</v>
      </c>
      <c r="CE39" s="535">
        <f>IF(WWWW[[#This Row],[Total required Latrines]]-WWWW[[#This Row],['#_Existing_latrines]]&lt;0,0,WWWW[[#This Row],[Total required Latrines]]-WWWW[[#This Row],['#_Existing_latrines]])</f>
        <v>6</v>
      </c>
      <c r="CF39" s="533">
        <f>1-WWWW[[#This Row],[% HRP2]]</f>
        <v>0</v>
      </c>
      <c r="CG39" s="536">
        <f>IF(WWWW[[#This Row],['#_Existing_latrines]]="","NA",(WWWW[[#This Row],['#_Existing_latrines]]-WWWW[[#This Row],['#_Functional_adult_latrines]])/WWWW[[#This Row],['#_Existing_latrines]])</f>
        <v>0</v>
      </c>
      <c r="CH39" s="542">
        <f>IF(WWWW[[#This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Row],[_'#_of_Girls_receiving_consultation_hygiene_promotion_messages_and_sessions]]&gt;WWWW[[#This Row],[Total PoP ]],WWWW[[#This Row],[Total PoP ]],WWWW[[#This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f>
        <v>2248</v>
      </c>
      <c r="CI39" s="535">
        <f>IF(WWWW[[#This Row],['#_of_affected_households_receiving_a_sufficient_quantity_of_soap]]=0,0,IF(WWWW[[#This Row],['#_of_affected_households_receiving_a_sufficient_quantity_of_soap]]&gt;=WWWW[[#This Row],[Total HH]],WWWW[[#This Row],[Total PoP ]],IF(WWWW[[#This Row],['#_of_affected_households_receiving_a_sufficient_quantity_of_soap]]*5&gt;WWWW[[#This Row],[Total PoP ]],WWWW[[#This Row],[Total PoP ]],WWWW[[#This Row],['#_of_affected_households_receiving_a_sufficient_quantity_of_soap]]*5)))</f>
        <v>2248</v>
      </c>
      <c r="CJ39" s="535">
        <f>IF(WWWW[[#This Row],['#_of_affected_women_and_girls_receiving_a_sufficient_quantity_of_sanitary_pads]]&gt;WWWW[[#This Row],[Total PoP ]],WWWW[[#This Row],[Total PoP ]],WWWW[[#This Row],['#_of_affected_women_and_girls_receiving_a_sufficient_quantity_of_sanitary_pads]])</f>
        <v>846</v>
      </c>
      <c r="CK39" s="535">
        <f>IF(WWWW[[#This Row],['# People with access to soap]]&gt;WWWW[[#This Row],['# People with access to Sanity Pads]],WWWW[[#This Row],['# People with access to soap]],WWWW[[#This Row],['# People with access to Sanity Pads]])</f>
        <v>2248</v>
      </c>
      <c r="CL39" s="535">
        <f>IF(WWWW[[#This Row],['# people reached by regular dedicated hygiene promotion_5]]&gt;WWWW[[#This Row],['# People received regular supply of hygiene items_6]],WWWW[[#This Row],['# people reached by regular dedicated hygiene promotion_5]],WWWW[[#This Row],['# People received regular supply of hygiene items_6]])</f>
        <v>2248</v>
      </c>
      <c r="CM39" s="533">
        <f>IF(WWWW[[#This Row],[HRP3]]/WWWW[[#This Row],[Total PoP ]]&gt;100%,100%,WWWW[[#This Row],[HRP3]]/WWWW[[#This Row],[Total PoP ]])</f>
        <v>1</v>
      </c>
      <c r="CN39" s="536">
        <f>1-WWWW[[#This Row],[Hygiene Coverage%]]</f>
        <v>0</v>
      </c>
      <c r="CO39" s="534">
        <f>WWWW[[#This Row],['# people reached by regular dedicated hygiene promotion_5]]/WWWW[[#This Row],[Total PoP ]]</f>
        <v>1</v>
      </c>
      <c r="CP39" s="536">
        <f>IF(WWWW[[#This Row],['#_of_affected_households_receiving_a_sufficient_quantity_of_soap]]/WWWW[[#This Row],[Total HH]]&gt;1,1,WWWW[[#This Row],['#_of_affected_households_receiving_a_sufficient_quantity_of_soap]]/WWWW[[#This Row],[Total HH]])</f>
        <v>1</v>
      </c>
      <c r="CQ39" s="542" t="str">
        <f>IF(WWWW[[#This Row],['#_students at TLS_CFS]]="","No","Yes")</f>
        <v>Yes</v>
      </c>
      <c r="CR39" s="534"/>
      <c r="CS39" s="537" t="str">
        <f>VLOOKUP(WWWW[[#This Row],[Site Name]],SiteDB6[[Site Name]:[CCCM Management]],6,FALSE)</f>
        <v>Yes</v>
      </c>
      <c r="CT39" s="537">
        <f>VLOOKUP(WWWW[[#This Row],[Site Name]],SiteDB6[[Site Name]:[CCCM Focal Agency]],7,FALSE)</f>
        <v>0</v>
      </c>
      <c r="CU39" s="537" t="str">
        <f>VLOOKUP(WWWW[[#This Row],[Site Name]],SiteDB6[[Site Name]:[Location Type 1]],9,FALSE)</f>
        <v>Camp</v>
      </c>
      <c r="CV39" s="537" t="str">
        <f>VLOOKUP(WWWW[[#This Row],[Site Name]],SiteDB6[[Site Name]:[Type of Accommodation]],10,FALSE)</f>
        <v>Planned Camp</v>
      </c>
      <c r="CW39" s="537" t="str">
        <f>VLOOKUP(WWWW[[#This Row],[Site Name]],SiteDB6[[Site Name]:[Ethnic or GCA/NGCA]],11,FALSE)</f>
        <v>Muslim</v>
      </c>
      <c r="CX39" s="537">
        <f>VLOOKUP(WWWW[[#This Row],[Site Name]],SiteDB6[[Site Name]:[Lat]],12,FALSE)</f>
        <v>20.181778000000001</v>
      </c>
      <c r="CY39" s="537">
        <f>VLOOKUP(WWWW[[#This Row],[Site Name]],SiteDB6[[Site Name]:[Long]],13,FALSE)</f>
        <v>92.823166999999998</v>
      </c>
      <c r="CZ39" s="537" t="str">
        <f>VLOOKUP(WWWW[[#This Row],[Site Name]],SiteDB6[[Site Name]:[Pcode]],3,FALSE)</f>
        <v>MMR012CMP042</v>
      </c>
      <c r="DA39" s="564" t="str">
        <f t="shared" ref="DA39:DA56" si="1">IF(C39="none","Notcovered","Covered")</f>
        <v>Covered</v>
      </c>
      <c r="DB39" s="564">
        <f>VLOOKUP(WWWW[[#This Row],[Site Name]],SiteDB6[[Site Name]:[PWD_Total]],22,FALSE)</f>
        <v>47</v>
      </c>
      <c r="DC39" s="564">
        <f>VLOOKUP(WWWW[[#This Row],[Site Name]],SiteDB6[[Site Name]:[PWD_Total]],23,FALSE)</f>
        <v>312</v>
      </c>
      <c r="DD39" s="564">
        <f>VLOOKUP(WWWW[[#This Row],[Site Name]],SiteDB6[[Site Name]:[PWD_Total]],24,FALSE)</f>
        <v>359</v>
      </c>
      <c r="DE39" s="537"/>
      <c r="DF39" s="564">
        <v>854</v>
      </c>
      <c r="DG39" s="564">
        <v>96</v>
      </c>
      <c r="DH39" s="564">
        <v>0</v>
      </c>
    </row>
    <row r="40" spans="1:114" hidden="1">
      <c r="A40" s="590" t="s">
        <v>2388</v>
      </c>
      <c r="B40" s="590" t="s">
        <v>2308</v>
      </c>
      <c r="C40" s="450" t="s">
        <v>2308</v>
      </c>
      <c r="D40" s="450" t="s">
        <v>41</v>
      </c>
      <c r="E40" s="532" t="s">
        <v>2706</v>
      </c>
      <c r="F40" s="450" t="s">
        <v>299</v>
      </c>
      <c r="G40" s="532" t="str">
        <f>VLOOKUP(WWWW[[#This Row],[Site Name]],SiteDB6[[Site Name]:[Location Type]],8,FALSE)</f>
        <v>Camp</v>
      </c>
      <c r="H40" s="450" t="s">
        <v>2310</v>
      </c>
      <c r="I40" s="589">
        <v>400</v>
      </c>
      <c r="J40" s="589">
        <v>2186</v>
      </c>
      <c r="K40" s="453">
        <v>43009</v>
      </c>
      <c r="L40" s="854">
        <v>44104</v>
      </c>
      <c r="M40" s="589">
        <v>357</v>
      </c>
      <c r="N40" s="589">
        <v>49</v>
      </c>
      <c r="O40" s="589">
        <v>169</v>
      </c>
      <c r="P40" s="589">
        <v>0</v>
      </c>
      <c r="Q40" s="542" t="s">
        <v>130</v>
      </c>
      <c r="R40" s="589">
        <v>3</v>
      </c>
      <c r="S40" s="589">
        <v>2</v>
      </c>
      <c r="T40" s="589">
        <v>26</v>
      </c>
      <c r="U40" s="589">
        <v>28</v>
      </c>
      <c r="V40" s="589"/>
      <c r="W40" s="589"/>
      <c r="X40" s="589">
        <v>25</v>
      </c>
      <c r="Y40" s="589">
        <v>24</v>
      </c>
      <c r="Z40" s="589">
        <v>34</v>
      </c>
      <c r="AA40" s="589">
        <v>24</v>
      </c>
      <c r="AB40" s="589">
        <v>0</v>
      </c>
      <c r="AC40" s="589">
        <v>30</v>
      </c>
      <c r="AD40" s="589">
        <v>8</v>
      </c>
      <c r="AE40" s="635"/>
      <c r="AF40" s="589">
        <v>88</v>
      </c>
      <c r="AG40" s="589">
        <v>104</v>
      </c>
      <c r="AH40" s="589">
        <v>64</v>
      </c>
      <c r="AI40" s="534">
        <v>0.67</v>
      </c>
      <c r="AJ40" s="589">
        <v>127</v>
      </c>
      <c r="AK40" s="534">
        <v>1</v>
      </c>
      <c r="AL40" s="534">
        <v>0.91</v>
      </c>
      <c r="AM40" s="534">
        <v>1</v>
      </c>
      <c r="AN40" s="534">
        <v>1</v>
      </c>
      <c r="AO40" s="589">
        <v>4</v>
      </c>
      <c r="AP40" s="589"/>
      <c r="AQ40" s="589">
        <v>9</v>
      </c>
      <c r="AR40" s="589" t="s">
        <v>42</v>
      </c>
      <c r="AS40" s="648"/>
      <c r="AT40" s="589">
        <v>34</v>
      </c>
      <c r="AU40" s="589">
        <v>107</v>
      </c>
      <c r="AV40" s="589">
        <v>207</v>
      </c>
      <c r="AW40" s="589">
        <v>306</v>
      </c>
      <c r="AX40" s="589">
        <v>400</v>
      </c>
      <c r="AY40" s="589">
        <v>670</v>
      </c>
      <c r="AZ40" s="534"/>
      <c r="BA40" s="534"/>
      <c r="BB40" s="534"/>
      <c r="BC40" s="403">
        <v>1</v>
      </c>
      <c r="BD40" s="855"/>
      <c r="BE40" s="534"/>
      <c r="BF40" s="534"/>
      <c r="BG40" s="589">
        <v>0.23</v>
      </c>
      <c r="BH40" s="534">
        <v>1</v>
      </c>
      <c r="BI40" s="534">
        <f>WWWW[[#This Row],[Cases of Acute watery diarrhea]]/WWWW[[#This Row],[Total consultations]]</f>
        <v>0</v>
      </c>
      <c r="BJ40" s="535"/>
      <c r="BK40" s="648"/>
      <c r="BL40" s="648"/>
      <c r="BM40" s="536">
        <f>IFERROR(WWWW[[#This Row],['#_Water samples _passed_at_water source]]/WWWW[[#This Row],['#_Water samples_Tested_at_water_source]],"no test")</f>
        <v>0.96</v>
      </c>
      <c r="BN40" s="534">
        <f>IFERROR(WWWW[[#This Row],['#_Water samples _passed_at_HH]]/WWWW[[#This Row],['#_Water samples_Tested_at_HH]],"no test")</f>
        <v>0.70588235294117652</v>
      </c>
      <c r="BO40" s="535" t="str">
        <f>IF(AND(WWWW[[#This Row],[%of Water samples which passed at water source]]="no test",WWWW[[#This Row],[%Water samples which passed at HH]]="no test"),"No Test","Tested")</f>
        <v>Tested</v>
      </c>
      <c r="BP40" s="536">
        <f>IF(WWWW[[#This Row],[Total PoP ]]="","",IF(((WWWW[[#This Row],['#_Functional_improved_water_source]]*500)+(WWWW[[#This Row],['#_litres_of_water_supplied_by_existing_water_boating/trucking ]]/90/15)+(WWWW[[#This Row],['#_Functional_water_point_at_TLS/CFS]]*500))/WWWW[[#This Row],[Total PoP ]]&gt;1,1,((WWWW[[#This Row],['#_Functional_improved_water_source]]*500)+(WWWW[[#This Row],['#_litres_of_water_supplied_by_existing_water_boating/trucking ]]/90/15)+(WWWW[[#This Row],['#_Functional_water_point_at_TLS/CFS]]*500))/WWWW[[#This Row],[Total PoP ]]))</f>
        <v>1</v>
      </c>
      <c r="BQ40" s="542">
        <f>WWWW[[#This Row],[Access to safe/improved water through improved water sources]]*WWWW[[#This Row],[Total PoP ]]</f>
        <v>2186</v>
      </c>
      <c r="BR40" s="536">
        <f>IF((WWWW[[#This Row],['#_litres_of_water_stored_in_ponds]]/90/15)/WWWW[[#This Row],[Total PoP ]]&gt;1,1,(WWWW[[#This Row],['#_litres_of_water_stored_in_ponds]]/90/15)/WWWW[[#This Row],[Total PoP ]])</f>
        <v>0</v>
      </c>
      <c r="BS40" s="542">
        <f>WWWW[[#This Row],[% Access to unimproved water points]]*WWWW[[#This Row],[Total PoP ]]</f>
        <v>0</v>
      </c>
      <c r="BT40" s="536">
        <f>IF(WWWW[[#This Row],[Access to safe/improved water through improved water sources]]+WWWW[[#This Row],[% Access to unimproved water points]]&gt;1,1,WWWW[[#This Row],[Access to safe/improved water through improved water sources]]+WWWW[[#This Row],[% Access to unimproved water points]])</f>
        <v>1</v>
      </c>
      <c r="BU40" s="542">
        <f>IF(WWWW[[#This Row],['# people with equitable and continuous access to sufficient quantity of safe drinking water]]+WWWW[[#This Row],['#People access to unimproved water sources]]&gt;WWWW[[#This Row],[Total PoP ]],WWWW[[#This Row],[Total PoP ]],WWWW[[#This Row],['# people with equitable and continuous access to sufficient quantity of safe drinking water]]+WWWW[[#This Row],['#People access to unimproved water sources]])</f>
        <v>2186</v>
      </c>
      <c r="BV40" s="542">
        <f>WWWW[[#This Row],[HRP1]]/500</f>
        <v>4.3719999999999999</v>
      </c>
      <c r="BW40" s="533">
        <f>1-WWWW[[#This Row],[% HRP1]]</f>
        <v>0</v>
      </c>
      <c r="BX40" s="542">
        <f>WWWW[[#This Row],[%equitable and continuous access to sufficient quantity of safe drinking and domestic water''s GAP]]*WWWW[[#This Row],[Total PoP ]]</f>
        <v>0</v>
      </c>
      <c r="BY40" s="535">
        <f>ROUND(IF(WWWW[[#This Row],[Total PoP ]]&lt;500,1,WWWW[[#This Row],[Total PoP ]]/500),0)</f>
        <v>4</v>
      </c>
      <c r="BZ40" s="535">
        <f>IF(WWWW[[#This Row],[Total required water points]]-WWWW[[#This Row],['#Water points coverage]]&lt;0,0,WWWW[[#This Row],[Total required water points]]-WWWW[[#This Row],['#Water points coverage]])</f>
        <v>0</v>
      </c>
      <c r="CA40" s="536">
        <f>WWWW[[#This Row],[HRP2]]/WWWW[[#This Row],[Total PoP ]]</f>
        <v>1</v>
      </c>
      <c r="CB40" s="542">
        <f>IF(WWWW[[#This Row],[Total PoP ]]="",0,IF(((WWWW[[#This Row],['#_Functional_adult_latrines]]*20)+(WWWW[[#This Row],['#_of_functional_children_latrines]]*20)+WWWW[[#This Row],['#_of_PWD_with_adapted_sanitation_option]]+(WWWW[[#This Row],['#_of_latrines_in_TLS/CFS]]*50))&gt;WWWW[[#This Row],[Total PoP ]],WWWW[[#This Row],[Total PoP ]],((WWWW[[#This Row],['#_Functional_adult_latrines]]*20)+(WWWW[[#This Row],['#_of_functional_children_latrines]]*20)+WWWW[[#This Row],['#_of_PWD_with_adapted_sanitation_option]]+(WWWW[[#This Row],['#_of_latrines_in_TLS/CFS]]*50))))</f>
        <v>2186</v>
      </c>
      <c r="CC40" s="535">
        <f>IF(WWWW[[#This Row],['#_of_latrines_in_TLS/CFS]]*50&gt;WWWW[[#This Row],['#_students at TLS_CFS]],WWWW[[#This Row],['#_students at TLS_CFS]],WWWW[[#This Row],['#_of_latrines_in_TLS/CFS]]*50)</f>
        <v>357</v>
      </c>
      <c r="CD40" s="535">
        <f>ROUND(IF(WWWW[[#This Row],[Location Type 1]]="camp",WWWW[[#This Row],[Total PoP ]]/20),0)</f>
        <v>109</v>
      </c>
      <c r="CE40" s="535">
        <f>IF(WWWW[[#This Row],[Total required Latrines]]-WWWW[[#This Row],['#_Existing_latrines]]&lt;0,0,WWWW[[#This Row],[Total required Latrines]]-WWWW[[#This Row],['#_Existing_latrines]])</f>
        <v>5</v>
      </c>
      <c r="CF40" s="533">
        <f>1-WWWW[[#This Row],[% HRP2]]</f>
        <v>0</v>
      </c>
      <c r="CG40" s="536">
        <f>IF(WWWW[[#This Row],['#_Existing_latrines]]="","NA",(WWWW[[#This Row],['#_Existing_latrines]]-WWWW[[#This Row],['#_Functional_adult_latrines]])/WWWW[[#This Row],['#_Existing_latrines]])</f>
        <v>0.15384615384615385</v>
      </c>
      <c r="CH40" s="542">
        <f>IF(WWWW[[#This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Row],[_'#_of_Girls_receiving_consultation_hygiene_promotion_messages_and_sessions]]&gt;WWWW[[#This Row],[Total PoP ]],WWWW[[#This Row],[Total PoP ]],WWWW[[#This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f>
        <v>654</v>
      </c>
      <c r="CI40" s="535">
        <f>IF(WWWW[[#This Row],['#_of_affected_households_receiving_a_sufficient_quantity_of_soap]]=0,0,IF(WWWW[[#This Row],['#_of_affected_households_receiving_a_sufficient_quantity_of_soap]]&gt;=WWWW[[#This Row],[Total HH]],WWWW[[#This Row],[Total PoP ]],IF(WWWW[[#This Row],['#_of_affected_households_receiving_a_sufficient_quantity_of_soap]]*5&gt;WWWW[[#This Row],[Total PoP ]],WWWW[[#This Row],[Total PoP ]],WWWW[[#This Row],['#_of_affected_households_receiving_a_sufficient_quantity_of_soap]]*5)))</f>
        <v>2186</v>
      </c>
      <c r="CJ40" s="535">
        <f>IF(WWWW[[#This Row],['#_of_affected_women_and_girls_receiving_a_sufficient_quantity_of_sanitary_pads]]&gt;WWWW[[#This Row],[Total PoP ]],WWWW[[#This Row],[Total PoP ]],WWWW[[#This Row],['#_of_affected_women_and_girls_receiving_a_sufficient_quantity_of_sanitary_pads]])</f>
        <v>670</v>
      </c>
      <c r="CK40" s="535">
        <f>IF(WWWW[[#This Row],['# People with access to soap]]&gt;WWWW[[#This Row],['# People with access to Sanity Pads]],WWWW[[#This Row],['# People with access to soap]],WWWW[[#This Row],['# People with access to Sanity Pads]])</f>
        <v>2186</v>
      </c>
      <c r="CL40" s="535">
        <f>IF(WWWW[[#This Row],['# people reached by regular dedicated hygiene promotion_5]]&gt;WWWW[[#This Row],['# People received regular supply of hygiene items_6]],WWWW[[#This Row],['# people reached by regular dedicated hygiene promotion_5]],WWWW[[#This Row],['# People received regular supply of hygiene items_6]])</f>
        <v>2186</v>
      </c>
      <c r="CM40" s="533">
        <f>IF(WWWW[[#This Row],[HRP3]]/WWWW[[#This Row],[Total PoP ]]&gt;100%,100%,WWWW[[#This Row],[HRP3]]/WWWW[[#This Row],[Total PoP ]])</f>
        <v>1</v>
      </c>
      <c r="CN40" s="536">
        <f>1-WWWW[[#This Row],[Hygiene Coverage%]]</f>
        <v>0</v>
      </c>
      <c r="CO40" s="534">
        <f>WWWW[[#This Row],['# people reached by regular dedicated hygiene promotion_5]]/WWWW[[#This Row],[Total PoP ]]</f>
        <v>0.2991765782250686</v>
      </c>
      <c r="CP40" s="536">
        <f>IF(WWWW[[#This Row],['#_of_affected_households_receiving_a_sufficient_quantity_of_soap]]/WWWW[[#This Row],[Total HH]]&gt;1,1,WWWW[[#This Row],['#_of_affected_households_receiving_a_sufficient_quantity_of_soap]]/WWWW[[#This Row],[Total HH]])</f>
        <v>1</v>
      </c>
      <c r="CQ40" s="542" t="str">
        <f>IF(WWWW[[#This Row],['#_students at TLS_CFS]]="","No","Yes")</f>
        <v>Yes</v>
      </c>
      <c r="CR40" s="534"/>
      <c r="CS40" s="537">
        <f>VLOOKUP(WWWW[[#This Row],[Site Name]],SiteDB6[[Site Name]:[CCCM Management]],6,FALSE)</f>
        <v>0</v>
      </c>
      <c r="CT40" s="537">
        <f>VLOOKUP(WWWW[[#This Row],[Site Name]],SiteDB6[[Site Name]:[CCCM Focal Agency]],7,FALSE)</f>
        <v>0</v>
      </c>
      <c r="CU40" s="537" t="str">
        <f>VLOOKUP(WWWW[[#This Row],[Site Name]],SiteDB6[[Site Name]:[Location Type 1]],9,FALSE)</f>
        <v>Camp</v>
      </c>
      <c r="CV40" s="537" t="str">
        <f>VLOOKUP(WWWW[[#This Row],[Site Name]],SiteDB6[[Site Name]:[Type of Accommodation]],10,FALSE)</f>
        <v>Planned Camp</v>
      </c>
      <c r="CW40" s="537" t="str">
        <f>VLOOKUP(WWWW[[#This Row],[Site Name]],SiteDB6[[Site Name]:[Ethnic or GCA/NGCA]],11,FALSE)</f>
        <v>Muslim</v>
      </c>
      <c r="CX40" s="537">
        <f>VLOOKUP(WWWW[[#This Row],[Site Name]],SiteDB6[[Site Name]:[Lat]],12,FALSE)</f>
        <v>20.180194</v>
      </c>
      <c r="CY40" s="537">
        <f>VLOOKUP(WWWW[[#This Row],[Site Name]],SiteDB6[[Site Name]:[Long]],13,FALSE)</f>
        <v>92.816638999999995</v>
      </c>
      <c r="CZ40" s="537" t="str">
        <f>VLOOKUP(WWWW[[#This Row],[Site Name]],SiteDB6[[Site Name]:[Pcode]],3,FALSE)</f>
        <v>MMR012CMP042</v>
      </c>
      <c r="DA40" s="564" t="str">
        <f t="shared" si="1"/>
        <v>Covered</v>
      </c>
      <c r="DB40" s="564">
        <f>VLOOKUP(WWWW[[#This Row],[Site Name]],SiteDB6[[Site Name]:[PWD_Total]],22,FALSE)</f>
        <v>68</v>
      </c>
      <c r="DC40" s="564">
        <f>VLOOKUP(WWWW[[#This Row],[Site Name]],SiteDB6[[Site Name]:[PWD_Total]],23,FALSE)</f>
        <v>265</v>
      </c>
      <c r="DD40" s="564">
        <f>VLOOKUP(WWWW[[#This Row],[Site Name]],SiteDB6[[Site Name]:[PWD_Total]],24,FALSE)</f>
        <v>333</v>
      </c>
      <c r="DE40" s="537"/>
      <c r="DF40" s="564">
        <v>418</v>
      </c>
      <c r="DG40" s="564">
        <v>0</v>
      </c>
      <c r="DH40" s="564">
        <v>0</v>
      </c>
    </row>
    <row r="41" spans="1:114" hidden="1">
      <c r="A41" s="590" t="s">
        <v>2388</v>
      </c>
      <c r="B41" s="590" t="s">
        <v>2294</v>
      </c>
      <c r="C41" s="450" t="s">
        <v>2294</v>
      </c>
      <c r="D41" s="450" t="s">
        <v>235</v>
      </c>
      <c r="E41" s="532" t="s">
        <v>2706</v>
      </c>
      <c r="F41" s="450" t="s">
        <v>361</v>
      </c>
      <c r="G41" s="532" t="str">
        <f>VLOOKUP(WWWW[[#This Row],[Site Name]],SiteDB6[[Site Name]:[Location Type]],8,FALSE)</f>
        <v>Camp</v>
      </c>
      <c r="H41" s="450" t="s">
        <v>372</v>
      </c>
      <c r="I41" s="589">
        <v>353</v>
      </c>
      <c r="J41" s="589">
        <v>971</v>
      </c>
      <c r="K41" s="453">
        <v>43540</v>
      </c>
      <c r="L41" s="854">
        <v>43906</v>
      </c>
      <c r="M41" s="589">
        <v>244</v>
      </c>
      <c r="N41" s="589">
        <v>6</v>
      </c>
      <c r="O41" s="589">
        <v>23</v>
      </c>
      <c r="P41" s="589"/>
      <c r="Q41" s="542" t="s">
        <v>130</v>
      </c>
      <c r="R41" s="589">
        <v>24</v>
      </c>
      <c r="S41" s="589">
        <v>5</v>
      </c>
      <c r="T41" s="589">
        <v>10</v>
      </c>
      <c r="U41" s="589">
        <v>22</v>
      </c>
      <c r="V41" s="589">
        <v>0</v>
      </c>
      <c r="W41" s="589">
        <v>0</v>
      </c>
      <c r="X41" s="589">
        <v>22</v>
      </c>
      <c r="Y41" s="589">
        <v>20</v>
      </c>
      <c r="Z41" s="589">
        <v>4</v>
      </c>
      <c r="AA41" s="589">
        <v>4</v>
      </c>
      <c r="AB41" s="589">
        <v>355</v>
      </c>
      <c r="AC41" s="589">
        <v>30</v>
      </c>
      <c r="AD41" s="589">
        <v>1</v>
      </c>
      <c r="AE41" s="635" t="s">
        <v>3185</v>
      </c>
      <c r="AF41" s="589">
        <v>94</v>
      </c>
      <c r="AG41" s="589">
        <v>94</v>
      </c>
      <c r="AH41" s="589">
        <v>30</v>
      </c>
      <c r="AI41" s="534">
        <v>0</v>
      </c>
      <c r="AJ41" s="589">
        <v>3</v>
      </c>
      <c r="AK41" s="534">
        <v>1</v>
      </c>
      <c r="AL41" s="534">
        <v>1</v>
      </c>
      <c r="AM41" s="534">
        <v>1</v>
      </c>
      <c r="AN41" s="534">
        <v>1</v>
      </c>
      <c r="AO41" s="589">
        <v>0</v>
      </c>
      <c r="AP41" s="589">
        <v>0</v>
      </c>
      <c r="AQ41" s="589">
        <v>10</v>
      </c>
      <c r="AR41" s="589" t="s">
        <v>42</v>
      </c>
      <c r="AS41" s="648" t="s">
        <v>3186</v>
      </c>
      <c r="AT41" s="589">
        <v>510</v>
      </c>
      <c r="AU41" s="589">
        <v>553</v>
      </c>
      <c r="AV41" s="589">
        <v>109</v>
      </c>
      <c r="AW41" s="589">
        <v>128</v>
      </c>
      <c r="AX41" s="589">
        <v>355</v>
      </c>
      <c r="AY41" s="589">
        <v>1162</v>
      </c>
      <c r="AZ41" s="534">
        <v>0</v>
      </c>
      <c r="BA41" s="534">
        <v>0</v>
      </c>
      <c r="BB41" s="534">
        <v>0.8</v>
      </c>
      <c r="BC41" s="534">
        <v>0.95</v>
      </c>
      <c r="BD41" s="855"/>
      <c r="BE41" s="534"/>
      <c r="BF41" s="534"/>
      <c r="BG41" s="589"/>
      <c r="BH41" s="534"/>
      <c r="BI41" s="534"/>
      <c r="BJ41" s="535" t="s">
        <v>42</v>
      </c>
      <c r="BK41" s="648" t="s">
        <v>3095</v>
      </c>
      <c r="BL41" s="648" t="s">
        <v>3187</v>
      </c>
      <c r="BM41" s="536">
        <f>IFERROR(WWWW[[#This Row],['#_Water samples _passed_at_water source]]/WWWW[[#This Row],['#_Water samples_Tested_at_water_source]],"no test")</f>
        <v>0.90909090909090906</v>
      </c>
      <c r="BN41" s="534">
        <f>IFERROR(WWWW[[#This Row],['#_Water samples _passed_at_HH]]/WWWW[[#This Row],['#_Water samples_Tested_at_HH]],"no test")</f>
        <v>1</v>
      </c>
      <c r="BO41" s="535" t="str">
        <f>IF(AND(WWWW[[#This Row],[%of Water samples which passed at water source]]="no test",WWWW[[#This Row],[%Water samples which passed at HH]]="no test"),"No Test","Tested")</f>
        <v>Tested</v>
      </c>
      <c r="BP41" s="536">
        <f>IF(WWWW[[#This Row],[Total PoP ]]="","",IF(((WWWW[[#This Row],['#_Functional_improved_water_source]]*500)+(WWWW[[#This Row],['#_litres_of_water_supplied_by_existing_water_boating/trucking ]]/90/15)+(WWWW[[#This Row],['#_Functional_water_point_at_TLS/CFS]]*500))/WWWW[[#This Row],[Total PoP ]]&gt;1,1,((WWWW[[#This Row],['#_Functional_improved_water_source]]*500)+(WWWW[[#This Row],['#_litres_of_water_supplied_by_existing_water_boating/trucking ]]/90/15)+(WWWW[[#This Row],['#_Functional_water_point_at_TLS/CFS]]*500))/WWWW[[#This Row],[Total PoP ]]))</f>
        <v>1</v>
      </c>
      <c r="BQ41" s="542">
        <f>WWWW[[#This Row],[Access to safe/improved water through improved water sources]]*WWWW[[#This Row],[Total PoP ]]</f>
        <v>971</v>
      </c>
      <c r="BR41" s="536">
        <f>IF((WWWW[[#This Row],['#_litres_of_water_stored_in_ponds]]/90/15)/WWWW[[#This Row],[Total PoP ]]&gt;1,1,(WWWW[[#This Row],['#_litres_of_water_stored_in_ponds]]/90/15)/WWWW[[#This Row],[Total PoP ]])</f>
        <v>0</v>
      </c>
      <c r="BS41" s="542">
        <f>WWWW[[#This Row],[% Access to unimproved water points]]*WWWW[[#This Row],[Total PoP ]]</f>
        <v>0</v>
      </c>
      <c r="BT41" s="536">
        <f>IF(WWWW[[#This Row],[Access to safe/improved water through improved water sources]]+WWWW[[#This Row],[% Access to unimproved water points]]&gt;1,1,WWWW[[#This Row],[Access to safe/improved water through improved water sources]]+WWWW[[#This Row],[% Access to unimproved water points]])</f>
        <v>1</v>
      </c>
      <c r="BU41" s="542">
        <f>IF(WWWW[[#This Row],['# people with equitable and continuous access to sufficient quantity of safe drinking water]]+WWWW[[#This Row],['#People access to unimproved water sources]]&gt;WWWW[[#This Row],[Total PoP ]],WWWW[[#This Row],[Total PoP ]],WWWW[[#This Row],['# people with equitable and continuous access to sufficient quantity of safe drinking water]]+WWWW[[#This Row],['#People access to unimproved water sources]])</f>
        <v>971</v>
      </c>
      <c r="BV41" s="542">
        <f>WWWW[[#This Row],[HRP1]]/500</f>
        <v>1.9419999999999999</v>
      </c>
      <c r="BW41" s="533">
        <f>1-WWWW[[#This Row],[% HRP1]]</f>
        <v>0</v>
      </c>
      <c r="BX41" s="542">
        <f>WWWW[[#This Row],[%equitable and continuous access to sufficient quantity of safe drinking and domestic water''s GAP]]*WWWW[[#This Row],[Total PoP ]]</f>
        <v>0</v>
      </c>
      <c r="BY41" s="535">
        <f>ROUND(IF(WWWW[[#This Row],[Total PoP ]]&lt;500,1,WWWW[[#This Row],[Total PoP ]]/500),0)</f>
        <v>2</v>
      </c>
      <c r="BZ41" s="535">
        <f>IF(WWWW[[#This Row],[Total required water points]]-WWWW[[#This Row],['#Water points coverage]]&lt;0,0,WWWW[[#This Row],[Total required water points]]-WWWW[[#This Row],['#Water points coverage]])</f>
        <v>5.8000000000000052E-2</v>
      </c>
      <c r="CA41" s="536">
        <f>WWWW[[#This Row],[HRP2]]/WWWW[[#This Row],[Total PoP ]]</f>
        <v>1</v>
      </c>
      <c r="CB41" s="542">
        <f>IF(WWWW[[#This Row],[Total PoP ]]="",0,IF(((WWWW[[#This Row],['#_Functional_adult_latrines]]*20)+(WWWW[[#This Row],['#_of_functional_children_latrines]]*20)+WWWW[[#This Row],['#_of_PWD_with_adapted_sanitation_option]]+(WWWW[[#This Row],['#_of_latrines_in_TLS/CFS]]*50))&gt;WWWW[[#This Row],[Total PoP ]],WWWW[[#This Row],[Total PoP ]],((WWWW[[#This Row],['#_Functional_adult_latrines]]*20)+(WWWW[[#This Row],['#_of_functional_children_latrines]]*20)+WWWW[[#This Row],['#_of_PWD_with_adapted_sanitation_option]]+(WWWW[[#This Row],['#_of_latrines_in_TLS/CFS]]*50))))</f>
        <v>971</v>
      </c>
      <c r="CC41" s="535">
        <f>IF(WWWW[[#This Row],['#_of_latrines_in_TLS/CFS]]*50&gt;WWWW[[#This Row],['#_students at TLS_CFS]],WWWW[[#This Row],['#_students at TLS_CFS]],WWWW[[#This Row],['#_of_latrines_in_TLS/CFS]]*50)</f>
        <v>244</v>
      </c>
      <c r="CD41" s="535">
        <f>ROUND(IF(WWWW[[#This Row],[Location Type 1]]="camp",WWWW[[#This Row],[Total PoP ]]/20),0)</f>
        <v>49</v>
      </c>
      <c r="CE41" s="535">
        <f>IF(WWWW[[#This Row],[Total required Latrines]]-WWWW[[#This Row],['#_Existing_latrines]]&lt;0,0,WWWW[[#This Row],[Total required Latrines]]-WWWW[[#This Row],['#_Existing_latrines]])</f>
        <v>0</v>
      </c>
      <c r="CF41" s="533">
        <f>1-WWWW[[#This Row],[% HRP2]]</f>
        <v>0</v>
      </c>
      <c r="CG41" s="536">
        <f>IF(WWWW[[#This Row],['#_Existing_latrines]]="","NA",(WWWW[[#This Row],['#_Existing_latrines]]-WWWW[[#This Row],['#_Functional_adult_latrines]])/WWWW[[#This Row],['#_Existing_latrines]])</f>
        <v>0</v>
      </c>
      <c r="CH41" s="542">
        <f>IF(WWWW[[#This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Row],[_'#_of_Girls_receiving_consultation_hygiene_promotion_messages_and_sessions]]&gt;WWWW[[#This Row],[Total PoP ]],WWWW[[#This Row],[Total PoP ]],WWWW[[#This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f>
        <v>971</v>
      </c>
      <c r="CI41" s="535">
        <f>IF(WWWW[[#This Row],['#_of_affected_households_receiving_a_sufficient_quantity_of_soap]]=0,0,IF(WWWW[[#This Row],['#_of_affected_households_receiving_a_sufficient_quantity_of_soap]]&gt;=WWWW[[#This Row],[Total HH]],WWWW[[#This Row],[Total PoP ]],IF(WWWW[[#This Row],['#_of_affected_households_receiving_a_sufficient_quantity_of_soap]]*5&gt;WWWW[[#This Row],[Total PoP ]],WWWW[[#This Row],[Total PoP ]],WWWW[[#This Row],['#_of_affected_households_receiving_a_sufficient_quantity_of_soap]]*5)))</f>
        <v>971</v>
      </c>
      <c r="CJ41" s="535">
        <f>IF(WWWW[[#This Row],['#_of_affected_women_and_girls_receiving_a_sufficient_quantity_of_sanitary_pads]]&gt;WWWW[[#This Row],[Total PoP ]],WWWW[[#This Row],[Total PoP ]],WWWW[[#This Row],['#_of_affected_women_and_girls_receiving_a_sufficient_quantity_of_sanitary_pads]])</f>
        <v>971</v>
      </c>
      <c r="CK41" s="535">
        <f>IF(WWWW[[#This Row],['# People with access to soap]]&gt;WWWW[[#This Row],['# People with access to Sanity Pads]],WWWW[[#This Row],['# People with access to soap]],WWWW[[#This Row],['# People with access to Sanity Pads]])</f>
        <v>971</v>
      </c>
      <c r="CL41" s="535">
        <f>IF(WWWW[[#This Row],['# people reached by regular dedicated hygiene promotion_5]]&gt;WWWW[[#This Row],['# People received regular supply of hygiene items_6]],WWWW[[#This Row],['# people reached by regular dedicated hygiene promotion_5]],WWWW[[#This Row],['# People received regular supply of hygiene items_6]])</f>
        <v>971</v>
      </c>
      <c r="CM41" s="533">
        <f>IF(WWWW[[#This Row],[HRP3]]/WWWW[[#This Row],[Total PoP ]]&gt;100%,100%,WWWW[[#This Row],[HRP3]]/WWWW[[#This Row],[Total PoP ]])</f>
        <v>1</v>
      </c>
      <c r="CN41" s="536">
        <f>1-WWWW[[#This Row],[Hygiene Coverage%]]</f>
        <v>0</v>
      </c>
      <c r="CO41" s="534">
        <f>WWWW[[#This Row],['# people reached by regular dedicated hygiene promotion_5]]/WWWW[[#This Row],[Total PoP ]]</f>
        <v>1</v>
      </c>
      <c r="CP41" s="536">
        <f>IF(WWWW[[#This Row],['#_of_affected_households_receiving_a_sufficient_quantity_of_soap]]/WWWW[[#This Row],[Total HH]]&gt;1,1,WWWW[[#This Row],['#_of_affected_households_receiving_a_sufficient_quantity_of_soap]]/WWWW[[#This Row],[Total HH]])</f>
        <v>1</v>
      </c>
      <c r="CQ41" s="542" t="str">
        <f>IF(WWWW[[#This Row],['#_students at TLS_CFS]]="","No","Yes")</f>
        <v>Yes</v>
      </c>
      <c r="CR41" s="534"/>
      <c r="CS41" s="537" t="str">
        <f>VLOOKUP(WWWW[[#This Row],[Site Name]],SiteDB6[[Site Name]:[CCCM Management]],6,FALSE)</f>
        <v>Yes</v>
      </c>
      <c r="CT41" s="537" t="str">
        <f>VLOOKUP(WWWW[[#This Row],[Site Name]],SiteDB6[[Site Name]:[CCCM Focal Agency]],7,FALSE)</f>
        <v>UNHCR</v>
      </c>
      <c r="CU41" s="537" t="str">
        <f>VLOOKUP(WWWW[[#This Row],[Site Name]],SiteDB6[[Site Name]:[Location Type 1]],9,FALSE)</f>
        <v>Camp</v>
      </c>
      <c r="CV41" s="537" t="str">
        <f>VLOOKUP(WWWW[[#This Row],[Site Name]],SiteDB6[[Site Name]:[Type of Accommodation]],10,FALSE)</f>
        <v>Planned Camp</v>
      </c>
      <c r="CW41" s="537" t="str">
        <f>VLOOKUP(WWWW[[#This Row],[Site Name]],SiteDB6[[Site Name]:[Ethnic or GCA/NGCA]],11,FALSE)</f>
        <v>Muslim</v>
      </c>
      <c r="CX41" s="537">
        <f>VLOOKUP(WWWW[[#This Row],[Site Name]],SiteDB6[[Site Name]:[Lat]],12,FALSE)</f>
        <v>19.424576999999999</v>
      </c>
      <c r="CY41" s="537">
        <f>VLOOKUP(WWWW[[#This Row],[Site Name]],SiteDB6[[Site Name]:[Long]],13,FALSE)</f>
        <v>93.512326000000002</v>
      </c>
      <c r="CZ41" s="537" t="str">
        <f>VLOOKUP(WWWW[[#This Row],[Site Name]],SiteDB6[[Site Name]:[Pcode]],3,FALSE)</f>
        <v>MMR012CMP035</v>
      </c>
      <c r="DA41" s="564" t="str">
        <f t="shared" si="1"/>
        <v>Covered</v>
      </c>
      <c r="DB41" s="564">
        <f>VLOOKUP(WWWW[[#This Row],[Site Name]],SiteDB6[[Site Name]:[PWD_Total]],22,FALSE)</f>
        <v>0</v>
      </c>
      <c r="DC41" s="564">
        <f>VLOOKUP(WWWW[[#This Row],[Site Name]],SiteDB6[[Site Name]:[PWD_Total]],23,FALSE)</f>
        <v>0</v>
      </c>
      <c r="DD41" s="564">
        <f>VLOOKUP(WWWW[[#This Row],[Site Name]],SiteDB6[[Site Name]:[PWD_Total]],24,FALSE)</f>
        <v>0</v>
      </c>
      <c r="DE41" s="537"/>
      <c r="DF41" s="564"/>
      <c r="DG41" s="564"/>
      <c r="DH41" s="564"/>
    </row>
    <row r="42" spans="1:114" hidden="1">
      <c r="A42" s="590" t="s">
        <v>2388</v>
      </c>
      <c r="B42" s="590" t="s">
        <v>270</v>
      </c>
      <c r="C42" s="450" t="s">
        <v>270</v>
      </c>
      <c r="D42" s="450" t="s">
        <v>235</v>
      </c>
      <c r="E42" s="532" t="s">
        <v>2706</v>
      </c>
      <c r="F42" s="450" t="s">
        <v>406</v>
      </c>
      <c r="G42" s="532" t="str">
        <f>VLOOKUP(WWWW[[#This Row],[Site Name]],SiteDB6[[Site Name]:[Location Type]],8,FALSE)</f>
        <v>Camp</v>
      </c>
      <c r="H42" s="450" t="s">
        <v>414</v>
      </c>
      <c r="I42" s="589">
        <v>1320</v>
      </c>
      <c r="J42" s="589">
        <v>6042</v>
      </c>
      <c r="K42" s="453">
        <v>43445</v>
      </c>
      <c r="L42" s="854">
        <v>43809</v>
      </c>
      <c r="M42" s="589">
        <v>1412</v>
      </c>
      <c r="N42" s="589"/>
      <c r="O42" s="589"/>
      <c r="P42" s="589">
        <v>12</v>
      </c>
      <c r="Q42" s="542" t="s">
        <v>42</v>
      </c>
      <c r="R42" s="589"/>
      <c r="S42" s="589"/>
      <c r="T42" s="589">
        <v>3</v>
      </c>
      <c r="U42" s="589">
        <v>3</v>
      </c>
      <c r="V42" s="589">
        <v>0</v>
      </c>
      <c r="W42" s="589">
        <v>151427618.57931036</v>
      </c>
      <c r="X42" s="589"/>
      <c r="Y42" s="589"/>
      <c r="Z42" s="589"/>
      <c r="AA42" s="589"/>
      <c r="AB42" s="589">
        <v>1320</v>
      </c>
      <c r="AC42" s="589"/>
      <c r="AD42" s="589"/>
      <c r="AE42" s="635" t="s">
        <v>3184</v>
      </c>
      <c r="AF42" s="589">
        <v>184</v>
      </c>
      <c r="AG42" s="589">
        <v>174</v>
      </c>
      <c r="AH42" s="589"/>
      <c r="AI42" s="534"/>
      <c r="AJ42" s="589"/>
      <c r="AK42" s="534"/>
      <c r="AL42" s="534"/>
      <c r="AM42" s="534"/>
      <c r="AN42" s="534"/>
      <c r="AO42" s="589">
        <v>0</v>
      </c>
      <c r="AP42" s="589">
        <v>0</v>
      </c>
      <c r="AQ42" s="589">
        <v>5</v>
      </c>
      <c r="AR42" s="589" t="s">
        <v>42</v>
      </c>
      <c r="AS42" s="648"/>
      <c r="AT42" s="589">
        <v>1148</v>
      </c>
      <c r="AU42" s="589">
        <v>1390</v>
      </c>
      <c r="AV42" s="589">
        <v>1813</v>
      </c>
      <c r="AW42" s="589">
        <v>1692</v>
      </c>
      <c r="AX42" s="589">
        <v>1320</v>
      </c>
      <c r="AY42" s="589">
        <v>3300</v>
      </c>
      <c r="AZ42" s="534"/>
      <c r="BA42" s="534"/>
      <c r="BB42" s="534"/>
      <c r="BC42" s="534"/>
      <c r="BD42" s="855"/>
      <c r="BE42" s="534"/>
      <c r="BF42" s="534"/>
      <c r="BG42" s="589"/>
      <c r="BH42" s="534"/>
      <c r="BI42" s="534">
        <f>WWWW[[#This Row],[Cases of Acute watery diarrhea]]/WWWW[[#This Row],[Total consultations]]</f>
        <v>0</v>
      </c>
      <c r="BJ42" s="535" t="s">
        <v>130</v>
      </c>
      <c r="BK42" s="648"/>
      <c r="BL42" s="648"/>
      <c r="BM42" s="536" t="str">
        <f>IFERROR(WWWW[[#This Row],['#_Water samples _passed_at_water source]]/WWWW[[#This Row],['#_Water samples_Tested_at_water_source]],"no test")</f>
        <v>no test</v>
      </c>
      <c r="BN42" s="534" t="str">
        <f>IFERROR(WWWW[[#This Row],['#_Water samples _passed_at_HH]]/WWWW[[#This Row],['#_Water samples_Tested_at_HH]],"no test")</f>
        <v>no test</v>
      </c>
      <c r="BO42" s="535" t="str">
        <f>IF(AND(WWWW[[#This Row],[%of Water samples which passed at water source]]="no test",WWWW[[#This Row],[%Water samples which passed at HH]]="no test"),"No Test","Tested")</f>
        <v>No Test</v>
      </c>
      <c r="BP42" s="536">
        <f>IF(WWWW[[#This Row],[Total PoP ]]="","",IF(((WWWW[[#This Row],['#_Functional_improved_water_source]]*500)+(WWWW[[#This Row],['#_litres_of_water_supplied_by_existing_water_boating/trucking ]]/90/15)+(WWWW[[#This Row],['#_Functional_water_point_at_TLS/CFS]]*500))/WWWW[[#This Row],[Total PoP ]]&gt;1,1,((WWWW[[#This Row],['#_Functional_improved_water_source]]*500)+(WWWW[[#This Row],['#_litres_of_water_supplied_by_existing_water_boating/trucking ]]/90/15)+(WWWW[[#This Row],['#_Functional_water_point_at_TLS/CFS]]*500))/WWWW[[#This Row],[Total PoP ]]))</f>
        <v>0.24826216484607747</v>
      </c>
      <c r="BQ42" s="542">
        <f>WWWW[[#This Row],[Access to safe/improved water through improved water sources]]*WWWW[[#This Row],[Total PoP ]]</f>
        <v>1500</v>
      </c>
      <c r="BR42" s="536">
        <f>IF((WWWW[[#This Row],['#_litres_of_water_stored_in_ponds]]/90/15)/WWWW[[#This Row],[Total PoP ]]&gt;1,1,(WWWW[[#This Row],['#_litres_of_water_stored_in_ponds]]/90/15)/WWWW[[#This Row],[Total PoP ]])</f>
        <v>1</v>
      </c>
      <c r="BS42" s="542">
        <f>WWWW[[#This Row],[% Access to unimproved water points]]*WWWW[[#This Row],[Total PoP ]]</f>
        <v>6042</v>
      </c>
      <c r="BT42" s="536">
        <f>IF(WWWW[[#This Row],[Access to safe/improved water through improved water sources]]+WWWW[[#This Row],[% Access to unimproved water points]]&gt;1,1,WWWW[[#This Row],[Access to safe/improved water through improved water sources]]+WWWW[[#This Row],[% Access to unimproved water points]])</f>
        <v>1</v>
      </c>
      <c r="BU42" s="542">
        <f>IF(WWWW[[#This Row],['# people with equitable and continuous access to sufficient quantity of safe drinking water]]+WWWW[[#This Row],['#People access to unimproved water sources]]&gt;WWWW[[#This Row],[Total PoP ]],WWWW[[#This Row],[Total PoP ]],WWWW[[#This Row],['# people with equitable and continuous access to sufficient quantity of safe drinking water]]+WWWW[[#This Row],['#People access to unimproved water sources]])</f>
        <v>6042</v>
      </c>
      <c r="BV42" s="542">
        <f>WWWW[[#This Row],[HRP1]]/500</f>
        <v>12.084</v>
      </c>
      <c r="BW42" s="533">
        <f>1-WWWW[[#This Row],[% HRP1]]</f>
        <v>0</v>
      </c>
      <c r="BX42" s="542">
        <f>WWWW[[#This Row],[%equitable and continuous access to sufficient quantity of safe drinking and domestic water''s GAP]]*WWWW[[#This Row],[Total PoP ]]</f>
        <v>0</v>
      </c>
      <c r="BY42" s="535">
        <f>ROUND(IF(WWWW[[#This Row],[Total PoP ]]&lt;500,1,WWWW[[#This Row],[Total PoP ]]/500),0)</f>
        <v>12</v>
      </c>
      <c r="BZ42" s="535">
        <f>IF(WWWW[[#This Row],[Total required water points]]-WWWW[[#This Row],['#Water points coverage]]&lt;0,0,WWWW[[#This Row],[Total required water points]]-WWWW[[#This Row],['#Water points coverage]])</f>
        <v>0</v>
      </c>
      <c r="CA42" s="536">
        <f>WWWW[[#This Row],[HRP2]]/WWWW[[#This Row],[Total PoP ]]</f>
        <v>0.6504468718967229</v>
      </c>
      <c r="CB42" s="542">
        <f>IF(WWWW[[#This Row],[Total PoP ]]="",0,IF(((WWWW[[#This Row],['#_Functional_adult_latrines]]*20)+(WWWW[[#This Row],['#_of_functional_children_latrines]]*20)+WWWW[[#This Row],['#_of_PWD_with_adapted_sanitation_option]]+(WWWW[[#This Row],['#_of_latrines_in_TLS/CFS]]*50))&gt;WWWW[[#This Row],[Total PoP ]],WWWW[[#This Row],[Total PoP ]],((WWWW[[#This Row],['#_Functional_adult_latrines]]*20)+(WWWW[[#This Row],['#_of_functional_children_latrines]]*20)+WWWW[[#This Row],['#_of_PWD_with_adapted_sanitation_option]]+(WWWW[[#This Row],['#_of_latrines_in_TLS/CFS]]*50))))</f>
        <v>3930</v>
      </c>
      <c r="CC42" s="535">
        <f>IF(WWWW[[#This Row],['#_of_latrines_in_TLS/CFS]]*50&gt;WWWW[[#This Row],['#_students at TLS_CFS]],WWWW[[#This Row],['#_students at TLS_CFS]],WWWW[[#This Row],['#_of_latrines_in_TLS/CFS]]*50)</f>
        <v>250</v>
      </c>
      <c r="CD42" s="535">
        <f>ROUND(IF(WWWW[[#This Row],[Location Type 1]]="camp",WWWW[[#This Row],[Total PoP ]]/20),0)</f>
        <v>302</v>
      </c>
      <c r="CE42" s="535">
        <f>IF(WWWW[[#This Row],[Total required Latrines]]-WWWW[[#This Row],['#_Existing_latrines]]&lt;0,0,WWWW[[#This Row],[Total required Latrines]]-WWWW[[#This Row],['#_Existing_latrines]])</f>
        <v>128</v>
      </c>
      <c r="CF42" s="533">
        <f>1-WWWW[[#This Row],[% HRP2]]</f>
        <v>0.3495531281032771</v>
      </c>
      <c r="CG42" s="536">
        <f>IF(WWWW[[#This Row],['#_Existing_latrines]]="","NA",(WWWW[[#This Row],['#_Existing_latrines]]-WWWW[[#This Row],['#_Functional_adult_latrines]])/WWWW[[#This Row],['#_Existing_latrines]])</f>
        <v>-5.7471264367816091E-2</v>
      </c>
      <c r="CH42" s="542">
        <f>IF(WWWW[[#This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Row],[_'#_of_Girls_receiving_consultation_hygiene_promotion_messages_and_sessions]]&gt;WWWW[[#This Row],[Total PoP ]],WWWW[[#This Row],[Total PoP ]],WWWW[[#This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f>
        <v>6042</v>
      </c>
      <c r="CI42" s="535">
        <f>IF(WWWW[[#This Row],['#_of_affected_households_receiving_a_sufficient_quantity_of_soap]]=0,0,IF(WWWW[[#This Row],['#_of_affected_households_receiving_a_sufficient_quantity_of_soap]]&gt;=WWWW[[#This Row],[Total HH]],WWWW[[#This Row],[Total PoP ]],IF(WWWW[[#This Row],['#_of_affected_households_receiving_a_sufficient_quantity_of_soap]]*5&gt;WWWW[[#This Row],[Total PoP ]],WWWW[[#This Row],[Total PoP ]],WWWW[[#This Row],['#_of_affected_households_receiving_a_sufficient_quantity_of_soap]]*5)))</f>
        <v>6042</v>
      </c>
      <c r="CJ42" s="535">
        <f>IF(WWWW[[#This Row],['#_of_affected_women_and_girls_receiving_a_sufficient_quantity_of_sanitary_pads]]&gt;WWWW[[#This Row],[Total PoP ]],WWWW[[#This Row],[Total PoP ]],WWWW[[#This Row],['#_of_affected_women_and_girls_receiving_a_sufficient_quantity_of_sanitary_pads]])</f>
        <v>3300</v>
      </c>
      <c r="CK42" s="535">
        <f>IF(WWWW[[#This Row],['# People with access to soap]]&gt;WWWW[[#This Row],['# People with access to Sanity Pads]],WWWW[[#This Row],['# People with access to soap]],WWWW[[#This Row],['# People with access to Sanity Pads]])</f>
        <v>6042</v>
      </c>
      <c r="CL42" s="535">
        <f>IF(WWWW[[#This Row],['# people reached by regular dedicated hygiene promotion_5]]&gt;WWWW[[#This Row],['# People received regular supply of hygiene items_6]],WWWW[[#This Row],['# people reached by regular dedicated hygiene promotion_5]],WWWW[[#This Row],['# People received regular supply of hygiene items_6]])</f>
        <v>6042</v>
      </c>
      <c r="CM42" s="533">
        <f>IF(WWWW[[#This Row],[HRP3]]/WWWW[[#This Row],[Total PoP ]]&gt;100%,100%,WWWW[[#This Row],[HRP3]]/WWWW[[#This Row],[Total PoP ]])</f>
        <v>1</v>
      </c>
      <c r="CN42" s="536">
        <f>1-WWWW[[#This Row],[Hygiene Coverage%]]</f>
        <v>0</v>
      </c>
      <c r="CO42" s="534">
        <f>WWWW[[#This Row],['# people reached by regular dedicated hygiene promotion_5]]/WWWW[[#This Row],[Total PoP ]]</f>
        <v>1</v>
      </c>
      <c r="CP42" s="536">
        <f>IF(WWWW[[#This Row],['#_of_affected_households_receiving_a_sufficient_quantity_of_soap]]/WWWW[[#This Row],[Total HH]]&gt;1,1,WWWW[[#This Row],['#_of_affected_households_receiving_a_sufficient_quantity_of_soap]]/WWWW[[#This Row],[Total HH]])</f>
        <v>1</v>
      </c>
      <c r="CQ42" s="542" t="str">
        <f>IF(WWWW[[#This Row],['#_students at TLS_CFS]]="","No","Yes")</f>
        <v>Yes</v>
      </c>
      <c r="CR42" s="534"/>
      <c r="CS42" s="537" t="str">
        <f>VLOOKUP(WWWW[[#This Row],[Site Name]],SiteDB6[[Site Name]:[CCCM Management]],6,FALSE)</f>
        <v>Yes</v>
      </c>
      <c r="CT42" s="537" t="str">
        <f>VLOOKUP(WWWW[[#This Row],[Site Name]],SiteDB6[[Site Name]:[CCCM Focal Agency]],7,FALSE)</f>
        <v>DRC</v>
      </c>
      <c r="CU42" s="537" t="str">
        <f>VLOOKUP(WWWW[[#This Row],[Site Name]],SiteDB6[[Site Name]:[Location Type 1]],9,FALSE)</f>
        <v>Camp</v>
      </c>
      <c r="CV42" s="537" t="str">
        <f>VLOOKUP(WWWW[[#This Row],[Site Name]],SiteDB6[[Site Name]:[Type of Accommodation]],10,FALSE)</f>
        <v>Planned Camp</v>
      </c>
      <c r="CW42" s="537" t="str">
        <f>VLOOKUP(WWWW[[#This Row],[Site Name]],SiteDB6[[Site Name]:[Ethnic or GCA/NGCA]],11,FALSE)</f>
        <v>Muslim</v>
      </c>
      <c r="CX42" s="537">
        <f>VLOOKUP(WWWW[[#This Row],[Site Name]],SiteDB6[[Site Name]:[Lat]],12,FALSE)</f>
        <v>20.090183</v>
      </c>
      <c r="CY42" s="537">
        <f>VLOOKUP(WWWW[[#This Row],[Site Name]],SiteDB6[[Site Name]:[Long]],13,FALSE)</f>
        <v>93.010368999999997</v>
      </c>
      <c r="CZ42" s="537" t="str">
        <f>VLOOKUP(WWWW[[#This Row],[Site Name]],SiteDB6[[Site Name]:[Pcode]],3,FALSE)</f>
        <v>MMR012CMP018</v>
      </c>
      <c r="DA42" s="564" t="str">
        <f t="shared" si="1"/>
        <v>Covered</v>
      </c>
      <c r="DB42" s="564">
        <f>VLOOKUP(WWWW[[#This Row],[Site Name]],SiteDB6[[Site Name]:[PWD_Total]],22,FALSE)</f>
        <v>116</v>
      </c>
      <c r="DC42" s="564">
        <f>VLOOKUP(WWWW[[#This Row],[Site Name]],SiteDB6[[Site Name]:[PWD_Total]],23,FALSE)</f>
        <v>1129</v>
      </c>
      <c r="DD42" s="564">
        <f>VLOOKUP(WWWW[[#This Row],[Site Name]],SiteDB6[[Site Name]:[PWD_Total]],24,FALSE)</f>
        <v>1245</v>
      </c>
      <c r="DE42" s="537"/>
      <c r="DF42" s="564">
        <v>912</v>
      </c>
      <c r="DG42" s="564">
        <v>0</v>
      </c>
      <c r="DH42" s="564">
        <v>0</v>
      </c>
    </row>
    <row r="43" spans="1:114" hidden="1">
      <c r="A43" s="590" t="s">
        <v>2388</v>
      </c>
      <c r="B43" s="590" t="s">
        <v>2702</v>
      </c>
      <c r="C43" s="450" t="s">
        <v>2307</v>
      </c>
      <c r="D43" s="450" t="s">
        <v>41</v>
      </c>
      <c r="E43" s="532" t="s">
        <v>2706</v>
      </c>
      <c r="F43" s="450" t="s">
        <v>299</v>
      </c>
      <c r="G43" s="532" t="str">
        <f>VLOOKUP(WWWW[[#This Row],[Site Name]],SiteDB6[[Site Name]:[Location Type]],8,FALSE)</f>
        <v>Camp</v>
      </c>
      <c r="H43" s="450" t="s">
        <v>435</v>
      </c>
      <c r="I43" s="589">
        <v>656</v>
      </c>
      <c r="J43" s="589">
        <v>3486</v>
      </c>
      <c r="K43" s="453">
        <v>43009</v>
      </c>
      <c r="L43" s="854">
        <v>44104</v>
      </c>
      <c r="M43" s="589">
        <v>1142</v>
      </c>
      <c r="N43" s="589">
        <v>49</v>
      </c>
      <c r="O43" s="589">
        <v>139</v>
      </c>
      <c r="P43" s="589">
        <v>0</v>
      </c>
      <c r="Q43" s="542" t="s">
        <v>130</v>
      </c>
      <c r="R43" s="589">
        <v>18</v>
      </c>
      <c r="S43" s="589">
        <v>12</v>
      </c>
      <c r="T43" s="589">
        <v>33</v>
      </c>
      <c r="U43" s="589">
        <v>39</v>
      </c>
      <c r="V43" s="589"/>
      <c r="W43" s="589"/>
      <c r="X43" s="589">
        <v>14</v>
      </c>
      <c r="Y43" s="589">
        <v>10</v>
      </c>
      <c r="Z43" s="589">
        <v>26</v>
      </c>
      <c r="AA43" s="589">
        <v>13</v>
      </c>
      <c r="AB43" s="589">
        <v>0</v>
      </c>
      <c r="AC43" s="589">
        <v>30</v>
      </c>
      <c r="AD43" s="589">
        <v>2</v>
      </c>
      <c r="AE43" s="635"/>
      <c r="AF43" s="589">
        <v>212</v>
      </c>
      <c r="AG43" s="589">
        <v>241</v>
      </c>
      <c r="AH43" s="589">
        <v>93</v>
      </c>
      <c r="AI43" s="534">
        <v>0.28999999999999998</v>
      </c>
      <c r="AJ43" s="589">
        <v>202</v>
      </c>
      <c r="AK43" s="534">
        <v>1</v>
      </c>
      <c r="AL43" s="534">
        <v>0.53</v>
      </c>
      <c r="AM43" s="534">
        <v>0.76</v>
      </c>
      <c r="AN43" s="534">
        <v>0.76</v>
      </c>
      <c r="AO43" s="589">
        <v>8</v>
      </c>
      <c r="AP43" s="589"/>
      <c r="AQ43" s="589">
        <v>5</v>
      </c>
      <c r="AR43" s="589" t="s">
        <v>42</v>
      </c>
      <c r="AS43" s="648"/>
      <c r="AT43" s="589">
        <v>384</v>
      </c>
      <c r="AU43" s="589">
        <v>2609</v>
      </c>
      <c r="AV43" s="589">
        <v>285</v>
      </c>
      <c r="AW43" s="589">
        <v>353</v>
      </c>
      <c r="AX43" s="589">
        <v>656</v>
      </c>
      <c r="AY43" s="589">
        <v>1418</v>
      </c>
      <c r="AZ43" s="534"/>
      <c r="BA43" s="534"/>
      <c r="BB43" s="534"/>
      <c r="BC43" s="534">
        <v>0</v>
      </c>
      <c r="BD43" s="855"/>
      <c r="BE43" s="534"/>
      <c r="BF43" s="534"/>
      <c r="BG43" s="589">
        <v>0.81</v>
      </c>
      <c r="BH43" s="534">
        <v>0.84</v>
      </c>
      <c r="BI43" s="534">
        <f>WWWW[[#This Row],[Cases of Acute watery diarrhea]]/WWWW[[#This Row],[Total consultations]]</f>
        <v>0</v>
      </c>
      <c r="BJ43" s="535"/>
      <c r="BK43" s="648"/>
      <c r="BL43" s="648"/>
      <c r="BM43" s="536">
        <f>IFERROR(WWWW[[#This Row],['#_Water samples _passed_at_water source]]/WWWW[[#This Row],['#_Water samples_Tested_at_water_source]],"no test")</f>
        <v>0.7142857142857143</v>
      </c>
      <c r="BN43" s="534">
        <f>IFERROR(WWWW[[#This Row],['#_Water samples _passed_at_HH]]/WWWW[[#This Row],['#_Water samples_Tested_at_HH]],"no test")</f>
        <v>0.5</v>
      </c>
      <c r="BO43" s="535" t="str">
        <f>IF(AND(WWWW[[#This Row],[%of Water samples which passed at water source]]="no test",WWWW[[#This Row],[%Water samples which passed at HH]]="no test"),"No Test","Tested")</f>
        <v>Tested</v>
      </c>
      <c r="BP43" s="536">
        <f>IF(WWWW[[#This Row],[Total PoP ]]="","",IF(((WWWW[[#This Row],['#_Functional_improved_water_source]]*500)+(WWWW[[#This Row],['#_litres_of_water_supplied_by_existing_water_boating/trucking ]]/90/15)+(WWWW[[#This Row],['#_Functional_water_point_at_TLS/CFS]]*500))/WWWW[[#This Row],[Total PoP ]]&gt;1,1,((WWWW[[#This Row],['#_Functional_improved_water_source]]*500)+(WWWW[[#This Row],['#_litres_of_water_supplied_by_existing_water_boating/trucking ]]/90/15)+(WWWW[[#This Row],['#_Functional_water_point_at_TLS/CFS]]*500))/WWWW[[#This Row],[Total PoP ]]))</f>
        <v>1</v>
      </c>
      <c r="BQ43" s="542">
        <f>WWWW[[#This Row],[Access to safe/improved water through improved water sources]]*WWWW[[#This Row],[Total PoP ]]</f>
        <v>3486</v>
      </c>
      <c r="BR43" s="536">
        <f>IF((WWWW[[#This Row],['#_litres_of_water_stored_in_ponds]]/90/15)/WWWW[[#This Row],[Total PoP ]]&gt;1,1,(WWWW[[#This Row],['#_litres_of_water_stored_in_ponds]]/90/15)/WWWW[[#This Row],[Total PoP ]])</f>
        <v>0</v>
      </c>
      <c r="BS43" s="542">
        <f>WWWW[[#This Row],[% Access to unimproved water points]]*WWWW[[#This Row],[Total PoP ]]</f>
        <v>0</v>
      </c>
      <c r="BT43" s="536">
        <f>IF(WWWW[[#This Row],[Access to safe/improved water through improved water sources]]+WWWW[[#This Row],[% Access to unimproved water points]]&gt;1,1,WWWW[[#This Row],[Access to safe/improved water through improved water sources]]+WWWW[[#This Row],[% Access to unimproved water points]])</f>
        <v>1</v>
      </c>
      <c r="BU43" s="542">
        <f>IF(WWWW[[#This Row],['# people with equitable and continuous access to sufficient quantity of safe drinking water]]+WWWW[[#This Row],['#People access to unimproved water sources]]&gt;WWWW[[#This Row],[Total PoP ]],WWWW[[#This Row],[Total PoP ]],WWWW[[#This Row],['# people with equitable and continuous access to sufficient quantity of safe drinking water]]+WWWW[[#This Row],['#People access to unimproved water sources]])</f>
        <v>3486</v>
      </c>
      <c r="BV43" s="542">
        <f>WWWW[[#This Row],[HRP1]]/500</f>
        <v>6.9720000000000004</v>
      </c>
      <c r="BW43" s="533">
        <f>1-WWWW[[#This Row],[% HRP1]]</f>
        <v>0</v>
      </c>
      <c r="BX43" s="542">
        <f>WWWW[[#This Row],[%equitable and continuous access to sufficient quantity of safe drinking and domestic water''s GAP]]*WWWW[[#This Row],[Total PoP ]]</f>
        <v>0</v>
      </c>
      <c r="BY43" s="535">
        <f>ROUND(IF(WWWW[[#This Row],[Total PoP ]]&lt;500,1,WWWW[[#This Row],[Total PoP ]]/500),0)</f>
        <v>7</v>
      </c>
      <c r="BZ43" s="535">
        <f>IF(WWWW[[#This Row],[Total required water points]]-WWWW[[#This Row],['#Water points coverage]]&lt;0,0,WWWW[[#This Row],[Total required water points]]-WWWW[[#This Row],['#Water points coverage]])</f>
        <v>2.7999999999999581E-2</v>
      </c>
      <c r="CA43" s="536">
        <f>WWWW[[#This Row],[HRP2]]/WWWW[[#This Row],[Total PoP ]]</f>
        <v>1</v>
      </c>
      <c r="CB43" s="542">
        <f>IF(WWWW[[#This Row],[Total PoP ]]="",0,IF(((WWWW[[#This Row],['#_Functional_adult_latrines]]*20)+(WWWW[[#This Row],['#_of_functional_children_latrines]]*20)+WWWW[[#This Row],['#_of_PWD_with_adapted_sanitation_option]]+(WWWW[[#This Row],['#_of_latrines_in_TLS/CFS]]*50))&gt;WWWW[[#This Row],[Total PoP ]],WWWW[[#This Row],[Total PoP ]],((WWWW[[#This Row],['#_Functional_adult_latrines]]*20)+(WWWW[[#This Row],['#_of_functional_children_latrines]]*20)+WWWW[[#This Row],['#_of_PWD_with_adapted_sanitation_option]]+(WWWW[[#This Row],['#_of_latrines_in_TLS/CFS]]*50))))</f>
        <v>3486</v>
      </c>
      <c r="CC43" s="535">
        <f>IF(WWWW[[#This Row],['#_of_latrines_in_TLS/CFS]]*50&gt;WWWW[[#This Row],['#_students at TLS_CFS]],WWWW[[#This Row],['#_students at TLS_CFS]],WWWW[[#This Row],['#_of_latrines_in_TLS/CFS]]*50)</f>
        <v>250</v>
      </c>
      <c r="CD43" s="535">
        <f>ROUND(IF(WWWW[[#This Row],[Location Type 1]]="camp",WWWW[[#This Row],[Total PoP ]]/20),0)</f>
        <v>174</v>
      </c>
      <c r="CE43" s="535">
        <f>IF(WWWW[[#This Row],[Total required Latrines]]-WWWW[[#This Row],['#_Existing_latrines]]&lt;0,0,WWWW[[#This Row],[Total required Latrines]]-WWWW[[#This Row],['#_Existing_latrines]])</f>
        <v>0</v>
      </c>
      <c r="CF43" s="533">
        <f>1-WWWW[[#This Row],[% HRP2]]</f>
        <v>0</v>
      </c>
      <c r="CG43" s="536">
        <f>IF(WWWW[[#This Row],['#_Existing_latrines]]="","NA",(WWWW[[#This Row],['#_Existing_latrines]]-WWWW[[#This Row],['#_Functional_adult_latrines]])/WWWW[[#This Row],['#_Existing_latrines]])</f>
        <v>0.12033195020746888</v>
      </c>
      <c r="CH43" s="542">
        <f>IF(WWWW[[#This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Row],[_'#_of_Girls_receiving_consultation_hygiene_promotion_messages_and_sessions]]&gt;WWWW[[#This Row],[Total PoP ]],WWWW[[#This Row],[Total PoP ]],WWWW[[#This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f>
        <v>3486</v>
      </c>
      <c r="CI43" s="535">
        <f>IF(WWWW[[#This Row],['#_of_affected_households_receiving_a_sufficient_quantity_of_soap]]=0,0,IF(WWWW[[#This Row],['#_of_affected_households_receiving_a_sufficient_quantity_of_soap]]&gt;=WWWW[[#This Row],[Total HH]],WWWW[[#This Row],[Total PoP ]],IF(WWWW[[#This Row],['#_of_affected_households_receiving_a_sufficient_quantity_of_soap]]*5&gt;WWWW[[#This Row],[Total PoP ]],WWWW[[#This Row],[Total PoP ]],WWWW[[#This Row],['#_of_affected_households_receiving_a_sufficient_quantity_of_soap]]*5)))</f>
        <v>3486</v>
      </c>
      <c r="CJ43" s="535">
        <f>IF(WWWW[[#This Row],['#_of_affected_women_and_girls_receiving_a_sufficient_quantity_of_sanitary_pads]]&gt;WWWW[[#This Row],[Total PoP ]],WWWW[[#This Row],[Total PoP ]],WWWW[[#This Row],['#_of_affected_women_and_girls_receiving_a_sufficient_quantity_of_sanitary_pads]])</f>
        <v>1418</v>
      </c>
      <c r="CK43" s="535">
        <f>IF(WWWW[[#This Row],['# People with access to soap]]&gt;WWWW[[#This Row],['# People with access to Sanity Pads]],WWWW[[#This Row],['# People with access to soap]],WWWW[[#This Row],['# People with access to Sanity Pads]])</f>
        <v>3486</v>
      </c>
      <c r="CL43" s="535">
        <f>IF(WWWW[[#This Row],['# people reached by regular dedicated hygiene promotion_5]]&gt;WWWW[[#This Row],['# People received regular supply of hygiene items_6]],WWWW[[#This Row],['# people reached by regular dedicated hygiene promotion_5]],WWWW[[#This Row],['# People received regular supply of hygiene items_6]])</f>
        <v>3486</v>
      </c>
      <c r="CM43" s="533">
        <f>IF(WWWW[[#This Row],[HRP3]]/WWWW[[#This Row],[Total PoP ]]&gt;100%,100%,WWWW[[#This Row],[HRP3]]/WWWW[[#This Row],[Total PoP ]])</f>
        <v>1</v>
      </c>
      <c r="CN43" s="536">
        <f>1-WWWW[[#This Row],[Hygiene Coverage%]]</f>
        <v>0</v>
      </c>
      <c r="CO43" s="534">
        <f>WWWW[[#This Row],['# people reached by regular dedicated hygiene promotion_5]]/WWWW[[#This Row],[Total PoP ]]</f>
        <v>1</v>
      </c>
      <c r="CP43" s="536">
        <f>IF(WWWW[[#This Row],['#_of_affected_households_receiving_a_sufficient_quantity_of_soap]]/WWWW[[#This Row],[Total HH]]&gt;1,1,WWWW[[#This Row],['#_of_affected_households_receiving_a_sufficient_quantity_of_soap]]/WWWW[[#This Row],[Total HH]])</f>
        <v>1</v>
      </c>
      <c r="CQ43" s="542" t="str">
        <f>IF(WWWW[[#This Row],['#_students at TLS_CFS]]="","No","Yes")</f>
        <v>Yes</v>
      </c>
      <c r="CR43" s="534"/>
      <c r="CS43" s="537" t="str">
        <f>VLOOKUP(WWWW[[#This Row],[Site Name]],SiteDB6[[Site Name]:[CCCM Management]],6,FALSE)</f>
        <v>Yes</v>
      </c>
      <c r="CT43" s="537">
        <f>VLOOKUP(WWWW[[#This Row],[Site Name]],SiteDB6[[Site Name]:[CCCM Focal Agency]],7,FALSE)</f>
        <v>0</v>
      </c>
      <c r="CU43" s="537" t="str">
        <f>VLOOKUP(WWWW[[#This Row],[Site Name]],SiteDB6[[Site Name]:[Location Type 1]],9,FALSE)</f>
        <v>Camp</v>
      </c>
      <c r="CV43" s="537" t="str">
        <f>VLOOKUP(WWWW[[#This Row],[Site Name]],SiteDB6[[Site Name]:[Type of Accommodation]],10,FALSE)</f>
        <v>Planned Camp</v>
      </c>
      <c r="CW43" s="537" t="str">
        <f>VLOOKUP(WWWW[[#This Row],[Site Name]],SiteDB6[[Site Name]:[Ethnic or GCA/NGCA]],11,FALSE)</f>
        <v>Muslim</v>
      </c>
      <c r="CX43" s="537">
        <f>VLOOKUP(WWWW[[#This Row],[Site Name]],SiteDB6[[Site Name]:[Lat]],12,FALSE)</f>
        <v>20.185917</v>
      </c>
      <c r="CY43" s="537">
        <f>VLOOKUP(WWWW[[#This Row],[Site Name]],SiteDB6[[Site Name]:[Long]],13,FALSE)</f>
        <v>92.831000000000003</v>
      </c>
      <c r="CZ43" s="537" t="str">
        <f>VLOOKUP(WWWW[[#This Row],[Site Name]],SiteDB6[[Site Name]:[Pcode]],3,FALSE)</f>
        <v>MMR012CMP092</v>
      </c>
      <c r="DA43" s="564" t="str">
        <f t="shared" si="1"/>
        <v>Covered</v>
      </c>
      <c r="DB43" s="564">
        <f>VLOOKUP(WWWW[[#This Row],[Site Name]],SiteDB6[[Site Name]:[PWD_Total]],22,FALSE)</f>
        <v>62</v>
      </c>
      <c r="DC43" s="564">
        <f>VLOOKUP(WWWW[[#This Row],[Site Name]],SiteDB6[[Site Name]:[PWD_Total]],23,FALSE)</f>
        <v>335</v>
      </c>
      <c r="DD43" s="564">
        <f>VLOOKUP(WWWW[[#This Row],[Site Name]],SiteDB6[[Site Name]:[PWD_Total]],24,FALSE)</f>
        <v>397</v>
      </c>
      <c r="DE43" s="537"/>
      <c r="DF43" s="564">
        <v>458</v>
      </c>
      <c r="DG43" s="564">
        <v>0</v>
      </c>
      <c r="DH43" s="564">
        <v>0</v>
      </c>
    </row>
    <row r="44" spans="1:114" hidden="1">
      <c r="A44" s="590" t="s">
        <v>2388</v>
      </c>
      <c r="B44" s="590" t="s">
        <v>270</v>
      </c>
      <c r="C44" s="450" t="s">
        <v>270</v>
      </c>
      <c r="D44" s="450" t="s">
        <v>2293</v>
      </c>
      <c r="E44" s="532" t="s">
        <v>2706</v>
      </c>
      <c r="F44" s="450" t="s">
        <v>406</v>
      </c>
      <c r="G44" s="532" t="str">
        <f>VLOOKUP(WWWW[[#This Row],[Site Name]],SiteDB6[[Site Name]:[Location Type]],8,FALSE)</f>
        <v>Camp</v>
      </c>
      <c r="H44" s="450" t="s">
        <v>410</v>
      </c>
      <c r="I44" s="589">
        <v>1010</v>
      </c>
      <c r="J44" s="589">
        <v>4671</v>
      </c>
      <c r="K44" s="453">
        <v>43374</v>
      </c>
      <c r="L44" s="854">
        <v>44012</v>
      </c>
      <c r="M44" s="589">
        <v>968</v>
      </c>
      <c r="N44" s="589"/>
      <c r="O44" s="589"/>
      <c r="P44" s="589">
        <v>12</v>
      </c>
      <c r="Q44" s="542" t="s">
        <v>42</v>
      </c>
      <c r="R44" s="589">
        <v>8</v>
      </c>
      <c r="S44" s="589">
        <v>3</v>
      </c>
      <c r="T44" s="589">
        <v>3</v>
      </c>
      <c r="U44" s="589">
        <v>3</v>
      </c>
      <c r="V44" s="589">
        <v>0</v>
      </c>
      <c r="W44" s="589">
        <v>81561646.186549678</v>
      </c>
      <c r="X44" s="589">
        <v>6</v>
      </c>
      <c r="Y44" s="589">
        <v>2</v>
      </c>
      <c r="Z44" s="589">
        <v>8</v>
      </c>
      <c r="AA44" s="589">
        <v>8</v>
      </c>
      <c r="AB44" s="589">
        <v>1010</v>
      </c>
      <c r="AC44" s="589"/>
      <c r="AD44" s="589"/>
      <c r="AE44" s="635" t="s">
        <v>3188</v>
      </c>
      <c r="AF44" s="589">
        <v>124</v>
      </c>
      <c r="AG44" s="589">
        <v>124</v>
      </c>
      <c r="AH44" s="589"/>
      <c r="AI44" s="534"/>
      <c r="AJ44" s="589"/>
      <c r="AK44" s="534"/>
      <c r="AL44" s="534"/>
      <c r="AM44" s="534"/>
      <c r="AN44" s="534"/>
      <c r="AO44" s="589">
        <v>14</v>
      </c>
      <c r="AP44" s="589">
        <v>54</v>
      </c>
      <c r="AQ44" s="589">
        <v>6</v>
      </c>
      <c r="AR44" s="589" t="s">
        <v>42</v>
      </c>
      <c r="AS44" s="648"/>
      <c r="AT44" s="589">
        <v>887</v>
      </c>
      <c r="AU44" s="589">
        <v>1074</v>
      </c>
      <c r="AV44" s="589">
        <v>1401</v>
      </c>
      <c r="AW44" s="589">
        <v>1308</v>
      </c>
      <c r="AX44" s="589">
        <v>1010</v>
      </c>
      <c r="AY44" s="589">
        <v>2525</v>
      </c>
      <c r="AZ44" s="534"/>
      <c r="BA44" s="534">
        <v>0.85</v>
      </c>
      <c r="BB44" s="534"/>
      <c r="BC44" s="534"/>
      <c r="BD44" s="855"/>
      <c r="BE44" s="534"/>
      <c r="BF44" s="534"/>
      <c r="BG44" s="589"/>
      <c r="BH44" s="534"/>
      <c r="BI44" s="534">
        <f>WWWW[[#This Row],[Cases of Acute watery diarrhea]]/WWWW[[#This Row],[Total consultations]]</f>
        <v>0</v>
      </c>
      <c r="BJ44" s="535" t="s">
        <v>130</v>
      </c>
      <c r="BK44" s="648"/>
      <c r="BL44" s="648"/>
      <c r="BM44" s="536">
        <f>IFERROR(WWWW[[#This Row],['#_Water samples _passed_at_water source]]/WWWW[[#This Row],['#_Water samples_Tested_at_water_source]],"no test")</f>
        <v>0.33333333333333331</v>
      </c>
      <c r="BN44" s="534">
        <f>IFERROR(WWWW[[#This Row],['#_Water samples _passed_at_HH]]/WWWW[[#This Row],['#_Water samples_Tested_at_HH]],"no test")</f>
        <v>1</v>
      </c>
      <c r="BO44" s="535" t="str">
        <f>IF(AND(WWWW[[#This Row],[%of Water samples which passed at water source]]="no test",WWWW[[#This Row],[%Water samples which passed at HH]]="no test"),"No Test","Tested")</f>
        <v>Tested</v>
      </c>
      <c r="BP44" s="536">
        <f>IF(WWWW[[#This Row],[Total PoP ]]="","",IF(((WWWW[[#This Row],['#_Functional_improved_water_source]]*500)+(WWWW[[#This Row],['#_litres_of_water_supplied_by_existing_water_boating/trucking ]]/90/15)+(WWWW[[#This Row],['#_Functional_water_point_at_TLS/CFS]]*500))/WWWW[[#This Row],[Total PoP ]]&gt;1,1,((WWWW[[#This Row],['#_Functional_improved_water_source]]*500)+(WWWW[[#This Row],['#_litres_of_water_supplied_by_existing_water_boating/trucking ]]/90/15)+(WWWW[[#This Row],['#_Functional_water_point_at_TLS/CFS]]*500))/WWWW[[#This Row],[Total PoP ]]))</f>
        <v>0.32113037893384716</v>
      </c>
      <c r="BQ44" s="542">
        <f>WWWW[[#This Row],[Access to safe/improved water through improved water sources]]*WWWW[[#This Row],[Total PoP ]]</f>
        <v>1500</v>
      </c>
      <c r="BR44" s="536">
        <f>IF((WWWW[[#This Row],['#_litres_of_water_stored_in_ponds]]/90/15)/WWWW[[#This Row],[Total PoP ]]&gt;1,1,(WWWW[[#This Row],['#_litres_of_water_stored_in_ponds]]/90/15)/WWWW[[#This Row],[Total PoP ]])</f>
        <v>1</v>
      </c>
      <c r="BS44" s="542">
        <f>WWWW[[#This Row],[% Access to unimproved water points]]*WWWW[[#This Row],[Total PoP ]]</f>
        <v>4671</v>
      </c>
      <c r="BT44" s="536">
        <f>IF(WWWW[[#This Row],[Access to safe/improved water through improved water sources]]+WWWW[[#This Row],[% Access to unimproved water points]]&gt;1,1,WWWW[[#This Row],[Access to safe/improved water through improved water sources]]+WWWW[[#This Row],[% Access to unimproved water points]])</f>
        <v>1</v>
      </c>
      <c r="BU44" s="542">
        <f>IF(WWWW[[#This Row],['# people with equitable and continuous access to sufficient quantity of safe drinking water]]+WWWW[[#This Row],['#People access to unimproved water sources]]&gt;WWWW[[#This Row],[Total PoP ]],WWWW[[#This Row],[Total PoP ]],WWWW[[#This Row],['# people with equitable and continuous access to sufficient quantity of safe drinking water]]+WWWW[[#This Row],['#People access to unimproved water sources]])</f>
        <v>4671</v>
      </c>
      <c r="BV44" s="542">
        <f>WWWW[[#This Row],[HRP1]]/500</f>
        <v>9.3420000000000005</v>
      </c>
      <c r="BW44" s="533">
        <f>1-WWWW[[#This Row],[% HRP1]]</f>
        <v>0</v>
      </c>
      <c r="BX44" s="542">
        <f>WWWW[[#This Row],[%equitable and continuous access to sufficient quantity of safe drinking and domestic water''s GAP]]*WWWW[[#This Row],[Total PoP ]]</f>
        <v>0</v>
      </c>
      <c r="BY44" s="535">
        <f>ROUND(IF(WWWW[[#This Row],[Total PoP ]]&lt;500,1,WWWW[[#This Row],[Total PoP ]]/500),0)</f>
        <v>9</v>
      </c>
      <c r="BZ44" s="535">
        <f>IF(WWWW[[#This Row],[Total required water points]]-WWWW[[#This Row],['#Water points coverage]]&lt;0,0,WWWW[[#This Row],[Total required water points]]-WWWW[[#This Row],['#Water points coverage]])</f>
        <v>0</v>
      </c>
      <c r="CA44" s="536">
        <f>WWWW[[#This Row],[HRP2]]/WWWW[[#This Row],[Total PoP ]]</f>
        <v>0.66666666666666663</v>
      </c>
      <c r="CB44" s="542">
        <f>IF(WWWW[[#This Row],[Total PoP ]]="",0,IF(((WWWW[[#This Row],['#_Functional_adult_latrines]]*20)+(WWWW[[#This Row],['#_of_functional_children_latrines]]*20)+WWWW[[#This Row],['#_of_PWD_with_adapted_sanitation_option]]+(WWWW[[#This Row],['#_of_latrines_in_TLS/CFS]]*50))&gt;WWWW[[#This Row],[Total PoP ]],WWWW[[#This Row],[Total PoP ]],((WWWW[[#This Row],['#_Functional_adult_latrines]]*20)+(WWWW[[#This Row],['#_of_functional_children_latrines]]*20)+WWWW[[#This Row],['#_of_PWD_with_adapted_sanitation_option]]+(WWWW[[#This Row],['#_of_latrines_in_TLS/CFS]]*50))))</f>
        <v>3114</v>
      </c>
      <c r="CC44" s="535">
        <f>IF(WWWW[[#This Row],['#_of_latrines_in_TLS/CFS]]*50&gt;WWWW[[#This Row],['#_students at TLS_CFS]],WWWW[[#This Row],['#_students at TLS_CFS]],WWWW[[#This Row],['#_of_latrines_in_TLS/CFS]]*50)</f>
        <v>300</v>
      </c>
      <c r="CD44" s="535">
        <f>ROUND(IF(WWWW[[#This Row],[Location Type 1]]="camp",WWWW[[#This Row],[Total PoP ]]/20),0)</f>
        <v>234</v>
      </c>
      <c r="CE44" s="535">
        <f>IF(WWWW[[#This Row],[Total required Latrines]]-WWWW[[#This Row],['#_Existing_latrines]]&lt;0,0,WWWW[[#This Row],[Total required Latrines]]-WWWW[[#This Row],['#_Existing_latrines]])</f>
        <v>110</v>
      </c>
      <c r="CF44" s="533">
        <f>1-WWWW[[#This Row],[% HRP2]]</f>
        <v>0.33333333333333337</v>
      </c>
      <c r="CG44" s="536">
        <f>IF(WWWW[[#This Row],['#_Existing_latrines]]="","NA",(WWWW[[#This Row],['#_Existing_latrines]]-WWWW[[#This Row],['#_Functional_adult_latrines]])/WWWW[[#This Row],['#_Existing_latrines]])</f>
        <v>0</v>
      </c>
      <c r="CH44" s="542">
        <f>IF(WWWW[[#This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Row],[_'#_of_Girls_receiving_consultation_hygiene_promotion_messages_and_sessions]]&gt;WWWW[[#This Row],[Total PoP ]],WWWW[[#This Row],[Total PoP ]],WWWW[[#This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f>
        <v>4670</v>
      </c>
      <c r="CI44" s="535">
        <f>IF(WWWW[[#This Row],['#_of_affected_households_receiving_a_sufficient_quantity_of_soap]]=0,0,IF(WWWW[[#This Row],['#_of_affected_households_receiving_a_sufficient_quantity_of_soap]]&gt;=WWWW[[#This Row],[Total HH]],WWWW[[#This Row],[Total PoP ]],IF(WWWW[[#This Row],['#_of_affected_households_receiving_a_sufficient_quantity_of_soap]]*5&gt;WWWW[[#This Row],[Total PoP ]],WWWW[[#This Row],[Total PoP ]],WWWW[[#This Row],['#_of_affected_households_receiving_a_sufficient_quantity_of_soap]]*5)))</f>
        <v>4671</v>
      </c>
      <c r="CJ44" s="535">
        <f>IF(WWWW[[#This Row],['#_of_affected_women_and_girls_receiving_a_sufficient_quantity_of_sanitary_pads]]&gt;WWWW[[#This Row],[Total PoP ]],WWWW[[#This Row],[Total PoP ]],WWWW[[#This Row],['#_of_affected_women_and_girls_receiving_a_sufficient_quantity_of_sanitary_pads]])</f>
        <v>2525</v>
      </c>
      <c r="CK44" s="535">
        <f>IF(WWWW[[#This Row],['# People with access to soap]]&gt;WWWW[[#This Row],['# People with access to Sanity Pads]],WWWW[[#This Row],['# People with access to soap]],WWWW[[#This Row],['# People with access to Sanity Pads]])</f>
        <v>4671</v>
      </c>
      <c r="CL44" s="535">
        <f>IF(WWWW[[#This Row],['# people reached by regular dedicated hygiene promotion_5]]&gt;WWWW[[#This Row],['# People received regular supply of hygiene items_6]],WWWW[[#This Row],['# people reached by regular dedicated hygiene promotion_5]],WWWW[[#This Row],['# People received regular supply of hygiene items_6]])</f>
        <v>4671</v>
      </c>
      <c r="CM44" s="533">
        <f>IF(WWWW[[#This Row],[HRP3]]/WWWW[[#This Row],[Total PoP ]]&gt;100%,100%,WWWW[[#This Row],[HRP3]]/WWWW[[#This Row],[Total PoP ]])</f>
        <v>1</v>
      </c>
      <c r="CN44" s="536">
        <f>1-WWWW[[#This Row],[Hygiene Coverage%]]</f>
        <v>0</v>
      </c>
      <c r="CO44" s="534">
        <f>WWWW[[#This Row],['# people reached by regular dedicated hygiene promotion_5]]/WWWW[[#This Row],[Total PoP ]]</f>
        <v>0.99978591308071074</v>
      </c>
      <c r="CP44" s="536">
        <f>IF(WWWW[[#This Row],['#_of_affected_households_receiving_a_sufficient_quantity_of_soap]]/WWWW[[#This Row],[Total HH]]&gt;1,1,WWWW[[#This Row],['#_of_affected_households_receiving_a_sufficient_quantity_of_soap]]/WWWW[[#This Row],[Total HH]])</f>
        <v>1</v>
      </c>
      <c r="CQ44" s="542" t="str">
        <f>IF(WWWW[[#This Row],['#_students at TLS_CFS]]="","No","Yes")</f>
        <v>Yes</v>
      </c>
      <c r="CR44" s="534"/>
      <c r="CS44" s="537" t="str">
        <f>VLOOKUP(WWWW[[#This Row],[Site Name]],SiteDB6[[Site Name]:[CCCM Management]],6,FALSE)</f>
        <v>Yes</v>
      </c>
      <c r="CT44" s="537" t="str">
        <f>VLOOKUP(WWWW[[#This Row],[Site Name]],SiteDB6[[Site Name]:[CCCM Focal Agency]],7,FALSE)</f>
        <v>LWF</v>
      </c>
      <c r="CU44" s="537" t="str">
        <f>VLOOKUP(WWWW[[#This Row],[Site Name]],SiteDB6[[Site Name]:[Location Type 1]],9,FALSE)</f>
        <v>Camp</v>
      </c>
      <c r="CV44" s="537" t="str">
        <f>VLOOKUP(WWWW[[#This Row],[Site Name]],SiteDB6[[Site Name]:[Type of Accommodation]],10,FALSE)</f>
        <v>Individual House</v>
      </c>
      <c r="CW44" s="537" t="str">
        <f>VLOOKUP(WWWW[[#This Row],[Site Name]],SiteDB6[[Site Name]:[Ethnic or GCA/NGCA]],11,FALSE)</f>
        <v>Muslim</v>
      </c>
      <c r="CX44" s="537">
        <f>VLOOKUP(WWWW[[#This Row],[Site Name]],SiteDB6[[Site Name]:[Lat]],12,FALSE)</f>
        <v>20.073437999999999</v>
      </c>
      <c r="CY44" s="537">
        <f>VLOOKUP(WWWW[[#This Row],[Site Name]],SiteDB6[[Site Name]:[Long]],13,FALSE)</f>
        <v>93.154551999999995</v>
      </c>
      <c r="CZ44" s="537" t="str">
        <f>VLOOKUP(WWWW[[#This Row],[Site Name]],SiteDB6[[Site Name]:[Pcode]],3,FALSE)</f>
        <v>MMR012CMP017</v>
      </c>
      <c r="DA44" s="564" t="str">
        <f t="shared" si="1"/>
        <v>Covered</v>
      </c>
      <c r="DB44" s="564">
        <f>VLOOKUP(WWWW[[#This Row],[Site Name]],SiteDB6[[Site Name]:[PWD_Total]],22,FALSE)</f>
        <v>194</v>
      </c>
      <c r="DC44" s="564">
        <f>VLOOKUP(WWWW[[#This Row],[Site Name]],SiteDB6[[Site Name]:[PWD_Total]],23,FALSE)</f>
        <v>735</v>
      </c>
      <c r="DD44" s="564">
        <f>VLOOKUP(WWWW[[#This Row],[Site Name]],SiteDB6[[Site Name]:[PWD_Total]],24,FALSE)</f>
        <v>929</v>
      </c>
      <c r="DE44" s="537"/>
      <c r="DF44" s="542">
        <v>508.5</v>
      </c>
      <c r="DG44" s="564">
        <v>0</v>
      </c>
      <c r="DH44" s="564">
        <v>0</v>
      </c>
    </row>
    <row r="45" spans="1:114" hidden="1">
      <c r="A45" s="590" t="s">
        <v>2388</v>
      </c>
      <c r="B45" s="590" t="s">
        <v>270</v>
      </c>
      <c r="C45" s="450" t="s">
        <v>270</v>
      </c>
      <c r="D45" s="450" t="s">
        <v>2293</v>
      </c>
      <c r="E45" s="532" t="s">
        <v>2706</v>
      </c>
      <c r="F45" s="450" t="s">
        <v>406</v>
      </c>
      <c r="G45" s="532" t="str">
        <f>VLOOKUP(WWWW[[#This Row],[Site Name]],SiteDB6[[Site Name]:[Location Type]],8,FALSE)</f>
        <v>Camp</v>
      </c>
      <c r="H45" s="450" t="s">
        <v>411</v>
      </c>
      <c r="I45" s="589">
        <v>905</v>
      </c>
      <c r="J45" s="589">
        <v>4676</v>
      </c>
      <c r="K45" s="453">
        <v>43374</v>
      </c>
      <c r="L45" s="854">
        <v>44012</v>
      </c>
      <c r="M45" s="589">
        <v>1261</v>
      </c>
      <c r="N45" s="589"/>
      <c r="O45" s="589"/>
      <c r="P45" s="589">
        <v>12</v>
      </c>
      <c r="Q45" s="542" t="s">
        <v>42</v>
      </c>
      <c r="R45" s="589">
        <v>11</v>
      </c>
      <c r="S45" s="589">
        <v>2</v>
      </c>
      <c r="T45" s="589">
        <v>0</v>
      </c>
      <c r="U45" s="589">
        <v>0</v>
      </c>
      <c r="V45" s="589">
        <v>0</v>
      </c>
      <c r="W45" s="589">
        <v>37683774.399999999</v>
      </c>
      <c r="X45" s="589">
        <v>0</v>
      </c>
      <c r="Y45" s="589">
        <v>0</v>
      </c>
      <c r="Z45" s="589">
        <v>4</v>
      </c>
      <c r="AA45" s="589">
        <v>4</v>
      </c>
      <c r="AB45" s="589">
        <v>905</v>
      </c>
      <c r="AC45" s="589"/>
      <c r="AD45" s="589"/>
      <c r="AE45" s="635" t="s">
        <v>3189</v>
      </c>
      <c r="AF45" s="589">
        <v>145</v>
      </c>
      <c r="AG45" s="589">
        <v>117</v>
      </c>
      <c r="AH45" s="589"/>
      <c r="AI45" s="534"/>
      <c r="AJ45" s="589"/>
      <c r="AK45" s="534"/>
      <c r="AL45" s="534"/>
      <c r="AM45" s="534"/>
      <c r="AN45" s="534"/>
      <c r="AO45" s="589">
        <v>21</v>
      </c>
      <c r="AP45" s="589">
        <v>103</v>
      </c>
      <c r="AQ45" s="589">
        <v>8</v>
      </c>
      <c r="AR45" s="589" t="s">
        <v>42</v>
      </c>
      <c r="AS45" s="648"/>
      <c r="AT45" s="589">
        <v>888</v>
      </c>
      <c r="AU45" s="589">
        <v>1075</v>
      </c>
      <c r="AV45" s="589">
        <v>1403</v>
      </c>
      <c r="AW45" s="589">
        <v>1309</v>
      </c>
      <c r="AX45" s="589">
        <v>905</v>
      </c>
      <c r="AY45" s="589">
        <v>2263</v>
      </c>
      <c r="AZ45" s="534"/>
      <c r="BA45" s="534">
        <v>0.7</v>
      </c>
      <c r="BB45" s="534"/>
      <c r="BC45" s="534"/>
      <c r="BD45" s="855"/>
      <c r="BE45" s="534"/>
      <c r="BF45" s="534"/>
      <c r="BG45" s="589"/>
      <c r="BH45" s="534"/>
      <c r="BI45" s="534">
        <f>WWWW[[#This Row],[Cases of Acute watery diarrhea]]/WWWW[[#This Row],[Total consultations]]</f>
        <v>0</v>
      </c>
      <c r="BJ45" s="535" t="s">
        <v>130</v>
      </c>
      <c r="BK45" s="648"/>
      <c r="BL45" s="648"/>
      <c r="BM45" s="536" t="str">
        <f>IFERROR(WWWW[[#This Row],['#_Water samples _passed_at_water source]]/WWWW[[#This Row],['#_Water samples_Tested_at_water_source]],"no test")</f>
        <v>no test</v>
      </c>
      <c r="BN45" s="534">
        <f>IFERROR(WWWW[[#This Row],['#_Water samples _passed_at_HH]]/WWWW[[#This Row],['#_Water samples_Tested_at_HH]],"no test")</f>
        <v>1</v>
      </c>
      <c r="BO45" s="535" t="str">
        <f>IF(AND(WWWW[[#This Row],[%of Water samples which passed at water source]]="no test",WWWW[[#This Row],[%Water samples which passed at HH]]="no test"),"No Test","Tested")</f>
        <v>Tested</v>
      </c>
      <c r="BP45" s="536">
        <f>IF(WWWW[[#This Row],[Total PoP ]]="","",IF(((WWWW[[#This Row],['#_Functional_improved_water_source]]*500)+(WWWW[[#This Row],['#_litres_of_water_supplied_by_existing_water_boating/trucking ]]/90/15)+(WWWW[[#This Row],['#_Functional_water_point_at_TLS/CFS]]*500))/WWWW[[#This Row],[Total PoP ]]&gt;1,1,((WWWW[[#This Row],['#_Functional_improved_water_source]]*500)+(WWWW[[#This Row],['#_litres_of_water_supplied_by_existing_water_boating/trucking ]]/90/15)+(WWWW[[#This Row],['#_Functional_water_point_at_TLS/CFS]]*500))/WWWW[[#This Row],[Total PoP ]]))</f>
        <v>0</v>
      </c>
      <c r="BQ45" s="542">
        <f>WWWW[[#This Row],[Access to safe/improved water through improved water sources]]*WWWW[[#This Row],[Total PoP ]]</f>
        <v>0</v>
      </c>
      <c r="BR45" s="536">
        <f>IF((WWWW[[#This Row],['#_litres_of_water_stored_in_ponds]]/90/15)/WWWW[[#This Row],[Total PoP ]]&gt;1,1,(WWWW[[#This Row],['#_litres_of_water_stored_in_ponds]]/90/15)/WWWW[[#This Row],[Total PoP ]])</f>
        <v>1</v>
      </c>
      <c r="BS45" s="542">
        <f>WWWW[[#This Row],[% Access to unimproved water points]]*WWWW[[#This Row],[Total PoP ]]</f>
        <v>4676</v>
      </c>
      <c r="BT45" s="536">
        <f>IF(WWWW[[#This Row],[Access to safe/improved water through improved water sources]]+WWWW[[#This Row],[% Access to unimproved water points]]&gt;1,1,WWWW[[#This Row],[Access to safe/improved water through improved water sources]]+WWWW[[#This Row],[% Access to unimproved water points]])</f>
        <v>1</v>
      </c>
      <c r="BU45" s="542">
        <f>IF(WWWW[[#This Row],['# people with equitable and continuous access to sufficient quantity of safe drinking water]]+WWWW[[#This Row],['#People access to unimproved water sources]]&gt;WWWW[[#This Row],[Total PoP ]],WWWW[[#This Row],[Total PoP ]],WWWW[[#This Row],['# people with equitable and continuous access to sufficient quantity of safe drinking water]]+WWWW[[#This Row],['#People access to unimproved water sources]])</f>
        <v>4676</v>
      </c>
      <c r="BV45" s="542">
        <f>WWWW[[#This Row],[HRP1]]/500</f>
        <v>9.3520000000000003</v>
      </c>
      <c r="BW45" s="533">
        <f>1-WWWW[[#This Row],[% HRP1]]</f>
        <v>0</v>
      </c>
      <c r="BX45" s="542">
        <f>WWWW[[#This Row],[%equitable and continuous access to sufficient quantity of safe drinking and domestic water''s GAP]]*WWWW[[#This Row],[Total PoP ]]</f>
        <v>0</v>
      </c>
      <c r="BY45" s="535">
        <f>ROUND(IF(WWWW[[#This Row],[Total PoP ]]&lt;500,1,WWWW[[#This Row],[Total PoP ]]/500),0)</f>
        <v>9</v>
      </c>
      <c r="BZ45" s="535">
        <f>IF(WWWW[[#This Row],[Total required water points]]-WWWW[[#This Row],['#Water points coverage]]&lt;0,0,WWWW[[#This Row],[Total required water points]]-WWWW[[#This Row],['#Water points coverage]])</f>
        <v>0</v>
      </c>
      <c r="CA45" s="536">
        <f>WWWW[[#This Row],[HRP2]]/WWWW[[#This Row],[Total PoP ]]</f>
        <v>0.81757912745936701</v>
      </c>
      <c r="CB45" s="542">
        <f>IF(WWWW[[#This Row],[Total PoP ]]="",0,IF(((WWWW[[#This Row],['#_Functional_adult_latrines]]*20)+(WWWW[[#This Row],['#_of_functional_children_latrines]]*20)+WWWW[[#This Row],['#_of_PWD_with_adapted_sanitation_option]]+(WWWW[[#This Row],['#_of_latrines_in_TLS/CFS]]*50))&gt;WWWW[[#This Row],[Total PoP ]],WWWW[[#This Row],[Total PoP ]],((WWWW[[#This Row],['#_Functional_adult_latrines]]*20)+(WWWW[[#This Row],['#_of_functional_children_latrines]]*20)+WWWW[[#This Row],['#_of_PWD_with_adapted_sanitation_option]]+(WWWW[[#This Row],['#_of_latrines_in_TLS/CFS]]*50))))</f>
        <v>3823</v>
      </c>
      <c r="CC45" s="535">
        <f>IF(WWWW[[#This Row],['#_of_latrines_in_TLS/CFS]]*50&gt;WWWW[[#This Row],['#_students at TLS_CFS]],WWWW[[#This Row],['#_students at TLS_CFS]],WWWW[[#This Row],['#_of_latrines_in_TLS/CFS]]*50)</f>
        <v>400</v>
      </c>
      <c r="CD45" s="535">
        <f>ROUND(IF(WWWW[[#This Row],[Location Type 1]]="camp",WWWW[[#This Row],[Total PoP ]]/20),0)</f>
        <v>234</v>
      </c>
      <c r="CE45" s="535">
        <f>IF(WWWW[[#This Row],[Total required Latrines]]-WWWW[[#This Row],['#_Existing_latrines]]&lt;0,0,WWWW[[#This Row],[Total required Latrines]]-WWWW[[#This Row],['#_Existing_latrines]])</f>
        <v>117</v>
      </c>
      <c r="CF45" s="533">
        <f>1-WWWW[[#This Row],[% HRP2]]</f>
        <v>0.18242087254063299</v>
      </c>
      <c r="CG45" s="536">
        <f>IF(WWWW[[#This Row],['#_Existing_latrines]]="","NA",(WWWW[[#This Row],['#_Existing_latrines]]-WWWW[[#This Row],['#_Functional_adult_latrines]])/WWWW[[#This Row],['#_Existing_latrines]])</f>
        <v>-0.23931623931623933</v>
      </c>
      <c r="CH45" s="542">
        <f>IF(WWWW[[#This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Row],[_'#_of_Girls_receiving_consultation_hygiene_promotion_messages_and_sessions]]&gt;WWWW[[#This Row],[Total PoP ]],WWWW[[#This Row],[Total PoP ]],WWWW[[#This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f>
        <v>4675</v>
      </c>
      <c r="CI45" s="535">
        <f>IF(WWWW[[#This Row],['#_of_affected_households_receiving_a_sufficient_quantity_of_soap]]=0,0,IF(WWWW[[#This Row],['#_of_affected_households_receiving_a_sufficient_quantity_of_soap]]&gt;=WWWW[[#This Row],[Total HH]],WWWW[[#This Row],[Total PoP ]],IF(WWWW[[#This Row],['#_of_affected_households_receiving_a_sufficient_quantity_of_soap]]*5&gt;WWWW[[#This Row],[Total PoP ]],WWWW[[#This Row],[Total PoP ]],WWWW[[#This Row],['#_of_affected_households_receiving_a_sufficient_quantity_of_soap]]*5)))</f>
        <v>4676</v>
      </c>
      <c r="CJ45" s="535">
        <f>IF(WWWW[[#This Row],['#_of_affected_women_and_girls_receiving_a_sufficient_quantity_of_sanitary_pads]]&gt;WWWW[[#This Row],[Total PoP ]],WWWW[[#This Row],[Total PoP ]],WWWW[[#This Row],['#_of_affected_women_and_girls_receiving_a_sufficient_quantity_of_sanitary_pads]])</f>
        <v>2263</v>
      </c>
      <c r="CK45" s="535">
        <f>IF(WWWW[[#This Row],['# People with access to soap]]&gt;WWWW[[#This Row],['# People with access to Sanity Pads]],WWWW[[#This Row],['# People with access to soap]],WWWW[[#This Row],['# People with access to Sanity Pads]])</f>
        <v>4676</v>
      </c>
      <c r="CL45" s="535">
        <f>IF(WWWW[[#This Row],['# people reached by regular dedicated hygiene promotion_5]]&gt;WWWW[[#This Row],['# People received regular supply of hygiene items_6]],WWWW[[#This Row],['# people reached by regular dedicated hygiene promotion_5]],WWWW[[#This Row],['# People received regular supply of hygiene items_6]])</f>
        <v>4676</v>
      </c>
      <c r="CM45" s="533">
        <f>IF(WWWW[[#This Row],[HRP3]]/WWWW[[#This Row],[Total PoP ]]&gt;100%,100%,WWWW[[#This Row],[HRP3]]/WWWW[[#This Row],[Total PoP ]])</f>
        <v>1</v>
      </c>
      <c r="CN45" s="536">
        <f>1-WWWW[[#This Row],[Hygiene Coverage%]]</f>
        <v>0</v>
      </c>
      <c r="CO45" s="534">
        <f>WWWW[[#This Row],['# people reached by regular dedicated hygiene promotion_5]]/WWWW[[#This Row],[Total PoP ]]</f>
        <v>0.9997861420017109</v>
      </c>
      <c r="CP45" s="536">
        <f>IF(WWWW[[#This Row],['#_of_affected_households_receiving_a_sufficient_quantity_of_soap]]/WWWW[[#This Row],[Total HH]]&gt;1,1,WWWW[[#This Row],['#_of_affected_households_receiving_a_sufficient_quantity_of_soap]]/WWWW[[#This Row],[Total HH]])</f>
        <v>1</v>
      </c>
      <c r="CQ45" s="542" t="str">
        <f>IF(WWWW[[#This Row],['#_students at TLS_CFS]]="","No","Yes")</f>
        <v>Yes</v>
      </c>
      <c r="CR45" s="534"/>
      <c r="CS45" s="537" t="str">
        <f>VLOOKUP(WWWW[[#This Row],[Site Name]],SiteDB6[[Site Name]:[CCCM Management]],6,FALSE)</f>
        <v>Yes</v>
      </c>
      <c r="CT45" s="537" t="str">
        <f>VLOOKUP(WWWW[[#This Row],[Site Name]],SiteDB6[[Site Name]:[CCCM Focal Agency]],7,FALSE)</f>
        <v>LWF</v>
      </c>
      <c r="CU45" s="537" t="str">
        <f>VLOOKUP(WWWW[[#This Row],[Site Name]],SiteDB6[[Site Name]:[Location Type 1]],9,FALSE)</f>
        <v>Camp</v>
      </c>
      <c r="CV45" s="537" t="str">
        <f>VLOOKUP(WWWW[[#This Row],[Site Name]],SiteDB6[[Site Name]:[Type of Accommodation]],10,FALSE)</f>
        <v>Planned Camp</v>
      </c>
      <c r="CW45" s="537" t="str">
        <f>VLOOKUP(WWWW[[#This Row],[Site Name]],SiteDB6[[Site Name]:[Ethnic or GCA/NGCA]],11,FALSE)</f>
        <v>Muslim</v>
      </c>
      <c r="CX45" s="537">
        <f>VLOOKUP(WWWW[[#This Row],[Site Name]],SiteDB6[[Site Name]:[Lat]],12,FALSE)</f>
        <v>20.073437999999999</v>
      </c>
      <c r="CY45" s="537">
        <f>VLOOKUP(WWWW[[#This Row],[Site Name]],SiteDB6[[Site Name]:[Long]],13,FALSE)</f>
        <v>93.154551999999995</v>
      </c>
      <c r="CZ45" s="537" t="str">
        <f>VLOOKUP(WWWW[[#This Row],[Site Name]],SiteDB6[[Site Name]:[Pcode]],3,FALSE)</f>
        <v>MMR012CMP017</v>
      </c>
      <c r="DA45" s="564" t="str">
        <f t="shared" si="1"/>
        <v>Covered</v>
      </c>
      <c r="DB45" s="564">
        <f>VLOOKUP(WWWW[[#This Row],[Site Name]],SiteDB6[[Site Name]:[PWD_Total]],22,FALSE)</f>
        <v>112</v>
      </c>
      <c r="DC45" s="564">
        <f>VLOOKUP(WWWW[[#This Row],[Site Name]],SiteDB6[[Site Name]:[PWD_Total]],23,FALSE)</f>
        <v>643</v>
      </c>
      <c r="DD45" s="564">
        <f>VLOOKUP(WWWW[[#This Row],[Site Name]],SiteDB6[[Site Name]:[PWD_Total]],24,FALSE)</f>
        <v>755</v>
      </c>
      <c r="DE45" s="537"/>
      <c r="DF45" s="542">
        <v>508.5</v>
      </c>
      <c r="DG45" s="564">
        <v>0</v>
      </c>
      <c r="DH45" s="564">
        <v>0</v>
      </c>
    </row>
    <row r="46" spans="1:114" hidden="1">
      <c r="A46" s="590" t="s">
        <v>2388</v>
      </c>
      <c r="B46" s="590" t="s">
        <v>297</v>
      </c>
      <c r="C46" s="450" t="s">
        <v>297</v>
      </c>
      <c r="D46" s="450" t="s">
        <v>2700</v>
      </c>
      <c r="E46" s="532" t="s">
        <v>2706</v>
      </c>
      <c r="F46" s="450" t="s">
        <v>306</v>
      </c>
      <c r="G46" s="532" t="str">
        <f>VLOOKUP(WWWW[[#This Row],[Site Name]],SiteDB6[[Site Name]:[Location Type]],8,FALSE)</f>
        <v>Camp</v>
      </c>
      <c r="H46" s="450" t="s">
        <v>2701</v>
      </c>
      <c r="I46" s="589">
        <v>91</v>
      </c>
      <c r="J46" s="589">
        <v>581</v>
      </c>
      <c r="K46" s="453"/>
      <c r="L46" s="854">
        <v>43554</v>
      </c>
      <c r="M46" s="589"/>
      <c r="N46" s="589"/>
      <c r="O46" s="589"/>
      <c r="P46" s="589"/>
      <c r="Q46" s="542"/>
      <c r="R46" s="589"/>
      <c r="S46" s="589"/>
      <c r="T46" s="589"/>
      <c r="U46" s="589"/>
      <c r="V46" s="589"/>
      <c r="W46" s="589"/>
      <c r="X46" s="589"/>
      <c r="Y46" s="589"/>
      <c r="Z46" s="589"/>
      <c r="AA46" s="589"/>
      <c r="AB46" s="589"/>
      <c r="AC46" s="589"/>
      <c r="AD46" s="589"/>
      <c r="AE46" s="635"/>
      <c r="AF46" s="589">
        <v>91</v>
      </c>
      <c r="AG46" s="589">
        <v>91</v>
      </c>
      <c r="AH46" s="589"/>
      <c r="AI46" s="534"/>
      <c r="AJ46" s="589"/>
      <c r="AK46" s="534"/>
      <c r="AL46" s="534"/>
      <c r="AM46" s="534"/>
      <c r="AN46" s="534"/>
      <c r="AO46" s="589"/>
      <c r="AP46" s="589"/>
      <c r="AQ46" s="589"/>
      <c r="AR46" s="589" t="s">
        <v>130</v>
      </c>
      <c r="AS46" s="648"/>
      <c r="AT46" s="589"/>
      <c r="AU46" s="589"/>
      <c r="AV46" s="589"/>
      <c r="AW46" s="589"/>
      <c r="AX46" s="589"/>
      <c r="AY46" s="589"/>
      <c r="AZ46" s="534"/>
      <c r="BA46" s="534"/>
      <c r="BB46" s="534"/>
      <c r="BC46" s="534"/>
      <c r="BD46" s="855"/>
      <c r="BE46" s="534"/>
      <c r="BF46" s="534"/>
      <c r="BG46" s="589"/>
      <c r="BH46" s="534"/>
      <c r="BI46" s="534">
        <f>WWWW[[#This Row],[Cases of Acute watery diarrhea]]/WWWW[[#This Row],[Total consultations]]</f>
        <v>1.0416666666666666E-2</v>
      </c>
      <c r="BJ46" s="535"/>
      <c r="BK46" s="648"/>
      <c r="BL46" s="648"/>
      <c r="BM46" s="536" t="str">
        <f>IFERROR(WWWW[[#This Row],['#_Water samples _passed_at_water source]]/WWWW[[#This Row],['#_Water samples_Tested_at_water_source]],"no test")</f>
        <v>no test</v>
      </c>
      <c r="BN46" s="534" t="str">
        <f>IFERROR(WWWW[[#This Row],['#_Water samples _passed_at_HH]]/WWWW[[#This Row],['#_Water samples_Tested_at_HH]],"no test")</f>
        <v>no test</v>
      </c>
      <c r="BO46" s="535" t="str">
        <f>IF(AND(WWWW[[#This Row],[%of Water samples which passed at water source]]="no test",WWWW[[#This Row],[%Water samples which passed at HH]]="no test"),"No Test","Tested")</f>
        <v>No Test</v>
      </c>
      <c r="BP46" s="536">
        <f>IF(WWWW[[#This Row],[Total PoP ]]="","",IF(((WWWW[[#This Row],['#_Functional_improved_water_source]]*500)+(WWWW[[#This Row],['#_litres_of_water_supplied_by_existing_water_boating/trucking ]]/90/15)+(WWWW[[#This Row],['#_Functional_water_point_at_TLS/CFS]]*500))/WWWW[[#This Row],[Total PoP ]]&gt;1,1,((WWWW[[#This Row],['#_Functional_improved_water_source]]*500)+(WWWW[[#This Row],['#_litres_of_water_supplied_by_existing_water_boating/trucking ]]/90/15)+(WWWW[[#This Row],['#_Functional_water_point_at_TLS/CFS]]*500))/WWWW[[#This Row],[Total PoP ]]))</f>
        <v>0</v>
      </c>
      <c r="BQ46" s="542">
        <f>WWWW[[#This Row],[Access to safe/improved water through improved water sources]]*WWWW[[#This Row],[Total PoP ]]</f>
        <v>0</v>
      </c>
      <c r="BR46" s="536">
        <f>IF((WWWW[[#This Row],['#_litres_of_water_stored_in_ponds]]/90/15)/WWWW[[#This Row],[Total PoP ]]&gt;1,1,(WWWW[[#This Row],['#_litres_of_water_stored_in_ponds]]/90/15)/WWWW[[#This Row],[Total PoP ]])</f>
        <v>0</v>
      </c>
      <c r="BS46" s="542">
        <f>WWWW[[#This Row],[% Access to unimproved water points]]*WWWW[[#This Row],[Total PoP ]]</f>
        <v>0</v>
      </c>
      <c r="BT46" s="536">
        <f>IF(WWWW[[#This Row],[Access to safe/improved water through improved water sources]]+WWWW[[#This Row],[% Access to unimproved water points]]&gt;1,1,WWWW[[#This Row],[Access to safe/improved water through improved water sources]]+WWWW[[#This Row],[% Access to unimproved water points]])</f>
        <v>0</v>
      </c>
      <c r="BU46" s="542">
        <f>IF(WWWW[[#This Row],['# people with equitable and continuous access to sufficient quantity of safe drinking water]]+WWWW[[#This Row],['#People access to unimproved water sources]]&gt;WWWW[[#This Row],[Total PoP ]],WWWW[[#This Row],[Total PoP ]],WWWW[[#This Row],['# people with equitable and continuous access to sufficient quantity of safe drinking water]]+WWWW[[#This Row],['#People access to unimproved water sources]])</f>
        <v>0</v>
      </c>
      <c r="BV46" s="542">
        <f>WWWW[[#This Row],[HRP1]]/500</f>
        <v>0</v>
      </c>
      <c r="BW46" s="533">
        <f>1-WWWW[[#This Row],[% HRP1]]</f>
        <v>1</v>
      </c>
      <c r="BX46" s="542">
        <f>WWWW[[#This Row],[%equitable and continuous access to sufficient quantity of safe drinking and domestic water''s GAP]]*WWWW[[#This Row],[Total PoP ]]</f>
        <v>581</v>
      </c>
      <c r="BY46" s="535">
        <f>ROUND(IF(WWWW[[#This Row],[Total PoP ]]&lt;500,1,WWWW[[#This Row],[Total PoP ]]/500),0)</f>
        <v>1</v>
      </c>
      <c r="BZ46" s="535">
        <f>IF(WWWW[[#This Row],[Total required water points]]-WWWW[[#This Row],['#Water points coverage]]&lt;0,0,WWWW[[#This Row],[Total required water points]]-WWWW[[#This Row],['#Water points coverage]])</f>
        <v>1</v>
      </c>
      <c r="CA46" s="536">
        <f>WWWW[[#This Row],[HRP2]]/WWWW[[#This Row],[Total PoP ]]</f>
        <v>1</v>
      </c>
      <c r="CB46" s="542">
        <f>IF(WWWW[[#This Row],[Total PoP ]]="",0,IF(((WWWW[[#This Row],['#_Functional_adult_latrines]]*20)+(WWWW[[#This Row],['#_of_functional_children_latrines]]*20)+WWWW[[#This Row],['#_of_PWD_with_adapted_sanitation_option]]+(WWWW[[#This Row],['#_of_latrines_in_TLS/CFS]]*50))&gt;WWWW[[#This Row],[Total PoP ]],WWWW[[#This Row],[Total PoP ]],((WWWW[[#This Row],['#_Functional_adult_latrines]]*20)+(WWWW[[#This Row],['#_of_functional_children_latrines]]*20)+WWWW[[#This Row],['#_of_PWD_with_adapted_sanitation_option]]+(WWWW[[#This Row],['#_of_latrines_in_TLS/CFS]]*50))))</f>
        <v>581</v>
      </c>
      <c r="CC46" s="535">
        <f>IF(WWWW[[#This Row],['#_of_latrines_in_TLS/CFS]]*50&gt;WWWW[[#This Row],['#_students at TLS_CFS]],WWWW[[#This Row],['#_students at TLS_CFS]],WWWW[[#This Row],['#_of_latrines_in_TLS/CFS]]*50)</f>
        <v>0</v>
      </c>
      <c r="CD46" s="535">
        <f>ROUND(IF(WWWW[[#This Row],[Location Type 1]]="camp",WWWW[[#This Row],[Total PoP ]]/20),0)</f>
        <v>29</v>
      </c>
      <c r="CE46" s="535">
        <f>IF(WWWW[[#This Row],[Total required Latrines]]-WWWW[[#This Row],['#_Existing_latrines]]&lt;0,0,WWWW[[#This Row],[Total required Latrines]]-WWWW[[#This Row],['#_Existing_latrines]])</f>
        <v>0</v>
      </c>
      <c r="CF46" s="533">
        <f>1-WWWW[[#This Row],[% HRP2]]</f>
        <v>0</v>
      </c>
      <c r="CG46" s="536">
        <f>IF(WWWW[[#This Row],['#_Existing_latrines]]="","NA",(WWWW[[#This Row],['#_Existing_latrines]]-WWWW[[#This Row],['#_Functional_adult_latrines]])/WWWW[[#This Row],['#_Existing_latrines]])</f>
        <v>0</v>
      </c>
      <c r="CH46" s="542">
        <f>IF(WWWW[[#This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Row],[_'#_of_Girls_receiving_consultation_hygiene_promotion_messages_and_sessions]]&gt;WWWW[[#This Row],[Total PoP ]],WWWW[[#This Row],[Total PoP ]],WWWW[[#This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f>
        <v>0</v>
      </c>
      <c r="CI46" s="535">
        <f>IF(WWWW[[#This Row],['#_of_affected_households_receiving_a_sufficient_quantity_of_soap]]=0,0,IF(WWWW[[#This Row],['#_of_affected_households_receiving_a_sufficient_quantity_of_soap]]&gt;=WWWW[[#This Row],[Total HH]],WWWW[[#This Row],[Total PoP ]],IF(WWWW[[#This Row],['#_of_affected_households_receiving_a_sufficient_quantity_of_soap]]*5&gt;WWWW[[#This Row],[Total PoP ]],WWWW[[#This Row],[Total PoP ]],WWWW[[#This Row],['#_of_affected_households_receiving_a_sufficient_quantity_of_soap]]*5)))</f>
        <v>0</v>
      </c>
      <c r="CJ46" s="535">
        <f>IF(WWWW[[#This Row],['#_of_affected_women_and_girls_receiving_a_sufficient_quantity_of_sanitary_pads]]&gt;WWWW[[#This Row],[Total PoP ]],WWWW[[#This Row],[Total PoP ]],WWWW[[#This Row],['#_of_affected_women_and_girls_receiving_a_sufficient_quantity_of_sanitary_pads]])</f>
        <v>0</v>
      </c>
      <c r="CK46" s="535">
        <f>IF(WWWW[[#This Row],['# People with access to soap]]&gt;WWWW[[#This Row],['# People with access to Sanity Pads]],WWWW[[#This Row],['# People with access to soap]],WWWW[[#This Row],['# People with access to Sanity Pads]])</f>
        <v>0</v>
      </c>
      <c r="CL46" s="535">
        <f>IF(WWWW[[#This Row],['# people reached by regular dedicated hygiene promotion_5]]&gt;WWWW[[#This Row],['# People received regular supply of hygiene items_6]],WWWW[[#This Row],['# people reached by regular dedicated hygiene promotion_5]],WWWW[[#This Row],['# People received regular supply of hygiene items_6]])</f>
        <v>0</v>
      </c>
      <c r="CM46" s="533">
        <f>IF(WWWW[[#This Row],[HRP3]]/WWWW[[#This Row],[Total PoP ]]&gt;100%,100%,WWWW[[#This Row],[HRP3]]/WWWW[[#This Row],[Total PoP ]])</f>
        <v>0</v>
      </c>
      <c r="CN46" s="536">
        <f>1-WWWW[[#This Row],[Hygiene Coverage%]]</f>
        <v>1</v>
      </c>
      <c r="CO46" s="534">
        <f>WWWW[[#This Row],['# people reached by regular dedicated hygiene promotion_5]]/WWWW[[#This Row],[Total PoP ]]</f>
        <v>0</v>
      </c>
      <c r="CP46" s="536">
        <f>IF(WWWW[[#This Row],['#_of_affected_households_receiving_a_sufficient_quantity_of_soap]]/WWWW[[#This Row],[Total HH]]&gt;1,1,WWWW[[#This Row],['#_of_affected_households_receiving_a_sufficient_quantity_of_soap]]/WWWW[[#This Row],[Total HH]])</f>
        <v>0</v>
      </c>
      <c r="CQ46" s="542" t="str">
        <f>IF(WWWW[[#This Row],['#_students at TLS_CFS]]="","No","Yes")</f>
        <v>No</v>
      </c>
      <c r="CR46" s="534"/>
      <c r="CS46" s="537" t="str">
        <f>VLOOKUP(WWWW[[#This Row],[Site Name]],SiteDB6[[Site Name]:[CCCM Management]],6,FALSE)</f>
        <v>Yes</v>
      </c>
      <c r="CT46" s="537">
        <f>VLOOKUP(WWWW[[#This Row],[Site Name]],SiteDB6[[Site Name]:[CCCM Focal Agency]],7,FALSE)</f>
        <v>0</v>
      </c>
      <c r="CU46" s="537" t="str">
        <f>VLOOKUP(WWWW[[#This Row],[Site Name]],SiteDB6[[Site Name]:[Location Type 1]],9,FALSE)</f>
        <v>Camp</v>
      </c>
      <c r="CV46" s="537" t="str">
        <f>VLOOKUP(WWWW[[#This Row],[Site Name]],SiteDB6[[Site Name]:[Type of Accommodation]],10,FALSE)</f>
        <v>Self Settled Camp</v>
      </c>
      <c r="CW46" s="537" t="str">
        <f>VLOOKUP(WWWW[[#This Row],[Site Name]],SiteDB6[[Site Name]:[Ethnic or GCA/NGCA]],11,FALSE)</f>
        <v>Muslim</v>
      </c>
      <c r="CX46" s="537">
        <f>VLOOKUP(WWWW[[#This Row],[Site Name]],SiteDB6[[Site Name]:[Lat]],12,FALSE)</f>
        <v>20.865687000000001</v>
      </c>
      <c r="CY46" s="537">
        <f>VLOOKUP(WWWW[[#This Row],[Site Name]],SiteDB6[[Site Name]:[Long]],13,FALSE)</f>
        <v>92.965980999999999</v>
      </c>
      <c r="CZ46" s="537" t="str">
        <f>VLOOKUP(WWWW[[#This Row],[Site Name]],SiteDB6[[Site Name]:[Pcode]],3,FALSE)</f>
        <v>MMR012CMP023</v>
      </c>
      <c r="DA46" s="564" t="str">
        <f t="shared" si="1"/>
        <v>Covered</v>
      </c>
      <c r="DB46" s="564">
        <f>VLOOKUP(WWWW[[#This Row],[Site Name]],SiteDB6[[Site Name]:[PWD_Total]],22,FALSE)</f>
        <v>0</v>
      </c>
      <c r="DC46" s="564">
        <f>VLOOKUP(WWWW[[#This Row],[Site Name]],SiteDB6[[Site Name]:[PWD_Total]],23,FALSE)</f>
        <v>0</v>
      </c>
      <c r="DD46" s="564">
        <f>VLOOKUP(WWWW[[#This Row],[Site Name]],SiteDB6[[Site Name]:[PWD_Total]],24,FALSE)</f>
        <v>0</v>
      </c>
      <c r="DE46" s="537"/>
      <c r="DF46" s="564">
        <v>96</v>
      </c>
      <c r="DG46" s="564">
        <v>1</v>
      </c>
      <c r="DH46" s="564">
        <v>0</v>
      </c>
    </row>
    <row r="47" spans="1:114" hidden="1">
      <c r="A47" s="590" t="s">
        <v>2388</v>
      </c>
      <c r="B47" s="590" t="s">
        <v>2702</v>
      </c>
      <c r="C47" s="450" t="s">
        <v>2307</v>
      </c>
      <c r="D47" s="450" t="s">
        <v>41</v>
      </c>
      <c r="E47" s="532" t="s">
        <v>2706</v>
      </c>
      <c r="F47" s="450" t="s">
        <v>299</v>
      </c>
      <c r="G47" s="532" t="str">
        <f>VLOOKUP(WWWW[[#This Row],[Site Name]],SiteDB6[[Site Name]:[Location Type]],8,FALSE)</f>
        <v>Camp</v>
      </c>
      <c r="H47" s="450" t="s">
        <v>445</v>
      </c>
      <c r="I47" s="589">
        <v>673</v>
      </c>
      <c r="J47" s="589">
        <v>3095</v>
      </c>
      <c r="K47" s="453">
        <v>43009</v>
      </c>
      <c r="L47" s="854">
        <v>44104</v>
      </c>
      <c r="M47" s="589">
        <v>681</v>
      </c>
      <c r="N47" s="589">
        <v>20</v>
      </c>
      <c r="O47" s="589">
        <v>65</v>
      </c>
      <c r="P47" s="589">
        <v>0</v>
      </c>
      <c r="Q47" s="542" t="s">
        <v>130</v>
      </c>
      <c r="R47" s="589">
        <v>17</v>
      </c>
      <c r="S47" s="589">
        <v>11</v>
      </c>
      <c r="T47" s="589">
        <v>75</v>
      </c>
      <c r="U47" s="589">
        <v>76</v>
      </c>
      <c r="V47" s="589"/>
      <c r="W47" s="589"/>
      <c r="X47" s="589"/>
      <c r="Y47" s="589"/>
      <c r="Z47" s="589"/>
      <c r="AA47" s="589"/>
      <c r="AB47" s="589">
        <v>0</v>
      </c>
      <c r="AC47" s="589">
        <v>30</v>
      </c>
      <c r="AD47" s="589">
        <v>2</v>
      </c>
      <c r="AE47" s="635"/>
      <c r="AF47" s="589">
        <v>168</v>
      </c>
      <c r="AG47" s="589">
        <v>175</v>
      </c>
      <c r="AH47" s="589">
        <v>37</v>
      </c>
      <c r="AI47" s="534">
        <v>0</v>
      </c>
      <c r="AJ47" s="589">
        <v>54</v>
      </c>
      <c r="AK47" s="534">
        <v>1</v>
      </c>
      <c r="AL47" s="534">
        <v>0.86</v>
      </c>
      <c r="AM47" s="534">
        <v>0.2</v>
      </c>
      <c r="AN47" s="534">
        <v>0.2</v>
      </c>
      <c r="AO47" s="589">
        <v>0</v>
      </c>
      <c r="AP47" s="589"/>
      <c r="AQ47" s="589">
        <v>6</v>
      </c>
      <c r="AR47" s="589" t="s">
        <v>42</v>
      </c>
      <c r="AS47" s="648"/>
      <c r="AT47" s="589">
        <v>1056</v>
      </c>
      <c r="AU47" s="589">
        <v>2932</v>
      </c>
      <c r="AV47" s="589">
        <v>119</v>
      </c>
      <c r="AW47" s="589">
        <v>70</v>
      </c>
      <c r="AX47" s="589">
        <v>774</v>
      </c>
      <c r="AY47" s="589">
        <v>1123</v>
      </c>
      <c r="AZ47" s="534"/>
      <c r="BA47" s="534"/>
      <c r="BB47" s="534"/>
      <c r="BC47" s="534">
        <v>1</v>
      </c>
      <c r="BD47" s="855"/>
      <c r="BE47" s="534"/>
      <c r="BF47" s="534"/>
      <c r="BG47" s="589">
        <v>1</v>
      </c>
      <c r="BH47" s="534">
        <v>0.55000000000000004</v>
      </c>
      <c r="BI47" s="534">
        <f>WWWW[[#This Row],[Cases of Acute watery diarrhea]]/WWWW[[#This Row],[Total consultations]]</f>
        <v>4.6861184792219276E-2</v>
      </c>
      <c r="BJ47" s="535"/>
      <c r="BK47" s="648"/>
      <c r="BL47" s="648"/>
      <c r="BM47" s="536" t="str">
        <f>IFERROR(WWWW[[#This Row],['#_Water samples _passed_at_water source]]/WWWW[[#This Row],['#_Water samples_Tested_at_water_source]],"no test")</f>
        <v>no test</v>
      </c>
      <c r="BN47" s="534" t="str">
        <f>IFERROR(WWWW[[#This Row],['#_Water samples _passed_at_HH]]/WWWW[[#This Row],['#_Water samples_Tested_at_HH]],"no test")</f>
        <v>no test</v>
      </c>
      <c r="BO47" s="535" t="str">
        <f>IF(AND(WWWW[[#This Row],[%of Water samples which passed at water source]]="no test",WWWW[[#This Row],[%Water samples which passed at HH]]="no test"),"No Test","Tested")</f>
        <v>No Test</v>
      </c>
      <c r="BP47" s="536">
        <f>IF(WWWW[[#This Row],[Total PoP ]]="","",IF(((WWWW[[#This Row],['#_Functional_improved_water_source]]*500)+(WWWW[[#This Row],['#_litres_of_water_supplied_by_existing_water_boating/trucking ]]/90/15)+(WWWW[[#This Row],['#_Functional_water_point_at_TLS/CFS]]*500))/WWWW[[#This Row],[Total PoP ]]&gt;1,1,((WWWW[[#This Row],['#_Functional_improved_water_source]]*500)+(WWWW[[#This Row],['#_litres_of_water_supplied_by_existing_water_boating/trucking ]]/90/15)+(WWWW[[#This Row],['#_Functional_water_point_at_TLS/CFS]]*500))/WWWW[[#This Row],[Total PoP ]]))</f>
        <v>1</v>
      </c>
      <c r="BQ47" s="542">
        <f>WWWW[[#This Row],[Access to safe/improved water through improved water sources]]*WWWW[[#This Row],[Total PoP ]]</f>
        <v>3095</v>
      </c>
      <c r="BR47" s="536">
        <f>IF((WWWW[[#This Row],['#_litres_of_water_stored_in_ponds]]/90/15)/WWWW[[#This Row],[Total PoP ]]&gt;1,1,(WWWW[[#This Row],['#_litres_of_water_stored_in_ponds]]/90/15)/WWWW[[#This Row],[Total PoP ]])</f>
        <v>0</v>
      </c>
      <c r="BS47" s="542">
        <f>WWWW[[#This Row],[% Access to unimproved water points]]*WWWW[[#This Row],[Total PoP ]]</f>
        <v>0</v>
      </c>
      <c r="BT47" s="536">
        <f>IF(WWWW[[#This Row],[Access to safe/improved water through improved water sources]]+WWWW[[#This Row],[% Access to unimproved water points]]&gt;1,1,WWWW[[#This Row],[Access to safe/improved water through improved water sources]]+WWWW[[#This Row],[% Access to unimproved water points]])</f>
        <v>1</v>
      </c>
      <c r="BU47" s="542">
        <f>IF(WWWW[[#This Row],['# people with equitable and continuous access to sufficient quantity of safe drinking water]]+WWWW[[#This Row],['#People access to unimproved water sources]]&gt;WWWW[[#This Row],[Total PoP ]],WWWW[[#This Row],[Total PoP ]],WWWW[[#This Row],['# people with equitable and continuous access to sufficient quantity of safe drinking water]]+WWWW[[#This Row],['#People access to unimproved water sources]])</f>
        <v>3095</v>
      </c>
      <c r="BV47" s="542">
        <f>WWWW[[#This Row],[HRP1]]/500</f>
        <v>6.19</v>
      </c>
      <c r="BW47" s="533">
        <f>1-WWWW[[#This Row],[% HRP1]]</f>
        <v>0</v>
      </c>
      <c r="BX47" s="542">
        <f>WWWW[[#This Row],[%equitable and continuous access to sufficient quantity of safe drinking and domestic water''s GAP]]*WWWW[[#This Row],[Total PoP ]]</f>
        <v>0</v>
      </c>
      <c r="BY47" s="535">
        <f>ROUND(IF(WWWW[[#This Row],[Total PoP ]]&lt;500,1,WWWW[[#This Row],[Total PoP ]]/500),0)</f>
        <v>6</v>
      </c>
      <c r="BZ47" s="535">
        <f>IF(WWWW[[#This Row],[Total required water points]]-WWWW[[#This Row],['#Water points coverage]]&lt;0,0,WWWW[[#This Row],[Total required water points]]-WWWW[[#This Row],['#Water points coverage]])</f>
        <v>0</v>
      </c>
      <c r="CA47" s="536">
        <f>WWWW[[#This Row],[HRP2]]/WWWW[[#This Row],[Total PoP ]]</f>
        <v>1</v>
      </c>
      <c r="CB47" s="542">
        <f>IF(WWWW[[#This Row],[Total PoP ]]="",0,IF(((WWWW[[#This Row],['#_Functional_adult_latrines]]*20)+(WWWW[[#This Row],['#_of_functional_children_latrines]]*20)+WWWW[[#This Row],['#_of_PWD_with_adapted_sanitation_option]]+(WWWW[[#This Row],['#_of_latrines_in_TLS/CFS]]*50))&gt;WWWW[[#This Row],[Total PoP ]],WWWW[[#This Row],[Total PoP ]],((WWWW[[#This Row],['#_Functional_adult_latrines]]*20)+(WWWW[[#This Row],['#_of_functional_children_latrines]]*20)+WWWW[[#This Row],['#_of_PWD_with_adapted_sanitation_option]]+(WWWW[[#This Row],['#_of_latrines_in_TLS/CFS]]*50))))</f>
        <v>3095</v>
      </c>
      <c r="CC47" s="535">
        <f>IF(WWWW[[#This Row],['#_of_latrines_in_TLS/CFS]]*50&gt;WWWW[[#This Row],['#_students at TLS_CFS]],WWWW[[#This Row],['#_students at TLS_CFS]],WWWW[[#This Row],['#_of_latrines_in_TLS/CFS]]*50)</f>
        <v>300</v>
      </c>
      <c r="CD47" s="535">
        <f>ROUND(IF(WWWW[[#This Row],[Location Type 1]]="camp",WWWW[[#This Row],[Total PoP ]]/20),0)</f>
        <v>155</v>
      </c>
      <c r="CE47" s="535">
        <f>IF(WWWW[[#This Row],[Total required Latrines]]-WWWW[[#This Row],['#_Existing_latrines]]&lt;0,0,WWWW[[#This Row],[Total required Latrines]]-WWWW[[#This Row],['#_Existing_latrines]])</f>
        <v>0</v>
      </c>
      <c r="CF47" s="533">
        <f>1-WWWW[[#This Row],[% HRP2]]</f>
        <v>0</v>
      </c>
      <c r="CG47" s="536">
        <f>IF(WWWW[[#This Row],['#_Existing_latrines]]="","NA",(WWWW[[#This Row],['#_Existing_latrines]]-WWWW[[#This Row],['#_Functional_adult_latrines]])/WWWW[[#This Row],['#_Existing_latrines]])</f>
        <v>0.04</v>
      </c>
      <c r="CH47" s="542">
        <f>IF(WWWW[[#This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Row],[_'#_of_Girls_receiving_consultation_hygiene_promotion_messages_and_sessions]]&gt;WWWW[[#This Row],[Total PoP ]],WWWW[[#This Row],[Total PoP ]],WWWW[[#This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f>
        <v>3095</v>
      </c>
      <c r="CI47" s="535">
        <f>IF(WWWW[[#This Row],['#_of_affected_households_receiving_a_sufficient_quantity_of_soap]]=0,0,IF(WWWW[[#This Row],['#_of_affected_households_receiving_a_sufficient_quantity_of_soap]]&gt;=WWWW[[#This Row],[Total HH]],WWWW[[#This Row],[Total PoP ]],IF(WWWW[[#This Row],['#_of_affected_households_receiving_a_sufficient_quantity_of_soap]]*5&gt;WWWW[[#This Row],[Total PoP ]],WWWW[[#This Row],[Total PoP ]],WWWW[[#This Row],['#_of_affected_households_receiving_a_sufficient_quantity_of_soap]]*5)))</f>
        <v>3095</v>
      </c>
      <c r="CJ47" s="535">
        <f>IF(WWWW[[#This Row],['#_of_affected_women_and_girls_receiving_a_sufficient_quantity_of_sanitary_pads]]&gt;WWWW[[#This Row],[Total PoP ]],WWWW[[#This Row],[Total PoP ]],WWWW[[#This Row],['#_of_affected_women_and_girls_receiving_a_sufficient_quantity_of_sanitary_pads]])</f>
        <v>1123</v>
      </c>
      <c r="CK47" s="535">
        <f>IF(WWWW[[#This Row],['# People with access to soap]]&gt;WWWW[[#This Row],['# People with access to Sanity Pads]],WWWW[[#This Row],['# People with access to soap]],WWWW[[#This Row],['# People with access to Sanity Pads]])</f>
        <v>3095</v>
      </c>
      <c r="CL47" s="535">
        <f>IF(WWWW[[#This Row],['# people reached by regular dedicated hygiene promotion_5]]&gt;WWWW[[#This Row],['# People received regular supply of hygiene items_6]],WWWW[[#This Row],['# people reached by regular dedicated hygiene promotion_5]],WWWW[[#This Row],['# People received regular supply of hygiene items_6]])</f>
        <v>3095</v>
      </c>
      <c r="CM47" s="533">
        <f>IF(WWWW[[#This Row],[HRP3]]/WWWW[[#This Row],[Total PoP ]]&gt;100%,100%,WWWW[[#This Row],[HRP3]]/WWWW[[#This Row],[Total PoP ]])</f>
        <v>1</v>
      </c>
      <c r="CN47" s="536">
        <f>1-WWWW[[#This Row],[Hygiene Coverage%]]</f>
        <v>0</v>
      </c>
      <c r="CO47" s="534">
        <f>WWWW[[#This Row],['# people reached by regular dedicated hygiene promotion_5]]/WWWW[[#This Row],[Total PoP ]]</f>
        <v>1</v>
      </c>
      <c r="CP47" s="536">
        <f>IF(WWWW[[#This Row],['#_of_affected_households_receiving_a_sufficient_quantity_of_soap]]/WWWW[[#This Row],[Total HH]]&gt;1,1,WWWW[[#This Row],['#_of_affected_households_receiving_a_sufficient_quantity_of_soap]]/WWWW[[#This Row],[Total HH]])</f>
        <v>1</v>
      </c>
      <c r="CQ47" s="542" t="str">
        <f>IF(WWWW[[#This Row],['#_students at TLS_CFS]]="","No","Yes")</f>
        <v>Yes</v>
      </c>
      <c r="CR47" s="534"/>
      <c r="CS47" s="537" t="str">
        <f>VLOOKUP(WWWW[[#This Row],[Site Name]],SiteDB6[[Site Name]:[CCCM Management]],6,FALSE)</f>
        <v>Yes</v>
      </c>
      <c r="CT47" s="537">
        <f>VLOOKUP(WWWW[[#This Row],[Site Name]],SiteDB6[[Site Name]:[CCCM Focal Agency]],7,FALSE)</f>
        <v>0</v>
      </c>
      <c r="CU47" s="537" t="str">
        <f>VLOOKUP(WWWW[[#This Row],[Site Name]],SiteDB6[[Site Name]:[Location Type 1]],9,FALSE)</f>
        <v>Camp</v>
      </c>
      <c r="CV47" s="537" t="str">
        <f>VLOOKUP(WWWW[[#This Row],[Site Name]],SiteDB6[[Site Name]:[Type of Accommodation]],10,FALSE)</f>
        <v>Planned Camp</v>
      </c>
      <c r="CW47" s="537" t="str">
        <f>VLOOKUP(WWWW[[#This Row],[Site Name]],SiteDB6[[Site Name]:[Ethnic or GCA/NGCA]],11,FALSE)</f>
        <v>Muslim</v>
      </c>
      <c r="CX47" s="537">
        <f>VLOOKUP(WWWW[[#This Row],[Site Name]],SiteDB6[[Site Name]:[Lat]],12,FALSE)</f>
        <v>20.206778</v>
      </c>
      <c r="CY47" s="537">
        <f>VLOOKUP(WWWW[[#This Row],[Site Name]],SiteDB6[[Site Name]:[Long]],13,FALSE)</f>
        <v>92.774193999999994</v>
      </c>
      <c r="CZ47" s="537" t="str">
        <f>VLOOKUP(WWWW[[#This Row],[Site Name]],SiteDB6[[Site Name]:[Pcode]],3,FALSE)</f>
        <v>MMR012CMP098</v>
      </c>
      <c r="DA47" s="564" t="str">
        <f t="shared" si="1"/>
        <v>Covered</v>
      </c>
      <c r="DB47" s="564">
        <f>VLOOKUP(WWWW[[#This Row],[Site Name]],SiteDB6[[Site Name]:[PWD_Total]],22,FALSE)</f>
        <v>12</v>
      </c>
      <c r="DC47" s="564">
        <f>VLOOKUP(WWWW[[#This Row],[Site Name]],SiteDB6[[Site Name]:[PWD_Total]],23,FALSE)</f>
        <v>359</v>
      </c>
      <c r="DD47" s="564">
        <f>VLOOKUP(WWWW[[#This Row],[Site Name]],SiteDB6[[Site Name]:[PWD_Total]],24,FALSE)</f>
        <v>371</v>
      </c>
      <c r="DE47" s="537"/>
      <c r="DF47" s="564">
        <v>1131</v>
      </c>
      <c r="DG47" s="564">
        <v>53</v>
      </c>
      <c r="DH47" s="564">
        <v>0</v>
      </c>
    </row>
    <row r="48" spans="1:114" hidden="1">
      <c r="A48" s="590" t="s">
        <v>2388</v>
      </c>
      <c r="B48" s="590" t="s">
        <v>2702</v>
      </c>
      <c r="C48" s="450" t="s">
        <v>2307</v>
      </c>
      <c r="D48" s="450" t="s">
        <v>41</v>
      </c>
      <c r="E48" s="532" t="s">
        <v>2706</v>
      </c>
      <c r="F48" s="450" t="s">
        <v>299</v>
      </c>
      <c r="G48" s="532" t="str">
        <f>VLOOKUP(WWWW[[#This Row],[Site Name]],SiteDB6[[Site Name]:[Location Type]],8,FALSE)</f>
        <v>Camp</v>
      </c>
      <c r="H48" s="450" t="s">
        <v>436</v>
      </c>
      <c r="I48" s="589">
        <v>2428</v>
      </c>
      <c r="J48" s="589">
        <v>13302</v>
      </c>
      <c r="K48" s="453">
        <v>43009</v>
      </c>
      <c r="L48" s="854">
        <v>44104</v>
      </c>
      <c r="M48" s="589">
        <v>500</v>
      </c>
      <c r="N48" s="589">
        <v>100</v>
      </c>
      <c r="O48" s="589">
        <v>490</v>
      </c>
      <c r="P48" s="589">
        <v>0</v>
      </c>
      <c r="Q48" s="542" t="s">
        <v>130</v>
      </c>
      <c r="R48" s="589">
        <v>51</v>
      </c>
      <c r="S48" s="589">
        <v>23</v>
      </c>
      <c r="T48" s="589">
        <v>153</v>
      </c>
      <c r="U48" s="589">
        <v>196</v>
      </c>
      <c r="V48" s="589"/>
      <c r="W48" s="589"/>
      <c r="X48" s="589">
        <v>34</v>
      </c>
      <c r="Y48" s="589">
        <v>31</v>
      </c>
      <c r="Z48" s="589">
        <v>87</v>
      </c>
      <c r="AA48" s="589">
        <v>56</v>
      </c>
      <c r="AB48" s="589">
        <v>0</v>
      </c>
      <c r="AC48" s="589">
        <v>30</v>
      </c>
      <c r="AD48" s="589">
        <v>2</v>
      </c>
      <c r="AE48" s="635"/>
      <c r="AF48" s="589">
        <v>499</v>
      </c>
      <c r="AG48" s="589">
        <v>772</v>
      </c>
      <c r="AH48" s="589">
        <v>64</v>
      </c>
      <c r="AI48" s="534">
        <v>0.16</v>
      </c>
      <c r="AJ48" s="589">
        <v>491</v>
      </c>
      <c r="AK48" s="534">
        <v>0.91</v>
      </c>
      <c r="AL48" s="534">
        <v>0.08</v>
      </c>
      <c r="AM48" s="534">
        <v>0.18</v>
      </c>
      <c r="AN48" s="534">
        <v>0.18</v>
      </c>
      <c r="AO48" s="589">
        <v>20</v>
      </c>
      <c r="AP48" s="589"/>
      <c r="AQ48" s="589">
        <v>3</v>
      </c>
      <c r="AR48" s="589" t="s">
        <v>42</v>
      </c>
      <c r="AS48" s="648"/>
      <c r="AT48" s="589">
        <v>1976</v>
      </c>
      <c r="AU48" s="589">
        <v>11265</v>
      </c>
      <c r="AV48" s="589">
        <v>1418</v>
      </c>
      <c r="AW48" s="589">
        <v>1328</v>
      </c>
      <c r="AX48" s="589">
        <v>2728</v>
      </c>
      <c r="AY48" s="589">
        <v>5397</v>
      </c>
      <c r="AZ48" s="534"/>
      <c r="BA48" s="534"/>
      <c r="BB48" s="534"/>
      <c r="BC48" s="534">
        <v>0.1</v>
      </c>
      <c r="BD48" s="855"/>
      <c r="BE48" s="534"/>
      <c r="BF48" s="534"/>
      <c r="BG48" s="589">
        <v>0.23</v>
      </c>
      <c r="BH48" s="534">
        <v>0.56999999999999995</v>
      </c>
      <c r="BI48" s="534">
        <f>WWWW[[#This Row],[Cases of Acute watery diarrhea]]/WWWW[[#This Row],[Total consultations]]</f>
        <v>2.4549290372075181E-2</v>
      </c>
      <c r="BJ48" s="535"/>
      <c r="BK48" s="648"/>
      <c r="BL48" s="648"/>
      <c r="BM48" s="536">
        <f>IFERROR(WWWW[[#This Row],['#_Water samples _passed_at_water source]]/WWWW[[#This Row],['#_Water samples_Tested_at_water_source]],"no test")</f>
        <v>0.91176470588235292</v>
      </c>
      <c r="BN48" s="534">
        <f>IFERROR(WWWW[[#This Row],['#_Water samples _passed_at_HH]]/WWWW[[#This Row],['#_Water samples_Tested_at_HH]],"no test")</f>
        <v>0.64367816091954022</v>
      </c>
      <c r="BO48" s="535" t="str">
        <f>IF(AND(WWWW[[#This Row],[%of Water samples which passed at water source]]="no test",WWWW[[#This Row],[%Water samples which passed at HH]]="no test"),"No Test","Tested")</f>
        <v>Tested</v>
      </c>
      <c r="BP48" s="536">
        <f>IF(WWWW[[#This Row],[Total PoP ]]="","",IF(((WWWW[[#This Row],['#_Functional_improved_water_source]]*500)+(WWWW[[#This Row],['#_litres_of_water_supplied_by_existing_water_boating/trucking ]]/90/15)+(WWWW[[#This Row],['#_Functional_water_point_at_TLS/CFS]]*500))/WWWW[[#This Row],[Total PoP ]]&gt;1,1,((WWWW[[#This Row],['#_Functional_improved_water_source]]*500)+(WWWW[[#This Row],['#_litres_of_water_supplied_by_existing_water_boating/trucking ]]/90/15)+(WWWW[[#This Row],['#_Functional_water_point_at_TLS/CFS]]*500))/WWWW[[#This Row],[Total PoP ]]))</f>
        <v>1</v>
      </c>
      <c r="BQ48" s="542">
        <f>WWWW[[#This Row],[Access to safe/improved water through improved water sources]]*WWWW[[#This Row],[Total PoP ]]</f>
        <v>13302</v>
      </c>
      <c r="BR48" s="536">
        <f>IF((WWWW[[#This Row],['#_litres_of_water_stored_in_ponds]]/90/15)/WWWW[[#This Row],[Total PoP ]]&gt;1,1,(WWWW[[#This Row],['#_litres_of_water_stored_in_ponds]]/90/15)/WWWW[[#This Row],[Total PoP ]])</f>
        <v>0</v>
      </c>
      <c r="BS48" s="542">
        <f>WWWW[[#This Row],[% Access to unimproved water points]]*WWWW[[#This Row],[Total PoP ]]</f>
        <v>0</v>
      </c>
      <c r="BT48" s="536">
        <f>IF(WWWW[[#This Row],[Access to safe/improved water through improved water sources]]+WWWW[[#This Row],[% Access to unimproved water points]]&gt;1,1,WWWW[[#This Row],[Access to safe/improved water through improved water sources]]+WWWW[[#This Row],[% Access to unimproved water points]])</f>
        <v>1</v>
      </c>
      <c r="BU48" s="542">
        <f>IF(WWWW[[#This Row],['# people with equitable and continuous access to sufficient quantity of safe drinking water]]+WWWW[[#This Row],['#People access to unimproved water sources]]&gt;WWWW[[#This Row],[Total PoP ]],WWWW[[#This Row],[Total PoP ]],WWWW[[#This Row],['# people with equitable and continuous access to sufficient quantity of safe drinking water]]+WWWW[[#This Row],['#People access to unimproved water sources]])</f>
        <v>13302</v>
      </c>
      <c r="BV48" s="542">
        <f>WWWW[[#This Row],[HRP1]]/500</f>
        <v>26.603999999999999</v>
      </c>
      <c r="BW48" s="533">
        <f>1-WWWW[[#This Row],[% HRP1]]</f>
        <v>0</v>
      </c>
      <c r="BX48" s="542">
        <f>WWWW[[#This Row],[%equitable and continuous access to sufficient quantity of safe drinking and domestic water''s GAP]]*WWWW[[#This Row],[Total PoP ]]</f>
        <v>0</v>
      </c>
      <c r="BY48" s="535">
        <f>ROUND(IF(WWWW[[#This Row],[Total PoP ]]&lt;500,1,WWWW[[#This Row],[Total PoP ]]/500),0)</f>
        <v>27</v>
      </c>
      <c r="BZ48" s="535">
        <f>IF(WWWW[[#This Row],[Total required water points]]-WWWW[[#This Row],['#Water points coverage]]&lt;0,0,WWWW[[#This Row],[Total required water points]]-WWWW[[#This Row],['#Water points coverage]])</f>
        <v>0.3960000000000008</v>
      </c>
      <c r="CA48" s="536">
        <f>WWWW[[#This Row],[HRP2]]/WWWW[[#This Row],[Total PoP ]]</f>
        <v>0.79161028416779433</v>
      </c>
      <c r="CB48" s="542">
        <f>IF(WWWW[[#This Row],[Total PoP ]]="",0,IF(((WWWW[[#This Row],['#_Functional_adult_latrines]]*20)+(WWWW[[#This Row],['#_of_functional_children_latrines]]*20)+WWWW[[#This Row],['#_of_PWD_with_adapted_sanitation_option]]+(WWWW[[#This Row],['#_of_latrines_in_TLS/CFS]]*50))&gt;WWWW[[#This Row],[Total PoP ]],WWWW[[#This Row],[Total PoP ]],((WWWW[[#This Row],['#_Functional_adult_latrines]]*20)+(WWWW[[#This Row],['#_of_functional_children_latrines]]*20)+WWWW[[#This Row],['#_of_PWD_with_adapted_sanitation_option]]+(WWWW[[#This Row],['#_of_latrines_in_TLS/CFS]]*50))))</f>
        <v>10530</v>
      </c>
      <c r="CC48" s="535">
        <f>IF(WWWW[[#This Row],['#_of_latrines_in_TLS/CFS]]*50&gt;WWWW[[#This Row],['#_students at TLS_CFS]],WWWW[[#This Row],['#_students at TLS_CFS]],WWWW[[#This Row],['#_of_latrines_in_TLS/CFS]]*50)</f>
        <v>150</v>
      </c>
      <c r="CD48" s="535">
        <f>ROUND(IF(WWWW[[#This Row],[Location Type 1]]="camp",WWWW[[#This Row],[Total PoP ]]/20),0)</f>
        <v>665</v>
      </c>
      <c r="CE48" s="535">
        <f>IF(WWWW[[#This Row],[Total required Latrines]]-WWWW[[#This Row],['#_Existing_latrines]]&lt;0,0,WWWW[[#This Row],[Total required Latrines]]-WWWW[[#This Row],['#_Existing_latrines]])</f>
        <v>0</v>
      </c>
      <c r="CF48" s="533">
        <f>1-WWWW[[#This Row],[% HRP2]]</f>
        <v>0.20838971583220567</v>
      </c>
      <c r="CG48" s="536">
        <f>IF(WWWW[[#This Row],['#_Existing_latrines]]="","NA",(WWWW[[#This Row],['#_Existing_latrines]]-WWWW[[#This Row],['#_Functional_adult_latrines]])/WWWW[[#This Row],['#_Existing_latrines]])</f>
        <v>0.35362694300518133</v>
      </c>
      <c r="CH48" s="542">
        <f>IF(WWWW[[#This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Row],[_'#_of_Girls_receiving_consultation_hygiene_promotion_messages_and_sessions]]&gt;WWWW[[#This Row],[Total PoP ]],WWWW[[#This Row],[Total PoP ]],WWWW[[#This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f>
        <v>13302</v>
      </c>
      <c r="CI48" s="535">
        <f>IF(WWWW[[#This Row],['#_of_affected_households_receiving_a_sufficient_quantity_of_soap]]=0,0,IF(WWWW[[#This Row],['#_of_affected_households_receiving_a_sufficient_quantity_of_soap]]&gt;=WWWW[[#This Row],[Total HH]],WWWW[[#This Row],[Total PoP ]],IF(WWWW[[#This Row],['#_of_affected_households_receiving_a_sufficient_quantity_of_soap]]*5&gt;WWWW[[#This Row],[Total PoP ]],WWWW[[#This Row],[Total PoP ]],WWWW[[#This Row],['#_of_affected_households_receiving_a_sufficient_quantity_of_soap]]*5)))</f>
        <v>13302</v>
      </c>
      <c r="CJ48" s="535">
        <f>IF(WWWW[[#This Row],['#_of_affected_women_and_girls_receiving_a_sufficient_quantity_of_sanitary_pads]]&gt;WWWW[[#This Row],[Total PoP ]],WWWW[[#This Row],[Total PoP ]],WWWW[[#This Row],['#_of_affected_women_and_girls_receiving_a_sufficient_quantity_of_sanitary_pads]])</f>
        <v>5397</v>
      </c>
      <c r="CK48" s="535">
        <f>IF(WWWW[[#This Row],['# People with access to soap]]&gt;WWWW[[#This Row],['# People with access to Sanity Pads]],WWWW[[#This Row],['# People with access to soap]],WWWW[[#This Row],['# People with access to Sanity Pads]])</f>
        <v>13302</v>
      </c>
      <c r="CL48" s="535">
        <f>IF(WWWW[[#This Row],['# people reached by regular dedicated hygiene promotion_5]]&gt;WWWW[[#This Row],['# People received regular supply of hygiene items_6]],WWWW[[#This Row],['# people reached by regular dedicated hygiene promotion_5]],WWWW[[#This Row],['# People received regular supply of hygiene items_6]])</f>
        <v>13302</v>
      </c>
      <c r="CM48" s="533">
        <f>IF(WWWW[[#This Row],[HRP3]]/WWWW[[#This Row],[Total PoP ]]&gt;100%,100%,WWWW[[#This Row],[HRP3]]/WWWW[[#This Row],[Total PoP ]])</f>
        <v>1</v>
      </c>
      <c r="CN48" s="536">
        <f>1-WWWW[[#This Row],[Hygiene Coverage%]]</f>
        <v>0</v>
      </c>
      <c r="CO48" s="534">
        <f>WWWW[[#This Row],['# people reached by regular dedicated hygiene promotion_5]]/WWWW[[#This Row],[Total PoP ]]</f>
        <v>1</v>
      </c>
      <c r="CP48" s="536">
        <f>IF(WWWW[[#This Row],['#_of_affected_households_receiving_a_sufficient_quantity_of_soap]]/WWWW[[#This Row],[Total HH]]&gt;1,1,WWWW[[#This Row],['#_of_affected_households_receiving_a_sufficient_quantity_of_soap]]/WWWW[[#This Row],[Total HH]])</f>
        <v>1</v>
      </c>
      <c r="CQ48" s="542" t="str">
        <f>IF(WWWW[[#This Row],['#_students at TLS_CFS]]="","No","Yes")</f>
        <v>Yes</v>
      </c>
      <c r="CR48" s="534"/>
      <c r="CS48" s="537" t="str">
        <f>VLOOKUP(WWWW[[#This Row],[Site Name]],SiteDB6[[Site Name]:[CCCM Management]],6,FALSE)</f>
        <v>Yes</v>
      </c>
      <c r="CT48" s="537">
        <f>VLOOKUP(WWWW[[#This Row],[Site Name]],SiteDB6[[Site Name]:[CCCM Focal Agency]],7,FALSE)</f>
        <v>0</v>
      </c>
      <c r="CU48" s="537" t="str">
        <f>VLOOKUP(WWWW[[#This Row],[Site Name]],SiteDB6[[Site Name]:[Location Type 1]],9,FALSE)</f>
        <v>Camp</v>
      </c>
      <c r="CV48" s="537" t="str">
        <f>VLOOKUP(WWWW[[#This Row],[Site Name]],SiteDB6[[Site Name]:[Type of Accommodation]],10,FALSE)</f>
        <v>Planned Camp</v>
      </c>
      <c r="CW48" s="537" t="str">
        <f>VLOOKUP(WWWW[[#This Row],[Site Name]],SiteDB6[[Site Name]:[Ethnic or GCA/NGCA]],11,FALSE)</f>
        <v>Muslim</v>
      </c>
      <c r="CX48" s="537">
        <f>VLOOKUP(WWWW[[#This Row],[Site Name]],SiteDB6[[Site Name]:[Lat]],12,FALSE)</f>
        <v>20.18994</v>
      </c>
      <c r="CY48" s="537">
        <f>VLOOKUP(WWWW[[#This Row],[Site Name]],SiteDB6[[Site Name]:[Long]],13,FALSE)</f>
        <v>92.798880999999994</v>
      </c>
      <c r="CZ48" s="537" t="str">
        <f>VLOOKUP(WWWW[[#This Row],[Site Name]],SiteDB6[[Site Name]:[Pcode]],3,FALSE)</f>
        <v>MMR012CMP115</v>
      </c>
      <c r="DA48" s="564" t="str">
        <f t="shared" si="1"/>
        <v>Covered</v>
      </c>
      <c r="DB48" s="564">
        <f>VLOOKUP(WWWW[[#This Row],[Site Name]],SiteDB6[[Site Name]:[PWD_Total]],22,FALSE)</f>
        <v>214</v>
      </c>
      <c r="DC48" s="564">
        <f>VLOOKUP(WWWW[[#This Row],[Site Name]],SiteDB6[[Site Name]:[PWD_Total]],23,FALSE)</f>
        <v>1333</v>
      </c>
      <c r="DD48" s="564">
        <f>VLOOKUP(WWWW[[#This Row],[Site Name]],SiteDB6[[Site Name]:[PWD_Total]],24,FALSE)</f>
        <v>1547</v>
      </c>
      <c r="DE48" s="537"/>
      <c r="DF48" s="564">
        <f>2607/2</f>
        <v>1303.5</v>
      </c>
      <c r="DG48" s="564">
        <f>64/2</f>
        <v>32</v>
      </c>
      <c r="DH48" s="564">
        <v>0</v>
      </c>
    </row>
    <row r="49" spans="1:112" hidden="1">
      <c r="A49" s="590" t="s">
        <v>2388</v>
      </c>
      <c r="B49" s="590" t="s">
        <v>413</v>
      </c>
      <c r="C49" s="450" t="s">
        <v>413</v>
      </c>
      <c r="D49" s="450" t="s">
        <v>2596</v>
      </c>
      <c r="E49" s="532" t="s">
        <v>2706</v>
      </c>
      <c r="F49" s="450" t="s">
        <v>299</v>
      </c>
      <c r="G49" s="532" t="str">
        <f>VLOOKUP(WWWW[[#This Row],[Site Name]],SiteDB6[[Site Name]:[Location Type]],8,FALSE)</f>
        <v>Camp</v>
      </c>
      <c r="H49" s="450" t="s">
        <v>434</v>
      </c>
      <c r="I49" s="589">
        <v>2260</v>
      </c>
      <c r="J49" s="589">
        <v>11487</v>
      </c>
      <c r="K49" s="453" t="s">
        <v>2597</v>
      </c>
      <c r="L49" s="854" t="s">
        <v>2598</v>
      </c>
      <c r="M49" s="589">
        <v>549</v>
      </c>
      <c r="N49" s="589">
        <v>14</v>
      </c>
      <c r="O49" s="589">
        <v>118</v>
      </c>
      <c r="P49" s="589"/>
      <c r="Q49" s="542" t="s">
        <v>42</v>
      </c>
      <c r="R49" s="589">
        <v>79</v>
      </c>
      <c r="S49" s="589">
        <v>53</v>
      </c>
      <c r="T49" s="589">
        <v>319</v>
      </c>
      <c r="U49" s="589">
        <v>341</v>
      </c>
      <c r="V49" s="589"/>
      <c r="W49" s="589"/>
      <c r="X49" s="589">
        <v>321</v>
      </c>
      <c r="Y49" s="589">
        <v>125</v>
      </c>
      <c r="Z49" s="589">
        <v>279</v>
      </c>
      <c r="AA49" s="589">
        <v>58</v>
      </c>
      <c r="AB49" s="589">
        <v>45</v>
      </c>
      <c r="AC49" s="589" t="s">
        <v>3190</v>
      </c>
      <c r="AD49" s="589"/>
      <c r="AE49" s="635" t="s">
        <v>3191</v>
      </c>
      <c r="AF49" s="589">
        <v>392</v>
      </c>
      <c r="AG49" s="589">
        <v>434</v>
      </c>
      <c r="AH49" s="589">
        <v>243</v>
      </c>
      <c r="AI49" s="534">
        <v>0.52</v>
      </c>
      <c r="AJ49" s="589">
        <v>3437</v>
      </c>
      <c r="AK49" s="534"/>
      <c r="AL49" s="534"/>
      <c r="AM49" s="534"/>
      <c r="AN49" s="534"/>
      <c r="AO49" s="589">
        <v>32</v>
      </c>
      <c r="AP49" s="589">
        <v>51</v>
      </c>
      <c r="AQ49" s="589"/>
      <c r="AR49" s="589" t="s">
        <v>42</v>
      </c>
      <c r="AS49" s="648" t="s">
        <v>3192</v>
      </c>
      <c r="AT49" s="589">
        <v>3242</v>
      </c>
      <c r="AU49" s="589">
        <v>4791</v>
      </c>
      <c r="AV49" s="589">
        <v>4279</v>
      </c>
      <c r="AW49" s="589">
        <v>4095</v>
      </c>
      <c r="AX49" s="589">
        <v>2260</v>
      </c>
      <c r="AY49" s="589">
        <v>2027</v>
      </c>
      <c r="AZ49" s="534">
        <v>0.15</v>
      </c>
      <c r="BA49" s="534">
        <v>0.7</v>
      </c>
      <c r="BB49" s="534">
        <v>0.96</v>
      </c>
      <c r="BC49" s="403">
        <v>0.67</v>
      </c>
      <c r="BD49" s="855" t="s">
        <v>3193</v>
      </c>
      <c r="BE49" s="534">
        <v>0.94</v>
      </c>
      <c r="BF49" s="534">
        <v>0.95</v>
      </c>
      <c r="BG49" s="589">
        <v>2482</v>
      </c>
      <c r="BH49" s="534">
        <v>0.16</v>
      </c>
      <c r="BI49" s="534">
        <f>WWWW[[#This Row],[Cases of Acute watery diarrhea]]/WWWW[[#This Row],[Total consultations]]</f>
        <v>2.4549290372075181E-2</v>
      </c>
      <c r="BJ49" s="535"/>
      <c r="BK49" s="648"/>
      <c r="BL49" s="648" t="s">
        <v>3194</v>
      </c>
      <c r="BM49" s="536">
        <f>IFERROR(WWWW[[#This Row],['#_Water samples _passed_at_water source]]/WWWW[[#This Row],['#_Water samples_Tested_at_water_source]],"no test")</f>
        <v>0.38940809968847351</v>
      </c>
      <c r="BN49" s="534">
        <f>IFERROR(WWWW[[#This Row],['#_Water samples _passed_at_HH]]/WWWW[[#This Row],['#_Water samples_Tested_at_HH]],"no test")</f>
        <v>0.2078853046594982</v>
      </c>
      <c r="BO49" s="535" t="str">
        <f>IF(AND(WWWW[[#This Row],[%of Water samples which passed at water source]]="no test",WWWW[[#This Row],[%Water samples which passed at HH]]="no test"),"No Test","Tested")</f>
        <v>Tested</v>
      </c>
      <c r="BP49" s="536">
        <f>IF(WWWW[[#This Row],[Total PoP ]]="","",IF(((WWWW[[#This Row],['#_Functional_improved_water_source]]*500)+(WWWW[[#This Row],['#_litres_of_water_supplied_by_existing_water_boating/trucking ]]/90/15)+(WWWW[[#This Row],['#_Functional_water_point_at_TLS/CFS]]*500))/WWWW[[#This Row],[Total PoP ]]&gt;1,1,((WWWW[[#This Row],['#_Functional_improved_water_source]]*500)+(WWWW[[#This Row],['#_litres_of_water_supplied_by_existing_water_boating/trucking ]]/90/15)+(WWWW[[#This Row],['#_Functional_water_point_at_TLS/CFS]]*500))/WWWW[[#This Row],[Total PoP ]]))</f>
        <v>1</v>
      </c>
      <c r="BQ49" s="542">
        <f>WWWW[[#This Row],[Access to safe/improved water through improved water sources]]*WWWW[[#This Row],[Total PoP ]]</f>
        <v>11487</v>
      </c>
      <c r="BR49" s="536">
        <f>IF((WWWW[[#This Row],['#_litres_of_water_stored_in_ponds]]/90/15)/WWWW[[#This Row],[Total PoP ]]&gt;1,1,(WWWW[[#This Row],['#_litres_of_water_stored_in_ponds]]/90/15)/WWWW[[#This Row],[Total PoP ]])</f>
        <v>0</v>
      </c>
      <c r="BS49" s="542">
        <f>WWWW[[#This Row],[% Access to unimproved water points]]*WWWW[[#This Row],[Total PoP ]]</f>
        <v>0</v>
      </c>
      <c r="BT49" s="536">
        <f>IF(WWWW[[#This Row],[Access to safe/improved water through improved water sources]]+WWWW[[#This Row],[% Access to unimproved water points]]&gt;1,1,WWWW[[#This Row],[Access to safe/improved water through improved water sources]]+WWWW[[#This Row],[% Access to unimproved water points]])</f>
        <v>1</v>
      </c>
      <c r="BU49" s="542">
        <f>IF(WWWW[[#This Row],['# people with equitable and continuous access to sufficient quantity of safe drinking water]]+WWWW[[#This Row],['#People access to unimproved water sources]]&gt;WWWW[[#This Row],[Total PoP ]],WWWW[[#This Row],[Total PoP ]],WWWW[[#This Row],['# people with equitable and continuous access to sufficient quantity of safe drinking water]]+WWWW[[#This Row],['#People access to unimproved water sources]])</f>
        <v>11487</v>
      </c>
      <c r="BV49" s="542">
        <f>WWWW[[#This Row],[HRP1]]/500</f>
        <v>22.974</v>
      </c>
      <c r="BW49" s="533">
        <f>1-WWWW[[#This Row],[% HRP1]]</f>
        <v>0</v>
      </c>
      <c r="BX49" s="542">
        <f>WWWW[[#This Row],[%equitable and continuous access to sufficient quantity of safe drinking and domestic water''s GAP]]*WWWW[[#This Row],[Total PoP ]]</f>
        <v>0</v>
      </c>
      <c r="BY49" s="535">
        <f>ROUND(IF(WWWW[[#This Row],[Total PoP ]]&lt;500,1,WWWW[[#This Row],[Total PoP ]]/500),0)</f>
        <v>23</v>
      </c>
      <c r="BZ49" s="535">
        <f>IF(WWWW[[#This Row],[Total required water points]]-WWWW[[#This Row],['#Water points coverage]]&lt;0,0,WWWW[[#This Row],[Total required water points]]-WWWW[[#This Row],['#Water points coverage]])</f>
        <v>2.5999999999999801E-2</v>
      </c>
      <c r="CA49" s="536">
        <f>WWWW[[#This Row],[HRP2]]/WWWW[[#This Row],[Total PoP ]]</f>
        <v>0.74266562200748676</v>
      </c>
      <c r="CB49" s="542">
        <f>IF(WWWW[[#This Row],[Total PoP ]]="",0,IF(((WWWW[[#This Row],['#_Functional_adult_latrines]]*20)+(WWWW[[#This Row],['#_of_functional_children_latrines]]*20)+WWWW[[#This Row],['#_of_PWD_with_adapted_sanitation_option]]+(WWWW[[#This Row],['#_of_latrines_in_TLS/CFS]]*50))&gt;WWWW[[#This Row],[Total PoP ]],WWWW[[#This Row],[Total PoP ]],((WWWW[[#This Row],['#_Functional_adult_latrines]]*20)+(WWWW[[#This Row],['#_of_functional_children_latrines]]*20)+WWWW[[#This Row],['#_of_PWD_with_adapted_sanitation_option]]+(WWWW[[#This Row],['#_of_latrines_in_TLS/CFS]]*50))))</f>
        <v>8531</v>
      </c>
      <c r="CC49" s="535">
        <f>IF(WWWW[[#This Row],['#_of_latrines_in_TLS/CFS]]*50&gt;WWWW[[#This Row],['#_students at TLS_CFS]],WWWW[[#This Row],['#_students at TLS_CFS]],WWWW[[#This Row],['#_of_latrines_in_TLS/CFS]]*50)</f>
        <v>0</v>
      </c>
      <c r="CD49" s="535">
        <f>ROUND(IF(WWWW[[#This Row],[Location Type 1]]="camp",WWWW[[#This Row],[Total PoP ]]/20),0)</f>
        <v>574</v>
      </c>
      <c r="CE49" s="535">
        <f>IF(WWWW[[#This Row],[Total required Latrines]]-WWWW[[#This Row],['#_Existing_latrines]]&lt;0,0,WWWW[[#This Row],[Total required Latrines]]-WWWW[[#This Row],['#_Existing_latrines]])</f>
        <v>140</v>
      </c>
      <c r="CF49" s="533">
        <f>1-WWWW[[#This Row],[% HRP2]]</f>
        <v>0.25733437799251324</v>
      </c>
      <c r="CG49" s="536">
        <f>IF(WWWW[[#This Row],['#_Existing_latrines]]="","NA",(WWWW[[#This Row],['#_Existing_latrines]]-WWWW[[#This Row],['#_Functional_adult_latrines]])/WWWW[[#This Row],['#_Existing_latrines]])</f>
        <v>9.6774193548387094E-2</v>
      </c>
      <c r="CH49" s="542">
        <f>IF(WWWW[[#This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Row],[_'#_of_Girls_receiving_consultation_hygiene_promotion_messages_and_sessions]]&gt;WWWW[[#This Row],[Total PoP ]],WWWW[[#This Row],[Total PoP ]],WWWW[[#This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f>
        <v>11487</v>
      </c>
      <c r="CI49" s="535">
        <f>IF(WWWW[[#This Row],['#_of_affected_households_receiving_a_sufficient_quantity_of_soap]]=0,0,IF(WWWW[[#This Row],['#_of_affected_households_receiving_a_sufficient_quantity_of_soap]]&gt;=WWWW[[#This Row],[Total HH]],WWWW[[#This Row],[Total PoP ]],IF(WWWW[[#This Row],['#_of_affected_households_receiving_a_sufficient_quantity_of_soap]]*5&gt;WWWW[[#This Row],[Total PoP ]],WWWW[[#This Row],[Total PoP ]],WWWW[[#This Row],['#_of_affected_households_receiving_a_sufficient_quantity_of_soap]]*5)))</f>
        <v>11487</v>
      </c>
      <c r="CJ49" s="535">
        <f>IF(WWWW[[#This Row],['#_of_affected_women_and_girls_receiving_a_sufficient_quantity_of_sanitary_pads]]&gt;WWWW[[#This Row],[Total PoP ]],WWWW[[#This Row],[Total PoP ]],WWWW[[#This Row],['#_of_affected_women_and_girls_receiving_a_sufficient_quantity_of_sanitary_pads]])</f>
        <v>2027</v>
      </c>
      <c r="CK49" s="535">
        <f>IF(WWWW[[#This Row],['# People with access to soap]]&gt;WWWW[[#This Row],['# People with access to Sanity Pads]],WWWW[[#This Row],['# People with access to soap]],WWWW[[#This Row],['# People with access to Sanity Pads]])</f>
        <v>11487</v>
      </c>
      <c r="CL49" s="535">
        <f>IF(WWWW[[#This Row],['# people reached by regular dedicated hygiene promotion_5]]&gt;WWWW[[#This Row],['# People received regular supply of hygiene items_6]],WWWW[[#This Row],['# people reached by regular dedicated hygiene promotion_5]],WWWW[[#This Row],['# People received regular supply of hygiene items_6]])</f>
        <v>11487</v>
      </c>
      <c r="CM49" s="533">
        <f>IF(WWWW[[#This Row],[HRP3]]/WWWW[[#This Row],[Total PoP ]]&gt;100%,100%,WWWW[[#This Row],[HRP3]]/WWWW[[#This Row],[Total PoP ]])</f>
        <v>1</v>
      </c>
      <c r="CN49" s="536">
        <f>1-WWWW[[#This Row],[Hygiene Coverage%]]</f>
        <v>0</v>
      </c>
      <c r="CO49" s="534">
        <f>WWWW[[#This Row],['# people reached by regular dedicated hygiene promotion_5]]/WWWW[[#This Row],[Total PoP ]]</f>
        <v>1</v>
      </c>
      <c r="CP49" s="536">
        <f>IF(WWWW[[#This Row],['#_of_affected_households_receiving_a_sufficient_quantity_of_soap]]/WWWW[[#This Row],[Total HH]]&gt;1,1,WWWW[[#This Row],['#_of_affected_households_receiving_a_sufficient_quantity_of_soap]]/WWWW[[#This Row],[Total HH]])</f>
        <v>1</v>
      </c>
      <c r="CQ49" s="542" t="str">
        <f>IF(WWWW[[#This Row],['#_students at TLS_CFS]]="","No","Yes")</f>
        <v>Yes</v>
      </c>
      <c r="CR49" s="534">
        <f>WWWW[[#This Row],['#_of_affected_people_surveyed_who_report_feeling_informed_about_the_different_WASH_services_available_to_them]]/WWWW[[#This Row],[Total PoP ]]</f>
        <v>0.21607034038478279</v>
      </c>
      <c r="CS49" s="537" t="str">
        <f>VLOOKUP(WWWW[[#This Row],[Site Name]],SiteDB6[[Site Name]:[CCCM Management]],6,FALSE)</f>
        <v>Yes</v>
      </c>
      <c r="CT49" s="537">
        <f>VLOOKUP(WWWW[[#This Row],[Site Name]],SiteDB6[[Site Name]:[CCCM Focal Agency]],7,FALSE)</f>
        <v>0</v>
      </c>
      <c r="CU49" s="537" t="str">
        <f>VLOOKUP(WWWW[[#This Row],[Site Name]],SiteDB6[[Site Name]:[Location Type 1]],9,FALSE)</f>
        <v>Camp</v>
      </c>
      <c r="CV49" s="537" t="str">
        <f>VLOOKUP(WWWW[[#This Row],[Site Name]],SiteDB6[[Site Name]:[Type of Accommodation]],10,FALSE)</f>
        <v>Planned Camp</v>
      </c>
      <c r="CW49" s="537" t="str">
        <f>VLOOKUP(WWWW[[#This Row],[Site Name]],SiteDB6[[Site Name]:[Ethnic or GCA/NGCA]],11,FALSE)</f>
        <v>Muslim</v>
      </c>
      <c r="CX49" s="537">
        <f>VLOOKUP(WWWW[[#This Row],[Site Name]],SiteDB6[[Site Name]:[Lat]],12,FALSE)</f>
        <v>20.185092000000001</v>
      </c>
      <c r="CY49" s="537">
        <f>VLOOKUP(WWWW[[#This Row],[Site Name]],SiteDB6[[Site Name]:[Long]],13,FALSE)</f>
        <v>92.802295999999998</v>
      </c>
      <c r="CZ49" s="537" t="str">
        <f>VLOOKUP(WWWW[[#This Row],[Site Name]],SiteDB6[[Site Name]:[Pcode]],3,FALSE)</f>
        <v>MMR012CMP116</v>
      </c>
      <c r="DA49" s="564" t="str">
        <f t="shared" si="1"/>
        <v>Covered</v>
      </c>
      <c r="DB49" s="564">
        <f>VLOOKUP(WWWW[[#This Row],[Site Name]],SiteDB6[[Site Name]:[PWD_Total]],22,FALSE)</f>
        <v>218</v>
      </c>
      <c r="DC49" s="564">
        <f>VLOOKUP(WWWW[[#This Row],[Site Name]],SiteDB6[[Site Name]:[PWD_Total]],23,FALSE)</f>
        <v>1169</v>
      </c>
      <c r="DD49" s="564">
        <f>VLOOKUP(WWWW[[#This Row],[Site Name]],SiteDB6[[Site Name]:[PWD_Total]],24,FALSE)</f>
        <v>1387</v>
      </c>
      <c r="DE49" s="537"/>
      <c r="DF49" s="564">
        <f>2607/2</f>
        <v>1303.5</v>
      </c>
      <c r="DG49" s="564">
        <f>64/2</f>
        <v>32</v>
      </c>
      <c r="DH49" s="564"/>
    </row>
    <row r="50" spans="1:112" hidden="1">
      <c r="A50" s="590" t="s">
        <v>2388</v>
      </c>
      <c r="B50" s="590" t="s">
        <v>413</v>
      </c>
      <c r="C50" s="450" t="s">
        <v>413</v>
      </c>
      <c r="D50" s="450" t="s">
        <v>2596</v>
      </c>
      <c r="E50" s="532" t="s">
        <v>2706</v>
      </c>
      <c r="F50" s="450" t="s">
        <v>299</v>
      </c>
      <c r="G50" s="532" t="str">
        <f>VLOOKUP(WWWW[[#This Row],[Site Name]],SiteDB6[[Site Name]:[Location Type]],8,FALSE)</f>
        <v>Camp</v>
      </c>
      <c r="H50" s="450" t="s">
        <v>2311</v>
      </c>
      <c r="I50" s="589">
        <v>400</v>
      </c>
      <c r="J50" s="589">
        <v>2285</v>
      </c>
      <c r="K50" s="453" t="s">
        <v>2597</v>
      </c>
      <c r="L50" s="854" t="s">
        <v>2598</v>
      </c>
      <c r="M50" s="589">
        <v>46</v>
      </c>
      <c r="N50" s="589">
        <v>6</v>
      </c>
      <c r="O50" s="589">
        <v>33</v>
      </c>
      <c r="P50" s="589"/>
      <c r="Q50" s="542" t="s">
        <v>130</v>
      </c>
      <c r="R50" s="589">
        <v>25</v>
      </c>
      <c r="S50" s="589">
        <v>14</v>
      </c>
      <c r="T50" s="589">
        <v>55</v>
      </c>
      <c r="U50" s="589">
        <v>59</v>
      </c>
      <c r="V50" s="589"/>
      <c r="W50" s="589"/>
      <c r="X50" s="589">
        <v>165</v>
      </c>
      <c r="Y50" s="589">
        <v>102</v>
      </c>
      <c r="Z50" s="589">
        <v>136</v>
      </c>
      <c r="AA50" s="589">
        <v>57</v>
      </c>
      <c r="AB50" s="589">
        <v>13</v>
      </c>
      <c r="AC50" s="589" t="s">
        <v>3190</v>
      </c>
      <c r="AD50" s="589"/>
      <c r="AE50" s="635" t="s">
        <v>3195</v>
      </c>
      <c r="AF50" s="589">
        <v>123</v>
      </c>
      <c r="AG50" s="589">
        <v>1</v>
      </c>
      <c r="AH50" s="589">
        <v>0</v>
      </c>
      <c r="AI50" s="534">
        <v>0.28999999999999998</v>
      </c>
      <c r="AJ50" s="589">
        <v>1536</v>
      </c>
      <c r="AK50" s="534">
        <v>1</v>
      </c>
      <c r="AL50" s="534">
        <v>1</v>
      </c>
      <c r="AM50" s="534">
        <v>1</v>
      </c>
      <c r="AN50" s="534">
        <v>1</v>
      </c>
      <c r="AO50" s="589">
        <v>0</v>
      </c>
      <c r="AP50" s="589">
        <v>10</v>
      </c>
      <c r="AQ50" s="589"/>
      <c r="AR50" s="589" t="s">
        <v>42</v>
      </c>
      <c r="AS50" s="648" t="s">
        <v>3196</v>
      </c>
      <c r="AT50" s="589">
        <v>601</v>
      </c>
      <c r="AU50" s="589">
        <v>1025</v>
      </c>
      <c r="AV50" s="589">
        <v>797</v>
      </c>
      <c r="AW50" s="589">
        <v>881</v>
      </c>
      <c r="AX50" s="589">
        <v>399</v>
      </c>
      <c r="AY50" s="589">
        <v>343</v>
      </c>
      <c r="AZ50" s="534">
        <v>0.27</v>
      </c>
      <c r="BA50" s="534">
        <v>1</v>
      </c>
      <c r="BB50" s="534">
        <v>0.98</v>
      </c>
      <c r="BC50" s="534"/>
      <c r="BD50" s="855" t="s">
        <v>3193</v>
      </c>
      <c r="BE50" s="534">
        <v>1</v>
      </c>
      <c r="BF50" s="534">
        <v>1</v>
      </c>
      <c r="BG50" s="589">
        <v>844</v>
      </c>
      <c r="BH50" s="534">
        <v>0.33</v>
      </c>
      <c r="BI50" s="534">
        <f>WWWW[[#This Row],[Cases of Acute watery diarrhea]]/WWWW[[#This Row],[Total consultations]]</f>
        <v>0</v>
      </c>
      <c r="BJ50" s="535"/>
      <c r="BK50" s="648"/>
      <c r="BL50" s="648" t="s">
        <v>3197</v>
      </c>
      <c r="BM50" s="536">
        <f>IFERROR(WWWW[[#This Row],['#_Water samples _passed_at_water source]]/WWWW[[#This Row],['#_Water samples_Tested_at_water_source]],"no test")</f>
        <v>0.61818181818181817</v>
      </c>
      <c r="BN50" s="534">
        <f>IFERROR(WWWW[[#This Row],['#_Water samples _passed_at_HH]]/WWWW[[#This Row],['#_Water samples_Tested_at_HH]],"no test")</f>
        <v>0.41911764705882354</v>
      </c>
      <c r="BO50" s="535" t="str">
        <f>IF(AND(WWWW[[#This Row],[%of Water samples which passed at water source]]="no test",WWWW[[#This Row],[%Water samples which passed at HH]]="no test"),"No Test","Tested")</f>
        <v>Tested</v>
      </c>
      <c r="BP50" s="536">
        <f>IF(WWWW[[#This Row],[Total PoP ]]="","",IF(((WWWW[[#This Row],['#_Functional_improved_water_source]]*500)+(WWWW[[#This Row],['#_litres_of_water_supplied_by_existing_water_boating/trucking ]]/90/15)+(WWWW[[#This Row],['#_Functional_water_point_at_TLS/CFS]]*500))/WWWW[[#This Row],[Total PoP ]]&gt;1,1,((WWWW[[#This Row],['#_Functional_improved_water_source]]*500)+(WWWW[[#This Row],['#_litres_of_water_supplied_by_existing_water_boating/trucking ]]/90/15)+(WWWW[[#This Row],['#_Functional_water_point_at_TLS/CFS]]*500))/WWWW[[#This Row],[Total PoP ]]))</f>
        <v>1</v>
      </c>
      <c r="BQ50" s="542">
        <f>WWWW[[#This Row],[Access to safe/improved water through improved water sources]]*WWWW[[#This Row],[Total PoP ]]</f>
        <v>2285</v>
      </c>
      <c r="BR50" s="536">
        <f>IF((WWWW[[#This Row],['#_litres_of_water_stored_in_ponds]]/90/15)/WWWW[[#This Row],[Total PoP ]]&gt;1,1,(WWWW[[#This Row],['#_litres_of_water_stored_in_ponds]]/90/15)/WWWW[[#This Row],[Total PoP ]])</f>
        <v>0</v>
      </c>
      <c r="BS50" s="542">
        <f>WWWW[[#This Row],[% Access to unimproved water points]]*WWWW[[#This Row],[Total PoP ]]</f>
        <v>0</v>
      </c>
      <c r="BT50" s="536">
        <f>IF(WWWW[[#This Row],[Access to safe/improved water through improved water sources]]+WWWW[[#This Row],[% Access to unimproved water points]]&gt;1,1,WWWW[[#This Row],[Access to safe/improved water through improved water sources]]+WWWW[[#This Row],[% Access to unimproved water points]])</f>
        <v>1</v>
      </c>
      <c r="BU50" s="542">
        <f>IF(WWWW[[#This Row],['# people with equitable and continuous access to sufficient quantity of safe drinking water]]+WWWW[[#This Row],['#People access to unimproved water sources]]&gt;WWWW[[#This Row],[Total PoP ]],WWWW[[#This Row],[Total PoP ]],WWWW[[#This Row],['# people with equitable and continuous access to sufficient quantity of safe drinking water]]+WWWW[[#This Row],['#People access to unimproved water sources]])</f>
        <v>2285</v>
      </c>
      <c r="BV50" s="542">
        <f>WWWW[[#This Row],[HRP1]]/500</f>
        <v>4.57</v>
      </c>
      <c r="BW50" s="533">
        <f>1-WWWW[[#This Row],[% HRP1]]</f>
        <v>0</v>
      </c>
      <c r="BX50" s="542">
        <f>WWWW[[#This Row],[%equitable and continuous access to sufficient quantity of safe drinking and domestic water''s GAP]]*WWWW[[#This Row],[Total PoP ]]</f>
        <v>0</v>
      </c>
      <c r="BY50" s="535">
        <f>ROUND(IF(WWWW[[#This Row],[Total PoP ]]&lt;500,1,WWWW[[#This Row],[Total PoP ]]/500),0)</f>
        <v>5</v>
      </c>
      <c r="BZ50" s="535">
        <f>IF(WWWW[[#This Row],[Total required water points]]-WWWW[[#This Row],['#Water points coverage]]&lt;0,0,WWWW[[#This Row],[Total required water points]]-WWWW[[#This Row],['#Water points coverage]])</f>
        <v>0.42999999999999972</v>
      </c>
      <c r="CA50" s="536">
        <f>WWWW[[#This Row],[HRP2]]/WWWW[[#This Row],[Total PoP ]]</f>
        <v>1</v>
      </c>
      <c r="CB50" s="542">
        <f>IF(WWWW[[#This Row],[Total PoP ]]="",0,IF(((WWWW[[#This Row],['#_Functional_adult_latrines]]*20)+(WWWW[[#This Row],['#_of_functional_children_latrines]]*20)+WWWW[[#This Row],['#_of_PWD_with_adapted_sanitation_option]]+(WWWW[[#This Row],['#_of_latrines_in_TLS/CFS]]*50))&gt;WWWW[[#This Row],[Total PoP ]],WWWW[[#This Row],[Total PoP ]],((WWWW[[#This Row],['#_Functional_adult_latrines]]*20)+(WWWW[[#This Row],['#_of_functional_children_latrines]]*20)+WWWW[[#This Row],['#_of_PWD_with_adapted_sanitation_option]]+(WWWW[[#This Row],['#_of_latrines_in_TLS/CFS]]*50))))</f>
        <v>2285</v>
      </c>
      <c r="CC50" s="535">
        <f>IF(WWWW[[#This Row],['#_of_latrines_in_TLS/CFS]]*50&gt;WWWW[[#This Row],['#_students at TLS_CFS]],WWWW[[#This Row],['#_students at TLS_CFS]],WWWW[[#This Row],['#_of_latrines_in_TLS/CFS]]*50)</f>
        <v>0</v>
      </c>
      <c r="CD50" s="535">
        <f>ROUND(IF(WWWW[[#This Row],[Location Type 1]]="camp",WWWW[[#This Row],[Total PoP ]]/20),0)</f>
        <v>114</v>
      </c>
      <c r="CE50" s="535">
        <f>IF(WWWW[[#This Row],[Total required Latrines]]-WWWW[[#This Row],['#_Existing_latrines]]&lt;0,0,WWWW[[#This Row],[Total required Latrines]]-WWWW[[#This Row],['#_Existing_latrines]])</f>
        <v>113</v>
      </c>
      <c r="CF50" s="533">
        <f>1-WWWW[[#This Row],[% HRP2]]</f>
        <v>0</v>
      </c>
      <c r="CG50" s="536">
        <f>IF(WWWW[[#This Row],['#_Existing_latrines]]="","NA",(WWWW[[#This Row],['#_Existing_latrines]]-WWWW[[#This Row],['#_Functional_adult_latrines]])/WWWW[[#This Row],['#_Existing_latrines]])</f>
        <v>-122</v>
      </c>
      <c r="CH50" s="542">
        <f>IF(WWWW[[#This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Row],[_'#_of_Girls_receiving_consultation_hygiene_promotion_messages_and_sessions]]&gt;WWWW[[#This Row],[Total PoP ]],WWWW[[#This Row],[Total PoP ]],WWWW[[#This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f>
        <v>2285</v>
      </c>
      <c r="CI50" s="535">
        <f>IF(WWWW[[#This Row],['#_of_affected_households_receiving_a_sufficient_quantity_of_soap]]=0,0,IF(WWWW[[#This Row],['#_of_affected_households_receiving_a_sufficient_quantity_of_soap]]&gt;=WWWW[[#This Row],[Total HH]],WWWW[[#This Row],[Total PoP ]],IF(WWWW[[#This Row],['#_of_affected_households_receiving_a_sufficient_quantity_of_soap]]*5&gt;WWWW[[#This Row],[Total PoP ]],WWWW[[#This Row],[Total PoP ]],WWWW[[#This Row],['#_of_affected_households_receiving_a_sufficient_quantity_of_soap]]*5)))</f>
        <v>1995</v>
      </c>
      <c r="CJ50" s="535">
        <f>IF(WWWW[[#This Row],['#_of_affected_women_and_girls_receiving_a_sufficient_quantity_of_sanitary_pads]]&gt;WWWW[[#This Row],[Total PoP ]],WWWW[[#This Row],[Total PoP ]],WWWW[[#This Row],['#_of_affected_women_and_girls_receiving_a_sufficient_quantity_of_sanitary_pads]])</f>
        <v>343</v>
      </c>
      <c r="CK50" s="535">
        <f>IF(WWWW[[#This Row],['# People with access to soap]]&gt;WWWW[[#This Row],['# People with access to Sanity Pads]],WWWW[[#This Row],['# People with access to soap]],WWWW[[#This Row],['# People with access to Sanity Pads]])</f>
        <v>1995</v>
      </c>
      <c r="CL50" s="535">
        <f>IF(WWWW[[#This Row],['# people reached by regular dedicated hygiene promotion_5]]&gt;WWWW[[#This Row],['# People received regular supply of hygiene items_6]],WWWW[[#This Row],['# people reached by regular dedicated hygiene promotion_5]],WWWW[[#This Row],['# People received regular supply of hygiene items_6]])</f>
        <v>2285</v>
      </c>
      <c r="CM50" s="533">
        <f>IF(WWWW[[#This Row],[HRP3]]/WWWW[[#This Row],[Total PoP ]]&gt;100%,100%,WWWW[[#This Row],[HRP3]]/WWWW[[#This Row],[Total PoP ]])</f>
        <v>1</v>
      </c>
      <c r="CN50" s="536">
        <f>1-WWWW[[#This Row],[Hygiene Coverage%]]</f>
        <v>0</v>
      </c>
      <c r="CO50" s="534">
        <f>WWWW[[#This Row],['# people reached by regular dedicated hygiene promotion_5]]/WWWW[[#This Row],[Total PoP ]]</f>
        <v>1</v>
      </c>
      <c r="CP50" s="536">
        <f>IF(WWWW[[#This Row],['#_of_affected_households_receiving_a_sufficient_quantity_of_soap]]/WWWW[[#This Row],[Total HH]]&gt;1,1,WWWW[[#This Row],['#_of_affected_households_receiving_a_sufficient_quantity_of_soap]]/WWWW[[#This Row],[Total HH]])</f>
        <v>0.99750000000000005</v>
      </c>
      <c r="CQ50" s="542" t="str">
        <f>IF(WWWW[[#This Row],['#_students at TLS_CFS]]="","No","Yes")</f>
        <v>Yes</v>
      </c>
      <c r="CR50" s="534">
        <f>WWWW[[#This Row],['#_of_affected_people_surveyed_who_report_feeling_informed_about_the_different_WASH_services_available_to_them]]/WWWW[[#This Row],[Total PoP ]]</f>
        <v>0.36936542669584244</v>
      </c>
      <c r="CS50" s="537">
        <f>VLOOKUP(WWWW[[#This Row],[Site Name]],SiteDB6[[Site Name]:[CCCM Management]],6,FALSE)</f>
        <v>0</v>
      </c>
      <c r="CT50" s="537">
        <f>VLOOKUP(WWWW[[#This Row],[Site Name]],SiteDB6[[Site Name]:[CCCM Focal Agency]],7,FALSE)</f>
        <v>0</v>
      </c>
      <c r="CU50" s="537" t="str">
        <f>VLOOKUP(WWWW[[#This Row],[Site Name]],SiteDB6[[Site Name]:[Location Type 1]],9,FALSE)</f>
        <v>Camp</v>
      </c>
      <c r="CV50" s="537" t="str">
        <f>VLOOKUP(WWWW[[#This Row],[Site Name]],SiteDB6[[Site Name]:[Type of Accommodation]],10,FALSE)</f>
        <v>Planned Camp</v>
      </c>
      <c r="CW50" s="537" t="str">
        <f>VLOOKUP(WWWW[[#This Row],[Site Name]],SiteDB6[[Site Name]:[Ethnic or GCA/NGCA]],11,FALSE)</f>
        <v>Muslim</v>
      </c>
      <c r="CX50" s="537">
        <f>VLOOKUP(WWWW[[#This Row],[Site Name]],SiteDB6[[Site Name]:[Lat]],12,FALSE)</f>
        <v>20.207284999999999</v>
      </c>
      <c r="CY50" s="537">
        <f>VLOOKUP(WWWW[[#This Row],[Site Name]],SiteDB6[[Site Name]:[Long]],13,FALSE)</f>
        <v>92.788177000000005</v>
      </c>
      <c r="CZ50" s="537" t="str">
        <f>VLOOKUP(WWWW[[#This Row],[Site Name]],SiteDB6[[Site Name]:[Pcode]],3,FALSE)</f>
        <v>MMR012CMP045</v>
      </c>
      <c r="DA50" s="564" t="str">
        <f t="shared" si="1"/>
        <v>Covered</v>
      </c>
      <c r="DB50" s="564">
        <f>VLOOKUP(WWWW[[#This Row],[Site Name]],SiteDB6[[Site Name]:[PWD_Total]],22,FALSE)</f>
        <v>0</v>
      </c>
      <c r="DC50" s="564">
        <f>VLOOKUP(WWWW[[#This Row],[Site Name]],SiteDB6[[Site Name]:[PWD_Total]],23,FALSE)</f>
        <v>0</v>
      </c>
      <c r="DD50" s="564">
        <f>VLOOKUP(WWWW[[#This Row],[Site Name]],SiteDB6[[Site Name]:[PWD_Total]],24,FALSE)</f>
        <v>0</v>
      </c>
      <c r="DE50" s="537"/>
      <c r="DF50" s="564">
        <v>525</v>
      </c>
      <c r="DG50" s="564">
        <v>0</v>
      </c>
      <c r="DH50" s="564">
        <v>0</v>
      </c>
    </row>
    <row r="51" spans="1:112" hidden="1">
      <c r="A51" s="590" t="s">
        <v>2388</v>
      </c>
      <c r="B51" s="590" t="s">
        <v>2702</v>
      </c>
      <c r="C51" s="450" t="s">
        <v>2307</v>
      </c>
      <c r="D51" s="450" t="s">
        <v>41</v>
      </c>
      <c r="E51" s="532" t="s">
        <v>2706</v>
      </c>
      <c r="F51" s="450" t="s">
        <v>299</v>
      </c>
      <c r="G51" s="532" t="str">
        <f>VLOOKUP(WWWW[[#This Row],[Site Name]],SiteDB6[[Site Name]:[Location Type]],8,FALSE)</f>
        <v>Camp</v>
      </c>
      <c r="H51" s="450" t="s">
        <v>443</v>
      </c>
      <c r="I51" s="589">
        <v>2280</v>
      </c>
      <c r="J51" s="589">
        <v>11564</v>
      </c>
      <c r="K51" s="453">
        <v>43009</v>
      </c>
      <c r="L51" s="854">
        <v>44104</v>
      </c>
      <c r="M51" s="589">
        <v>1444</v>
      </c>
      <c r="N51" s="589">
        <v>49</v>
      </c>
      <c r="O51" s="589">
        <v>193</v>
      </c>
      <c r="P51" s="589">
        <v>0</v>
      </c>
      <c r="Q51" s="542" t="s">
        <v>130</v>
      </c>
      <c r="R51" s="589">
        <v>60</v>
      </c>
      <c r="S51" s="589">
        <v>26</v>
      </c>
      <c r="T51" s="589">
        <v>171</v>
      </c>
      <c r="U51" s="589">
        <v>189</v>
      </c>
      <c r="V51" s="589"/>
      <c r="W51" s="589"/>
      <c r="X51" s="589">
        <v>166</v>
      </c>
      <c r="Y51" s="589">
        <v>155</v>
      </c>
      <c r="Z51" s="589">
        <v>98</v>
      </c>
      <c r="AA51" s="589">
        <v>67</v>
      </c>
      <c r="AB51" s="589">
        <v>0</v>
      </c>
      <c r="AC51" s="589">
        <v>30</v>
      </c>
      <c r="AD51" s="589">
        <v>8</v>
      </c>
      <c r="AE51" s="635"/>
      <c r="AF51" s="589">
        <v>500</v>
      </c>
      <c r="AG51" s="589">
        <v>520</v>
      </c>
      <c r="AH51" s="589">
        <v>120</v>
      </c>
      <c r="AI51" s="534">
        <v>0.08</v>
      </c>
      <c r="AJ51" s="589">
        <v>390</v>
      </c>
      <c r="AK51" s="534">
        <v>1</v>
      </c>
      <c r="AL51" s="534">
        <v>0.73</v>
      </c>
      <c r="AM51" s="534">
        <v>0</v>
      </c>
      <c r="AN51" s="534">
        <v>0</v>
      </c>
      <c r="AO51" s="589">
        <v>12</v>
      </c>
      <c r="AP51" s="589"/>
      <c r="AQ51" s="589">
        <v>53</v>
      </c>
      <c r="AR51" s="589" t="s">
        <v>42</v>
      </c>
      <c r="AS51" s="648"/>
      <c r="AT51" s="589">
        <v>759</v>
      </c>
      <c r="AU51" s="589">
        <v>12710</v>
      </c>
      <c r="AV51" s="589">
        <v>1125</v>
      </c>
      <c r="AW51" s="589">
        <v>1166</v>
      </c>
      <c r="AX51" s="589">
        <v>2280</v>
      </c>
      <c r="AY51" s="589">
        <v>4333</v>
      </c>
      <c r="AZ51" s="534"/>
      <c r="BA51" s="534"/>
      <c r="BB51" s="534"/>
      <c r="BC51" s="534">
        <v>0.54</v>
      </c>
      <c r="BD51" s="855"/>
      <c r="BE51" s="534"/>
      <c r="BF51" s="534"/>
      <c r="BG51" s="589">
        <v>0.56000000000000005</v>
      </c>
      <c r="BH51" s="534">
        <v>0.51</v>
      </c>
      <c r="BI51" s="534">
        <f>WWWW[[#This Row],[Cases of Acute watery diarrhea]]/WWWW[[#This Row],[Total consultations]]</f>
        <v>2.3584905660377358E-3</v>
      </c>
      <c r="BJ51" s="535"/>
      <c r="BK51" s="648"/>
      <c r="BL51" s="648"/>
      <c r="BM51" s="536">
        <f>IFERROR(WWWW[[#This Row],['#_Water samples _passed_at_water source]]/WWWW[[#This Row],['#_Water samples_Tested_at_water_source]],"no test")</f>
        <v>0.9337349397590361</v>
      </c>
      <c r="BN51" s="534">
        <f>IFERROR(WWWW[[#This Row],['#_Water samples _passed_at_HH]]/WWWW[[#This Row],['#_Water samples_Tested_at_HH]],"no test")</f>
        <v>0.68367346938775508</v>
      </c>
      <c r="BO51" s="535" t="str">
        <f>IF(AND(WWWW[[#This Row],[%of Water samples which passed at water source]]="no test",WWWW[[#This Row],[%Water samples which passed at HH]]="no test"),"No Test","Tested")</f>
        <v>Tested</v>
      </c>
      <c r="BP51" s="536">
        <f>IF(WWWW[[#This Row],[Total PoP ]]="","",IF(((WWWW[[#This Row],['#_Functional_improved_water_source]]*500)+(WWWW[[#This Row],['#_litres_of_water_supplied_by_existing_water_boating/trucking ]]/90/15)+(WWWW[[#This Row],['#_Functional_water_point_at_TLS/CFS]]*500))/WWWW[[#This Row],[Total PoP ]]&gt;1,1,((WWWW[[#This Row],['#_Functional_improved_water_source]]*500)+(WWWW[[#This Row],['#_litres_of_water_supplied_by_existing_water_boating/trucking ]]/90/15)+(WWWW[[#This Row],['#_Functional_water_point_at_TLS/CFS]]*500))/WWWW[[#This Row],[Total PoP ]]))</f>
        <v>1</v>
      </c>
      <c r="BQ51" s="542">
        <f>WWWW[[#This Row],[Access to safe/improved water through improved water sources]]*WWWW[[#This Row],[Total PoP ]]</f>
        <v>11564</v>
      </c>
      <c r="BR51" s="536">
        <f>IF((WWWW[[#This Row],['#_litres_of_water_stored_in_ponds]]/90/15)/WWWW[[#This Row],[Total PoP ]]&gt;1,1,(WWWW[[#This Row],['#_litres_of_water_stored_in_ponds]]/90/15)/WWWW[[#This Row],[Total PoP ]])</f>
        <v>0</v>
      </c>
      <c r="BS51" s="542">
        <f>WWWW[[#This Row],[% Access to unimproved water points]]*WWWW[[#This Row],[Total PoP ]]</f>
        <v>0</v>
      </c>
      <c r="BT51" s="536">
        <f>IF(WWWW[[#This Row],[Access to safe/improved water through improved water sources]]+WWWW[[#This Row],[% Access to unimproved water points]]&gt;1,1,WWWW[[#This Row],[Access to safe/improved water through improved water sources]]+WWWW[[#This Row],[% Access to unimproved water points]])</f>
        <v>1</v>
      </c>
      <c r="BU51" s="542">
        <f>IF(WWWW[[#This Row],['# people with equitable and continuous access to sufficient quantity of safe drinking water]]+WWWW[[#This Row],['#People access to unimproved water sources]]&gt;WWWW[[#This Row],[Total PoP ]],WWWW[[#This Row],[Total PoP ]],WWWW[[#This Row],['# people with equitable and continuous access to sufficient quantity of safe drinking water]]+WWWW[[#This Row],['#People access to unimproved water sources]])</f>
        <v>11564</v>
      </c>
      <c r="BV51" s="542">
        <f>WWWW[[#This Row],[HRP1]]/500</f>
        <v>23.128</v>
      </c>
      <c r="BW51" s="533">
        <f>1-WWWW[[#This Row],[% HRP1]]</f>
        <v>0</v>
      </c>
      <c r="BX51" s="542">
        <f>WWWW[[#This Row],[%equitable and continuous access to sufficient quantity of safe drinking and domestic water''s GAP]]*WWWW[[#This Row],[Total PoP ]]</f>
        <v>0</v>
      </c>
      <c r="BY51" s="535">
        <f>ROUND(IF(WWWW[[#This Row],[Total PoP ]]&lt;500,1,WWWW[[#This Row],[Total PoP ]]/500),0)</f>
        <v>23</v>
      </c>
      <c r="BZ51" s="535">
        <f>IF(WWWW[[#This Row],[Total required water points]]-WWWW[[#This Row],['#Water points coverage]]&lt;0,0,WWWW[[#This Row],[Total required water points]]-WWWW[[#This Row],['#Water points coverage]])</f>
        <v>0</v>
      </c>
      <c r="CA51" s="536">
        <f>WWWW[[#This Row],[HRP2]]/WWWW[[#This Row],[Total PoP ]]</f>
        <v>1</v>
      </c>
      <c r="CB51" s="542">
        <f>IF(WWWW[[#This Row],[Total PoP ]]="",0,IF(((WWWW[[#This Row],['#_Functional_adult_latrines]]*20)+(WWWW[[#This Row],['#_of_functional_children_latrines]]*20)+WWWW[[#This Row],['#_of_PWD_with_adapted_sanitation_option]]+(WWWW[[#This Row],['#_of_latrines_in_TLS/CFS]]*50))&gt;WWWW[[#This Row],[Total PoP ]],WWWW[[#This Row],[Total PoP ]],((WWWW[[#This Row],['#_Functional_adult_latrines]]*20)+(WWWW[[#This Row],['#_of_functional_children_latrines]]*20)+WWWW[[#This Row],['#_of_PWD_with_adapted_sanitation_option]]+(WWWW[[#This Row],['#_of_latrines_in_TLS/CFS]]*50))))</f>
        <v>11564</v>
      </c>
      <c r="CC51" s="535">
        <f>IF(WWWW[[#This Row],['#_of_latrines_in_TLS/CFS]]*50&gt;WWWW[[#This Row],['#_students at TLS_CFS]],WWWW[[#This Row],['#_students at TLS_CFS]],WWWW[[#This Row],['#_of_latrines_in_TLS/CFS]]*50)</f>
        <v>1444</v>
      </c>
      <c r="CD51" s="535">
        <f>ROUND(IF(WWWW[[#This Row],[Location Type 1]]="camp",WWWW[[#This Row],[Total PoP ]]/20),0)</f>
        <v>578</v>
      </c>
      <c r="CE51" s="535">
        <f>IF(WWWW[[#This Row],[Total required Latrines]]-WWWW[[#This Row],['#_Existing_latrines]]&lt;0,0,WWWW[[#This Row],[Total required Latrines]]-WWWW[[#This Row],['#_Existing_latrines]])</f>
        <v>58</v>
      </c>
      <c r="CF51" s="533">
        <f>1-WWWW[[#This Row],[% HRP2]]</f>
        <v>0</v>
      </c>
      <c r="CG51" s="536">
        <f>IF(WWWW[[#This Row],['#_Existing_latrines]]="","NA",(WWWW[[#This Row],['#_Existing_latrines]]-WWWW[[#This Row],['#_Functional_adult_latrines]])/WWWW[[#This Row],['#_Existing_latrines]])</f>
        <v>3.8461538461538464E-2</v>
      </c>
      <c r="CH51" s="542">
        <f>IF(WWWW[[#This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Row],[_'#_of_Girls_receiving_consultation_hygiene_promotion_messages_and_sessions]]&gt;WWWW[[#This Row],[Total PoP ]],WWWW[[#This Row],[Total PoP ]],WWWW[[#This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f>
        <v>11564</v>
      </c>
      <c r="CI51" s="535">
        <f>IF(WWWW[[#This Row],['#_of_affected_households_receiving_a_sufficient_quantity_of_soap]]=0,0,IF(WWWW[[#This Row],['#_of_affected_households_receiving_a_sufficient_quantity_of_soap]]&gt;=WWWW[[#This Row],[Total HH]],WWWW[[#This Row],[Total PoP ]],IF(WWWW[[#This Row],['#_of_affected_households_receiving_a_sufficient_quantity_of_soap]]*5&gt;WWWW[[#This Row],[Total PoP ]],WWWW[[#This Row],[Total PoP ]],WWWW[[#This Row],['#_of_affected_households_receiving_a_sufficient_quantity_of_soap]]*5)))</f>
        <v>11564</v>
      </c>
      <c r="CJ51" s="535">
        <f>IF(WWWW[[#This Row],['#_of_affected_women_and_girls_receiving_a_sufficient_quantity_of_sanitary_pads]]&gt;WWWW[[#This Row],[Total PoP ]],WWWW[[#This Row],[Total PoP ]],WWWW[[#This Row],['#_of_affected_women_and_girls_receiving_a_sufficient_quantity_of_sanitary_pads]])</f>
        <v>4333</v>
      </c>
      <c r="CK51" s="535">
        <f>IF(WWWW[[#This Row],['# People with access to soap]]&gt;WWWW[[#This Row],['# People with access to Sanity Pads]],WWWW[[#This Row],['# People with access to soap]],WWWW[[#This Row],['# People with access to Sanity Pads]])</f>
        <v>11564</v>
      </c>
      <c r="CL51" s="535">
        <f>IF(WWWW[[#This Row],['# people reached by regular dedicated hygiene promotion_5]]&gt;WWWW[[#This Row],['# People received regular supply of hygiene items_6]],WWWW[[#This Row],['# people reached by regular dedicated hygiene promotion_5]],WWWW[[#This Row],['# People received regular supply of hygiene items_6]])</f>
        <v>11564</v>
      </c>
      <c r="CM51" s="533">
        <f>IF(WWWW[[#This Row],[HRP3]]/WWWW[[#This Row],[Total PoP ]]&gt;100%,100%,WWWW[[#This Row],[HRP3]]/WWWW[[#This Row],[Total PoP ]])</f>
        <v>1</v>
      </c>
      <c r="CN51" s="536">
        <f>1-WWWW[[#This Row],[Hygiene Coverage%]]</f>
        <v>0</v>
      </c>
      <c r="CO51" s="534">
        <f>WWWW[[#This Row],['# people reached by regular dedicated hygiene promotion_5]]/WWWW[[#This Row],[Total PoP ]]</f>
        <v>1</v>
      </c>
      <c r="CP51" s="536">
        <f>IF(WWWW[[#This Row],['#_of_affected_households_receiving_a_sufficient_quantity_of_soap]]/WWWW[[#This Row],[Total HH]]&gt;1,1,WWWW[[#This Row],['#_of_affected_households_receiving_a_sufficient_quantity_of_soap]]/WWWW[[#This Row],[Total HH]])</f>
        <v>1</v>
      </c>
      <c r="CQ51" s="542" t="str">
        <f>IF(WWWW[[#This Row],['#_students at TLS_CFS]]="","No","Yes")</f>
        <v>Yes</v>
      </c>
      <c r="CR51" s="534"/>
      <c r="CS51" s="537" t="str">
        <f>VLOOKUP(WWWW[[#This Row],[Site Name]],SiteDB6[[Site Name]:[CCCM Management]],6,FALSE)</f>
        <v>Yes</v>
      </c>
      <c r="CT51" s="537">
        <f>VLOOKUP(WWWW[[#This Row],[Site Name]],SiteDB6[[Site Name]:[CCCM Focal Agency]],7,FALSE)</f>
        <v>0</v>
      </c>
      <c r="CU51" s="537" t="str">
        <f>VLOOKUP(WWWW[[#This Row],[Site Name]],SiteDB6[[Site Name]:[Location Type 1]],9,FALSE)</f>
        <v>Camp</v>
      </c>
      <c r="CV51" s="537" t="str">
        <f>VLOOKUP(WWWW[[#This Row],[Site Name]],SiteDB6[[Site Name]:[Type of Accommodation]],10,FALSE)</f>
        <v>Planned Camp</v>
      </c>
      <c r="CW51" s="537" t="str">
        <f>VLOOKUP(WWWW[[#This Row],[Site Name]],SiteDB6[[Site Name]:[Ethnic or GCA/NGCA]],11,FALSE)</f>
        <v>Muslim</v>
      </c>
      <c r="CX51" s="537">
        <f>VLOOKUP(WWWW[[#This Row],[Site Name]],SiteDB6[[Site Name]:[Lat]],12,FALSE)</f>
        <v>20.202525000000001</v>
      </c>
      <c r="CY51" s="537">
        <f>VLOOKUP(WWWW[[#This Row],[Site Name]],SiteDB6[[Site Name]:[Long]],13,FALSE)</f>
        <v>92.792479999999998</v>
      </c>
      <c r="CZ51" s="537" t="str">
        <f>VLOOKUP(WWWW[[#This Row],[Site Name]],SiteDB6[[Site Name]:[Pcode]],3,FALSE)</f>
        <v>MMR012CMP045</v>
      </c>
      <c r="DA51" s="564" t="str">
        <f t="shared" si="1"/>
        <v>Covered</v>
      </c>
      <c r="DB51" s="564">
        <f>VLOOKUP(WWWW[[#This Row],[Site Name]],SiteDB6[[Site Name]:[PWD_Total]],22,FALSE)</f>
        <v>116</v>
      </c>
      <c r="DC51" s="564">
        <f>VLOOKUP(WWWW[[#This Row],[Site Name]],SiteDB6[[Site Name]:[PWD_Total]],23,FALSE)</f>
        <v>1099</v>
      </c>
      <c r="DD51" s="564">
        <f>VLOOKUP(WWWW[[#This Row],[Site Name]],SiteDB6[[Site Name]:[PWD_Total]],24,FALSE)</f>
        <v>1215</v>
      </c>
      <c r="DE51" s="537"/>
      <c r="DF51" s="564">
        <v>1696</v>
      </c>
      <c r="DG51" s="564">
        <v>4</v>
      </c>
      <c r="DH51" s="564">
        <v>0</v>
      </c>
    </row>
    <row r="52" spans="1:112" hidden="1">
      <c r="A52" s="590" t="s">
        <v>2388</v>
      </c>
      <c r="B52" s="590" t="s">
        <v>291</v>
      </c>
      <c r="C52" s="450" t="s">
        <v>291</v>
      </c>
      <c r="D52" s="450" t="s">
        <v>238</v>
      </c>
      <c r="E52" s="532" t="s">
        <v>2706</v>
      </c>
      <c r="F52" s="450" t="s">
        <v>406</v>
      </c>
      <c r="G52" s="532" t="str">
        <f>VLOOKUP(WWWW[[#This Row],[Site Name]],SiteDB6[[Site Name]:[Location Type]],8,FALSE)</f>
        <v>Camp</v>
      </c>
      <c r="H52" s="450" t="s">
        <v>409</v>
      </c>
      <c r="I52" s="589">
        <v>744</v>
      </c>
      <c r="J52" s="589">
        <v>2805</v>
      </c>
      <c r="K52" s="453">
        <v>43556</v>
      </c>
      <c r="L52" s="854">
        <v>43921</v>
      </c>
      <c r="M52" s="589">
        <v>209</v>
      </c>
      <c r="N52" s="589">
        <v>3</v>
      </c>
      <c r="O52" s="589">
        <v>19</v>
      </c>
      <c r="P52" s="589">
        <v>0</v>
      </c>
      <c r="Q52" s="542" t="s">
        <v>42</v>
      </c>
      <c r="R52" s="589">
        <v>17</v>
      </c>
      <c r="S52" s="589">
        <v>5</v>
      </c>
      <c r="T52" s="589">
        <v>24</v>
      </c>
      <c r="U52" s="589">
        <v>24</v>
      </c>
      <c r="V52" s="589">
        <v>4779000</v>
      </c>
      <c r="W52" s="589"/>
      <c r="X52" s="589">
        <v>23</v>
      </c>
      <c r="Y52" s="589">
        <v>21</v>
      </c>
      <c r="Z52" s="589">
        <v>148</v>
      </c>
      <c r="AA52" s="589">
        <v>116</v>
      </c>
      <c r="AB52" s="589"/>
      <c r="AC52" s="589"/>
      <c r="AD52" s="589">
        <v>2</v>
      </c>
      <c r="AE52" s="635"/>
      <c r="AF52" s="589">
        <v>357</v>
      </c>
      <c r="AG52" s="589">
        <v>358</v>
      </c>
      <c r="AH52" s="589">
        <v>69</v>
      </c>
      <c r="AI52" s="534"/>
      <c r="AJ52" s="589"/>
      <c r="AK52" s="534"/>
      <c r="AL52" s="534"/>
      <c r="AM52" s="534"/>
      <c r="AN52" s="534"/>
      <c r="AO52" s="589"/>
      <c r="AP52" s="589"/>
      <c r="AQ52" s="589">
        <v>3</v>
      </c>
      <c r="AR52" s="589" t="s">
        <v>42</v>
      </c>
      <c r="AS52" s="648"/>
      <c r="AT52" s="589"/>
      <c r="AU52" s="589"/>
      <c r="AV52" s="589"/>
      <c r="AW52" s="589"/>
      <c r="AX52" s="589"/>
      <c r="AY52" s="589"/>
      <c r="AZ52" s="534"/>
      <c r="BA52" s="534"/>
      <c r="BB52" s="534"/>
      <c r="BC52" s="534">
        <v>1</v>
      </c>
      <c r="BD52" s="855"/>
      <c r="BE52" s="534"/>
      <c r="BF52" s="534"/>
      <c r="BG52" s="589"/>
      <c r="BH52" s="534"/>
      <c r="BI52" s="534">
        <f>WWWW[[#This Row],[Cases of Acute watery diarrhea]]/WWWW[[#This Row],[Total consultations]]</f>
        <v>0</v>
      </c>
      <c r="BJ52" s="535"/>
      <c r="BK52" s="648"/>
      <c r="BL52" s="648"/>
      <c r="BM52" s="536">
        <f>IFERROR(WWWW[[#This Row],['#_Water samples _passed_at_water source]]/WWWW[[#This Row],['#_Water samples_Tested_at_water_source]],"no test")</f>
        <v>0.91304347826086951</v>
      </c>
      <c r="BN52" s="534">
        <f>IFERROR(WWWW[[#This Row],['#_Water samples _passed_at_HH]]/WWWW[[#This Row],['#_Water samples_Tested_at_HH]],"no test")</f>
        <v>0.78378378378378377</v>
      </c>
      <c r="BO52" s="535" t="str">
        <f>IF(AND(WWWW[[#This Row],[%of Water samples which passed at water source]]="no test",WWWW[[#This Row],[%Water samples which passed at HH]]="no test"),"No Test","Tested")</f>
        <v>Tested</v>
      </c>
      <c r="BP52" s="536">
        <f>IF(WWWW[[#This Row],[Total PoP ]]="","",IF(((WWWW[[#This Row],['#_Functional_improved_water_source]]*500)+(WWWW[[#This Row],['#_litres_of_water_supplied_by_existing_water_boating/trucking ]]/90/15)+(WWWW[[#This Row],['#_Functional_water_point_at_TLS/CFS]]*500))/WWWW[[#This Row],[Total PoP ]]&gt;1,1,((WWWW[[#This Row],['#_Functional_improved_water_source]]*500)+(WWWW[[#This Row],['#_litres_of_water_supplied_by_existing_water_boating/trucking ]]/90/15)+(WWWW[[#This Row],['#_Functional_water_point_at_TLS/CFS]]*500))/WWWW[[#This Row],[Total PoP ]]))</f>
        <v>1</v>
      </c>
      <c r="BQ52" s="542">
        <f>WWWW[[#This Row],[Access to safe/improved water through improved water sources]]*WWWW[[#This Row],[Total PoP ]]</f>
        <v>2805</v>
      </c>
      <c r="BR52" s="536">
        <f>IF((WWWW[[#This Row],['#_litres_of_water_stored_in_ponds]]/90/15)/WWWW[[#This Row],[Total PoP ]]&gt;1,1,(WWWW[[#This Row],['#_litres_of_water_stored_in_ponds]]/90/15)/WWWW[[#This Row],[Total PoP ]])</f>
        <v>0</v>
      </c>
      <c r="BS52" s="542">
        <f>WWWW[[#This Row],[% Access to unimproved water points]]*WWWW[[#This Row],[Total PoP ]]</f>
        <v>0</v>
      </c>
      <c r="BT52" s="536">
        <f>IF(WWWW[[#This Row],[Access to safe/improved water through improved water sources]]+WWWW[[#This Row],[% Access to unimproved water points]]&gt;1,1,WWWW[[#This Row],[Access to safe/improved water through improved water sources]]+WWWW[[#This Row],[% Access to unimproved water points]])</f>
        <v>1</v>
      </c>
      <c r="BU52" s="542">
        <f>IF(WWWW[[#This Row],['# people with equitable and continuous access to sufficient quantity of safe drinking water]]+WWWW[[#This Row],['#People access to unimproved water sources]]&gt;WWWW[[#This Row],[Total PoP ]],WWWW[[#This Row],[Total PoP ]],WWWW[[#This Row],['# people with equitable and continuous access to sufficient quantity of safe drinking water]]+WWWW[[#This Row],['#People access to unimproved water sources]])</f>
        <v>2805</v>
      </c>
      <c r="BV52" s="542">
        <f>WWWW[[#This Row],[HRP1]]/500</f>
        <v>5.61</v>
      </c>
      <c r="BW52" s="533">
        <f>1-WWWW[[#This Row],[% HRP1]]</f>
        <v>0</v>
      </c>
      <c r="BX52" s="542">
        <f>WWWW[[#This Row],[%equitable and continuous access to sufficient quantity of safe drinking and domestic water''s GAP]]*WWWW[[#This Row],[Total PoP ]]</f>
        <v>0</v>
      </c>
      <c r="BY52" s="535">
        <f>ROUND(IF(WWWW[[#This Row],[Total PoP ]]&lt;500,1,WWWW[[#This Row],[Total PoP ]]/500),0)</f>
        <v>6</v>
      </c>
      <c r="BZ52" s="535">
        <f>IF(WWWW[[#This Row],[Total required water points]]-WWWW[[#This Row],['#Water points coverage]]&lt;0,0,WWWW[[#This Row],[Total required water points]]-WWWW[[#This Row],['#Water points coverage]])</f>
        <v>0.38999999999999968</v>
      </c>
      <c r="CA52" s="536">
        <f>WWWW[[#This Row],[HRP2]]/WWWW[[#This Row],[Total PoP ]]</f>
        <v>1</v>
      </c>
      <c r="CB52" s="542">
        <f>IF(WWWW[[#This Row],[Total PoP ]]="",0,IF(((WWWW[[#This Row],['#_Functional_adult_latrines]]*20)+(WWWW[[#This Row],['#_of_functional_children_latrines]]*20)+WWWW[[#This Row],['#_of_PWD_with_adapted_sanitation_option]]+(WWWW[[#This Row],['#_of_latrines_in_TLS/CFS]]*50))&gt;WWWW[[#This Row],[Total PoP ]],WWWW[[#This Row],[Total PoP ]],((WWWW[[#This Row],['#_Functional_adult_latrines]]*20)+(WWWW[[#This Row],['#_of_functional_children_latrines]]*20)+WWWW[[#This Row],['#_of_PWD_with_adapted_sanitation_option]]+(WWWW[[#This Row],['#_of_latrines_in_TLS/CFS]]*50))))</f>
        <v>2805</v>
      </c>
      <c r="CC52" s="535">
        <f>IF(WWWW[[#This Row],['#_of_latrines_in_TLS/CFS]]*50&gt;WWWW[[#This Row],['#_students at TLS_CFS]],WWWW[[#This Row],['#_students at TLS_CFS]],WWWW[[#This Row],['#_of_latrines_in_TLS/CFS]]*50)</f>
        <v>150</v>
      </c>
      <c r="CD52" s="535">
        <f>ROUND(IF(WWWW[[#This Row],[Location Type 1]]="camp",WWWW[[#This Row],[Total PoP ]]/20),0)</f>
        <v>140</v>
      </c>
      <c r="CE52" s="535">
        <f>IF(WWWW[[#This Row],[Total required Latrines]]-WWWW[[#This Row],['#_Existing_latrines]]&lt;0,0,WWWW[[#This Row],[Total required Latrines]]-WWWW[[#This Row],['#_Existing_latrines]])</f>
        <v>0</v>
      </c>
      <c r="CF52" s="533">
        <f>1-WWWW[[#This Row],[% HRP2]]</f>
        <v>0</v>
      </c>
      <c r="CG52" s="536">
        <f>IF(WWWW[[#This Row],['#_Existing_latrines]]="","NA",(WWWW[[#This Row],['#_Existing_latrines]]-WWWW[[#This Row],['#_Functional_adult_latrines]])/WWWW[[#This Row],['#_Existing_latrines]])</f>
        <v>2.7932960893854749E-3</v>
      </c>
      <c r="CH52" s="542">
        <f>IF(WWWW[[#This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Row],[_'#_of_Girls_receiving_consultation_hygiene_promotion_messages_and_sessions]]&gt;WWWW[[#This Row],[Total PoP ]],WWWW[[#This Row],[Total PoP ]],WWWW[[#This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f>
        <v>0</v>
      </c>
      <c r="CI52" s="535">
        <f>IF(WWWW[[#This Row],['#_of_affected_households_receiving_a_sufficient_quantity_of_soap]]=0,0,IF(WWWW[[#This Row],['#_of_affected_households_receiving_a_sufficient_quantity_of_soap]]&gt;=WWWW[[#This Row],[Total HH]],WWWW[[#This Row],[Total PoP ]],IF(WWWW[[#This Row],['#_of_affected_households_receiving_a_sufficient_quantity_of_soap]]*5&gt;WWWW[[#This Row],[Total PoP ]],WWWW[[#This Row],[Total PoP ]],WWWW[[#This Row],['#_of_affected_households_receiving_a_sufficient_quantity_of_soap]]*5)))</f>
        <v>0</v>
      </c>
      <c r="CJ52" s="535">
        <f>IF(WWWW[[#This Row],['#_of_affected_women_and_girls_receiving_a_sufficient_quantity_of_sanitary_pads]]&gt;WWWW[[#This Row],[Total PoP ]],WWWW[[#This Row],[Total PoP ]],WWWW[[#This Row],['#_of_affected_women_and_girls_receiving_a_sufficient_quantity_of_sanitary_pads]])</f>
        <v>0</v>
      </c>
      <c r="CK52" s="535">
        <f>IF(WWWW[[#This Row],['# People with access to soap]]&gt;WWWW[[#This Row],['# People with access to Sanity Pads]],WWWW[[#This Row],['# People with access to soap]],WWWW[[#This Row],['# People with access to Sanity Pads]])</f>
        <v>0</v>
      </c>
      <c r="CL52" s="535">
        <f>IF(WWWW[[#This Row],['# people reached by regular dedicated hygiene promotion_5]]&gt;WWWW[[#This Row],['# People received regular supply of hygiene items_6]],WWWW[[#This Row],['# people reached by regular dedicated hygiene promotion_5]],WWWW[[#This Row],['# People received regular supply of hygiene items_6]])</f>
        <v>0</v>
      </c>
      <c r="CM52" s="533">
        <f>IF(WWWW[[#This Row],[HRP3]]/WWWW[[#This Row],[Total PoP ]]&gt;100%,100%,WWWW[[#This Row],[HRP3]]/WWWW[[#This Row],[Total PoP ]])</f>
        <v>0</v>
      </c>
      <c r="CN52" s="536">
        <f>1-WWWW[[#This Row],[Hygiene Coverage%]]</f>
        <v>1</v>
      </c>
      <c r="CO52" s="534">
        <f>WWWW[[#This Row],['# people reached by regular dedicated hygiene promotion_5]]/WWWW[[#This Row],[Total PoP ]]</f>
        <v>0</v>
      </c>
      <c r="CP52" s="536">
        <f>IF(WWWW[[#This Row],['#_of_affected_households_receiving_a_sufficient_quantity_of_soap]]/WWWW[[#This Row],[Total HH]]&gt;1,1,WWWW[[#This Row],['#_of_affected_households_receiving_a_sufficient_quantity_of_soap]]/WWWW[[#This Row],[Total HH]])</f>
        <v>0</v>
      </c>
      <c r="CQ52" s="542" t="str">
        <f>IF(WWWW[[#This Row],['#_students at TLS_CFS]]="","No","Yes")</f>
        <v>Yes</v>
      </c>
      <c r="CR52" s="534"/>
      <c r="CS52" s="537" t="str">
        <f>VLOOKUP(WWWW[[#This Row],[Site Name]],SiteDB6[[Site Name]:[CCCM Management]],6,FALSE)</f>
        <v>Yes</v>
      </c>
      <c r="CT52" s="537" t="str">
        <f>VLOOKUP(WWWW[[#This Row],[Site Name]],SiteDB6[[Site Name]:[CCCM Focal Agency]],7,FALSE)</f>
        <v>DRC</v>
      </c>
      <c r="CU52" s="537" t="str">
        <f>VLOOKUP(WWWW[[#This Row],[Site Name]],SiteDB6[[Site Name]:[Location Type 1]],9,FALSE)</f>
        <v>Camp</v>
      </c>
      <c r="CV52" s="537" t="str">
        <f>VLOOKUP(WWWW[[#This Row],[Site Name]],SiteDB6[[Site Name]:[Type of Accommodation]],10,FALSE)</f>
        <v>Planned Camp</v>
      </c>
      <c r="CW52" s="537" t="str">
        <f>VLOOKUP(WWWW[[#This Row],[Site Name]],SiteDB6[[Site Name]:[Ethnic or GCA/NGCA]],11,FALSE)</f>
        <v>Muslim</v>
      </c>
      <c r="CX52" s="537">
        <f>VLOOKUP(WWWW[[#This Row],[Site Name]],SiteDB6[[Site Name]:[Lat]],12,FALSE)</f>
        <v>20.064226000000001</v>
      </c>
      <c r="CY52" s="537">
        <f>VLOOKUP(WWWW[[#This Row],[Site Name]],SiteDB6[[Site Name]:[Long]],13,FALSE)</f>
        <v>92.993758999999997</v>
      </c>
      <c r="CZ52" s="537" t="str">
        <f>VLOOKUP(WWWW[[#This Row],[Site Name]],SiteDB6[[Site Name]:[Pcode]],3,FALSE)</f>
        <v>MMR012CMP019</v>
      </c>
      <c r="DA52" s="564" t="str">
        <f t="shared" si="1"/>
        <v>Covered</v>
      </c>
      <c r="DB52" s="564">
        <f>VLOOKUP(WWWW[[#This Row],[Site Name]],SiteDB6[[Site Name]:[PWD_Total]],22,FALSE)</f>
        <v>125</v>
      </c>
      <c r="DC52" s="564">
        <f>VLOOKUP(WWWW[[#This Row],[Site Name]],SiteDB6[[Site Name]:[PWD_Total]],23,FALSE)</f>
        <v>401</v>
      </c>
      <c r="DD52" s="564">
        <f>VLOOKUP(WWWW[[#This Row],[Site Name]],SiteDB6[[Site Name]:[PWD_Total]],24,FALSE)</f>
        <v>526</v>
      </c>
      <c r="DE52" s="537"/>
      <c r="DF52" s="564">
        <v>1205</v>
      </c>
      <c r="DG52" s="564">
        <v>0</v>
      </c>
      <c r="DH52" s="564">
        <v>0</v>
      </c>
    </row>
    <row r="53" spans="1:112" hidden="1">
      <c r="A53" s="590" t="s">
        <v>2388</v>
      </c>
      <c r="B53" s="590" t="s">
        <v>402</v>
      </c>
      <c r="C53" s="450" t="s">
        <v>402</v>
      </c>
      <c r="D53" s="450" t="s">
        <v>235</v>
      </c>
      <c r="E53" s="532" t="s">
        <v>2706</v>
      </c>
      <c r="F53" s="450" t="s">
        <v>403</v>
      </c>
      <c r="G53" s="532" t="str">
        <f>VLOOKUP(WWWW[[#This Row],[Site Name]],SiteDB6[[Site Name]:[Location Type]],8,FALSE)</f>
        <v>Camp</v>
      </c>
      <c r="H53" s="450" t="s">
        <v>404</v>
      </c>
      <c r="I53" s="589">
        <v>716</v>
      </c>
      <c r="J53" s="589">
        <v>2920</v>
      </c>
      <c r="K53" s="453">
        <v>43530</v>
      </c>
      <c r="L53" s="854">
        <v>43896</v>
      </c>
      <c r="M53" s="589">
        <v>920</v>
      </c>
      <c r="N53" s="589">
        <v>14</v>
      </c>
      <c r="O53" s="589">
        <v>20</v>
      </c>
      <c r="P53" s="589">
        <v>0</v>
      </c>
      <c r="Q53" s="542" t="s">
        <v>42</v>
      </c>
      <c r="R53" s="589">
        <v>9</v>
      </c>
      <c r="S53" s="589">
        <v>9</v>
      </c>
      <c r="T53" s="589">
        <v>7</v>
      </c>
      <c r="U53" s="589">
        <v>7</v>
      </c>
      <c r="V53" s="589"/>
      <c r="W53" s="589">
        <v>8670000</v>
      </c>
      <c r="X53" s="589">
        <v>24</v>
      </c>
      <c r="Y53" s="589">
        <v>21</v>
      </c>
      <c r="Z53" s="589">
        <v>24</v>
      </c>
      <c r="AA53" s="589">
        <v>24</v>
      </c>
      <c r="AB53" s="589">
        <v>716</v>
      </c>
      <c r="AC53" s="589"/>
      <c r="AD53" s="589">
        <v>3</v>
      </c>
      <c r="AE53" s="635"/>
      <c r="AF53" s="589">
        <v>197</v>
      </c>
      <c r="AG53" s="589">
        <v>197</v>
      </c>
      <c r="AH53" s="589">
        <v>82</v>
      </c>
      <c r="AI53" s="534"/>
      <c r="AJ53" s="589"/>
      <c r="AK53" s="534">
        <v>1</v>
      </c>
      <c r="AL53" s="534">
        <v>0.87</v>
      </c>
      <c r="AM53" s="534">
        <v>1</v>
      </c>
      <c r="AN53" s="534">
        <v>0.9</v>
      </c>
      <c r="AO53" s="589">
        <v>31</v>
      </c>
      <c r="AP53" s="589">
        <v>114</v>
      </c>
      <c r="AQ53" s="589">
        <v>6</v>
      </c>
      <c r="AR53" s="589" t="s">
        <v>42</v>
      </c>
      <c r="AS53" s="648"/>
      <c r="AT53" s="589">
        <v>186</v>
      </c>
      <c r="AU53" s="589">
        <v>844</v>
      </c>
      <c r="AV53" s="589">
        <v>217</v>
      </c>
      <c r="AW53" s="589">
        <v>302</v>
      </c>
      <c r="AX53" s="589">
        <v>716</v>
      </c>
      <c r="AY53" s="589">
        <v>879</v>
      </c>
      <c r="AZ53" s="534">
        <v>1</v>
      </c>
      <c r="BA53" s="534">
        <v>0.94</v>
      </c>
      <c r="BB53" s="534">
        <v>0.91</v>
      </c>
      <c r="BC53" s="534">
        <v>1</v>
      </c>
      <c r="BD53" s="855"/>
      <c r="BE53" s="534">
        <v>1</v>
      </c>
      <c r="BF53" s="534">
        <v>1</v>
      </c>
      <c r="BG53" s="589">
        <v>1</v>
      </c>
      <c r="BH53" s="534">
        <v>1</v>
      </c>
      <c r="BI53" s="534">
        <f>WWWW[[#This Row],[Cases of Acute watery diarrhea]]/WWWW[[#This Row],[Total consultations]]</f>
        <v>1.0273972602739725E-2</v>
      </c>
      <c r="BJ53" s="535" t="s">
        <v>130</v>
      </c>
      <c r="BK53" s="648"/>
      <c r="BL53" s="648"/>
      <c r="BM53" s="536">
        <f>IFERROR(WWWW[[#This Row],['#_Water samples _passed_at_water source]]/WWWW[[#This Row],['#_Water samples_Tested_at_water_source]],"no test")</f>
        <v>0.875</v>
      </c>
      <c r="BN53" s="534">
        <f>IFERROR(WWWW[[#This Row],['#_Water samples _passed_at_HH]]/WWWW[[#This Row],['#_Water samples_Tested_at_HH]],"no test")</f>
        <v>1</v>
      </c>
      <c r="BO53" s="535" t="str">
        <f>IF(AND(WWWW[[#This Row],[%of Water samples which passed at water source]]="no test",WWWW[[#This Row],[%Water samples which passed at HH]]="no test"),"No Test","Tested")</f>
        <v>Tested</v>
      </c>
      <c r="BP53" s="536">
        <f>IF(WWWW[[#This Row],[Total PoP ]]="","",IF(((WWWW[[#This Row],['#_Functional_improved_water_source]]*500)+(WWWW[[#This Row],['#_litres_of_water_supplied_by_existing_water_boating/trucking ]]/90/15)+(WWWW[[#This Row],['#_Functional_water_point_at_TLS/CFS]]*500))/WWWW[[#This Row],[Total PoP ]]&gt;1,1,((WWWW[[#This Row],['#_Functional_improved_water_source]]*500)+(WWWW[[#This Row],['#_litres_of_water_supplied_by_existing_water_boating/trucking ]]/90/15)+(WWWW[[#This Row],['#_Functional_water_point_at_TLS/CFS]]*500))/WWWW[[#This Row],[Total PoP ]]))</f>
        <v>1</v>
      </c>
      <c r="BQ53" s="542">
        <f>WWWW[[#This Row],[Access to safe/improved water through improved water sources]]*WWWW[[#This Row],[Total PoP ]]</f>
        <v>2920</v>
      </c>
      <c r="BR53" s="536">
        <f>IF((WWWW[[#This Row],['#_litres_of_water_stored_in_ponds]]/90/15)/WWWW[[#This Row],[Total PoP ]]&gt;1,1,(WWWW[[#This Row],['#_litres_of_water_stored_in_ponds]]/90/15)/WWWW[[#This Row],[Total PoP ]])</f>
        <v>1</v>
      </c>
      <c r="BS53" s="542">
        <f>WWWW[[#This Row],[% Access to unimproved water points]]*WWWW[[#This Row],[Total PoP ]]</f>
        <v>2920</v>
      </c>
      <c r="BT53" s="536">
        <f>IF(WWWW[[#This Row],[Access to safe/improved water through improved water sources]]+WWWW[[#This Row],[% Access to unimproved water points]]&gt;1,1,WWWW[[#This Row],[Access to safe/improved water through improved water sources]]+WWWW[[#This Row],[% Access to unimproved water points]])</f>
        <v>1</v>
      </c>
      <c r="BU53" s="542">
        <f>IF(WWWW[[#This Row],['# people with equitable and continuous access to sufficient quantity of safe drinking water]]+WWWW[[#This Row],['#People access to unimproved water sources]]&gt;WWWW[[#This Row],[Total PoP ]],WWWW[[#This Row],[Total PoP ]],WWWW[[#This Row],['# people with equitable and continuous access to sufficient quantity of safe drinking water]]+WWWW[[#This Row],['#People access to unimproved water sources]])</f>
        <v>2920</v>
      </c>
      <c r="BV53" s="542">
        <f>WWWW[[#This Row],[HRP1]]/500</f>
        <v>5.84</v>
      </c>
      <c r="BW53" s="533">
        <f>1-WWWW[[#This Row],[% HRP1]]</f>
        <v>0</v>
      </c>
      <c r="BX53" s="542">
        <f>WWWW[[#This Row],[%equitable and continuous access to sufficient quantity of safe drinking and domestic water''s GAP]]*WWWW[[#This Row],[Total PoP ]]</f>
        <v>0</v>
      </c>
      <c r="BY53" s="535">
        <f>ROUND(IF(WWWW[[#This Row],[Total PoP ]]&lt;500,1,WWWW[[#This Row],[Total PoP ]]/500),0)</f>
        <v>6</v>
      </c>
      <c r="BZ53" s="535">
        <f>IF(WWWW[[#This Row],[Total required water points]]-WWWW[[#This Row],['#Water points coverage]]&lt;0,0,WWWW[[#This Row],[Total required water points]]-WWWW[[#This Row],['#Water points coverage]])</f>
        <v>0.16000000000000014</v>
      </c>
      <c r="CA53" s="536">
        <f>WWWW[[#This Row],[HRP2]]/WWWW[[#This Row],[Total PoP ]]</f>
        <v>1</v>
      </c>
      <c r="CB53" s="542">
        <f>IF(WWWW[[#This Row],[Total PoP ]]="",0,IF(((WWWW[[#This Row],['#_Functional_adult_latrines]]*20)+(WWWW[[#This Row],['#_of_functional_children_latrines]]*20)+WWWW[[#This Row],['#_of_PWD_with_adapted_sanitation_option]]+(WWWW[[#This Row],['#_of_latrines_in_TLS/CFS]]*50))&gt;WWWW[[#This Row],[Total PoP ]],WWWW[[#This Row],[Total PoP ]],((WWWW[[#This Row],['#_Functional_adult_latrines]]*20)+(WWWW[[#This Row],['#_of_functional_children_latrines]]*20)+WWWW[[#This Row],['#_of_PWD_with_adapted_sanitation_option]]+(WWWW[[#This Row],['#_of_latrines_in_TLS/CFS]]*50))))</f>
        <v>2920</v>
      </c>
      <c r="CC53" s="535">
        <f>IF(WWWW[[#This Row],['#_of_latrines_in_TLS/CFS]]*50&gt;WWWW[[#This Row],['#_students at TLS_CFS]],WWWW[[#This Row],['#_students at TLS_CFS]],WWWW[[#This Row],['#_of_latrines_in_TLS/CFS]]*50)</f>
        <v>300</v>
      </c>
      <c r="CD53" s="535">
        <f>ROUND(IF(WWWW[[#This Row],[Location Type 1]]="camp",WWWW[[#This Row],[Total PoP ]]/20),0)</f>
        <v>146</v>
      </c>
      <c r="CE53" s="535">
        <f>IF(WWWW[[#This Row],[Total required Latrines]]-WWWW[[#This Row],['#_Existing_latrines]]&lt;0,0,WWWW[[#This Row],[Total required Latrines]]-WWWW[[#This Row],['#_Existing_latrines]])</f>
        <v>0</v>
      </c>
      <c r="CF53" s="533">
        <f>1-WWWW[[#This Row],[% HRP2]]</f>
        <v>0</v>
      </c>
      <c r="CG53" s="536">
        <f>IF(WWWW[[#This Row],['#_Existing_latrines]]="","NA",(WWWW[[#This Row],['#_Existing_latrines]]-WWWW[[#This Row],['#_Functional_adult_latrines]])/WWWW[[#This Row],['#_Existing_latrines]])</f>
        <v>0</v>
      </c>
      <c r="CH53" s="542">
        <f>IF(WWWW[[#This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Row],[_'#_of_Girls_receiving_consultation_hygiene_promotion_messages_and_sessions]]&gt;WWWW[[#This Row],[Total PoP ]],WWWW[[#This Row],[Total PoP ]],WWWW[[#This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f>
        <v>1549</v>
      </c>
      <c r="CI53" s="535">
        <f>IF(WWWW[[#This Row],['#_of_affected_households_receiving_a_sufficient_quantity_of_soap]]=0,0,IF(WWWW[[#This Row],['#_of_affected_households_receiving_a_sufficient_quantity_of_soap]]&gt;=WWWW[[#This Row],[Total HH]],WWWW[[#This Row],[Total PoP ]],IF(WWWW[[#This Row],['#_of_affected_households_receiving_a_sufficient_quantity_of_soap]]*5&gt;WWWW[[#This Row],[Total PoP ]],WWWW[[#This Row],[Total PoP ]],WWWW[[#This Row],['#_of_affected_households_receiving_a_sufficient_quantity_of_soap]]*5)))</f>
        <v>2920</v>
      </c>
      <c r="CJ53" s="535">
        <f>IF(WWWW[[#This Row],['#_of_affected_women_and_girls_receiving_a_sufficient_quantity_of_sanitary_pads]]&gt;WWWW[[#This Row],[Total PoP ]],WWWW[[#This Row],[Total PoP ]],WWWW[[#This Row],['#_of_affected_women_and_girls_receiving_a_sufficient_quantity_of_sanitary_pads]])</f>
        <v>879</v>
      </c>
      <c r="CK53" s="535">
        <f>IF(WWWW[[#This Row],['# People with access to soap]]&gt;WWWW[[#This Row],['# People with access to Sanity Pads]],WWWW[[#This Row],['# People with access to soap]],WWWW[[#This Row],['# People with access to Sanity Pads]])</f>
        <v>2920</v>
      </c>
      <c r="CL53" s="535">
        <f>IF(WWWW[[#This Row],['# people reached by regular dedicated hygiene promotion_5]]&gt;WWWW[[#This Row],['# People received regular supply of hygiene items_6]],WWWW[[#This Row],['# people reached by regular dedicated hygiene promotion_5]],WWWW[[#This Row],['# People received regular supply of hygiene items_6]])</f>
        <v>2920</v>
      </c>
      <c r="CM53" s="533">
        <f>IF(WWWW[[#This Row],[HRP3]]/WWWW[[#This Row],[Total PoP ]]&gt;100%,100%,WWWW[[#This Row],[HRP3]]/WWWW[[#This Row],[Total PoP ]])</f>
        <v>1</v>
      </c>
      <c r="CN53" s="536">
        <f>1-WWWW[[#This Row],[Hygiene Coverage%]]</f>
        <v>0</v>
      </c>
      <c r="CO53" s="534">
        <f>WWWW[[#This Row],['# people reached by regular dedicated hygiene promotion_5]]/WWWW[[#This Row],[Total PoP ]]</f>
        <v>0.53047945205479452</v>
      </c>
      <c r="CP53" s="536">
        <f>IF(WWWW[[#This Row],['#_of_affected_households_receiving_a_sufficient_quantity_of_soap]]/WWWW[[#This Row],[Total HH]]&gt;1,1,WWWW[[#This Row],['#_of_affected_households_receiving_a_sufficient_quantity_of_soap]]/WWWW[[#This Row],[Total HH]])</f>
        <v>1</v>
      </c>
      <c r="CQ53" s="542" t="str">
        <f>IF(WWWW[[#This Row],['#_students at TLS_CFS]]="","No","Yes")</f>
        <v>Yes</v>
      </c>
      <c r="CR53" s="534"/>
      <c r="CS53" s="537" t="str">
        <f>VLOOKUP(WWWW[[#This Row],[Site Name]],SiteDB6[[Site Name]:[CCCM Management]],6,FALSE)</f>
        <v>Yes</v>
      </c>
      <c r="CT53" s="537" t="str">
        <f>VLOOKUP(WWWW[[#This Row],[Site Name]],SiteDB6[[Site Name]:[CCCM Focal Agency]],7,FALSE)</f>
        <v>RI</v>
      </c>
      <c r="CU53" s="537" t="str">
        <f>VLOOKUP(WWWW[[#This Row],[Site Name]],SiteDB6[[Site Name]:[Location Type 1]],9,FALSE)</f>
        <v>Camp</v>
      </c>
      <c r="CV53" s="537" t="str">
        <f>VLOOKUP(WWWW[[#This Row],[Site Name]],SiteDB6[[Site Name]:[Type of Accommodation]],10,FALSE)</f>
        <v>Planned Camp</v>
      </c>
      <c r="CW53" s="537" t="str">
        <f>VLOOKUP(WWWW[[#This Row],[Site Name]],SiteDB6[[Site Name]:[Ethnic or GCA/NGCA]],11,FALSE)</f>
        <v>Muslim</v>
      </c>
      <c r="CX53" s="537">
        <f>VLOOKUP(WWWW[[#This Row],[Site Name]],SiteDB6[[Site Name]:[Lat]],12,FALSE)</f>
        <v>20.037655000000001</v>
      </c>
      <c r="CY53" s="537">
        <f>VLOOKUP(WWWW[[#This Row],[Site Name]],SiteDB6[[Site Name]:[Long]],13,FALSE)</f>
        <v>93.370037999999994</v>
      </c>
      <c r="CZ53" s="537" t="str">
        <f>VLOOKUP(WWWW[[#This Row],[Site Name]],SiteDB6[[Site Name]:[Pcode]],3,FALSE)</f>
        <v>MMR012CMP014</v>
      </c>
      <c r="DA53" s="564" t="str">
        <f t="shared" si="1"/>
        <v>Covered</v>
      </c>
      <c r="DB53" s="564">
        <f>VLOOKUP(WWWW[[#This Row],[Site Name]],SiteDB6[[Site Name]:[PWD_Total]],22,FALSE)</f>
        <v>54</v>
      </c>
      <c r="DC53" s="564">
        <f>VLOOKUP(WWWW[[#This Row],[Site Name]],SiteDB6[[Site Name]:[PWD_Total]],23,FALSE)</f>
        <v>319</v>
      </c>
      <c r="DD53" s="564">
        <f>VLOOKUP(WWWW[[#This Row],[Site Name]],SiteDB6[[Site Name]:[PWD_Total]],24,FALSE)</f>
        <v>373</v>
      </c>
      <c r="DE53" s="537"/>
      <c r="DF53" s="564">
        <v>292</v>
      </c>
      <c r="DG53" s="564">
        <v>3</v>
      </c>
      <c r="DH53" s="564">
        <v>0</v>
      </c>
    </row>
    <row r="54" spans="1:112" hidden="1">
      <c r="A54" s="590" t="s">
        <v>2388</v>
      </c>
      <c r="B54" s="590" t="s">
        <v>2308</v>
      </c>
      <c r="C54" s="450" t="s">
        <v>2308</v>
      </c>
      <c r="D54" s="450" t="s">
        <v>41</v>
      </c>
      <c r="E54" s="532" t="s">
        <v>2706</v>
      </c>
      <c r="F54" s="450" t="s">
        <v>299</v>
      </c>
      <c r="G54" s="532" t="str">
        <f>VLOOKUP(WWWW[[#This Row],[Site Name]],SiteDB6[[Site Name]:[Location Type]],8,FALSE)</f>
        <v>Camp</v>
      </c>
      <c r="H54" s="450" t="s">
        <v>426</v>
      </c>
      <c r="I54" s="589">
        <v>1139</v>
      </c>
      <c r="J54" s="589">
        <v>6016</v>
      </c>
      <c r="K54" s="453">
        <v>43009</v>
      </c>
      <c r="L54" s="854">
        <v>44104</v>
      </c>
      <c r="M54" s="589">
        <v>1094</v>
      </c>
      <c r="N54" s="589">
        <v>49</v>
      </c>
      <c r="O54" s="589">
        <v>175</v>
      </c>
      <c r="P54" s="589">
        <v>0</v>
      </c>
      <c r="Q54" s="542" t="s">
        <v>130</v>
      </c>
      <c r="R54" s="589">
        <v>9</v>
      </c>
      <c r="S54" s="589">
        <v>7</v>
      </c>
      <c r="T54" s="589">
        <v>41</v>
      </c>
      <c r="U54" s="589">
        <v>45</v>
      </c>
      <c r="V54" s="589"/>
      <c r="W54" s="589"/>
      <c r="X54" s="589">
        <v>40</v>
      </c>
      <c r="Y54" s="589">
        <v>36</v>
      </c>
      <c r="Z54" s="589">
        <v>80</v>
      </c>
      <c r="AA54" s="589">
        <v>32</v>
      </c>
      <c r="AB54" s="589">
        <v>0</v>
      </c>
      <c r="AC54" s="589">
        <v>30</v>
      </c>
      <c r="AD54" s="589">
        <v>2</v>
      </c>
      <c r="AE54" s="635"/>
      <c r="AF54" s="589">
        <v>181</v>
      </c>
      <c r="AG54" s="589">
        <v>253</v>
      </c>
      <c r="AH54" s="589">
        <v>121</v>
      </c>
      <c r="AI54" s="534">
        <v>0.77</v>
      </c>
      <c r="AJ54" s="589">
        <v>282</v>
      </c>
      <c r="AK54" s="534">
        <v>1</v>
      </c>
      <c r="AL54" s="534">
        <v>0.97</v>
      </c>
      <c r="AM54" s="534">
        <v>0.45</v>
      </c>
      <c r="AN54" s="534">
        <v>0.45</v>
      </c>
      <c r="AO54" s="589">
        <v>0</v>
      </c>
      <c r="AP54" s="589"/>
      <c r="AQ54" s="589">
        <v>3</v>
      </c>
      <c r="AR54" s="589" t="s">
        <v>42</v>
      </c>
      <c r="AS54" s="648"/>
      <c r="AT54" s="589">
        <v>21</v>
      </c>
      <c r="AU54" s="589">
        <v>100</v>
      </c>
      <c r="AV54" s="589">
        <v>416</v>
      </c>
      <c r="AW54" s="589">
        <v>385</v>
      </c>
      <c r="AX54" s="589">
        <v>1139</v>
      </c>
      <c r="AY54" s="589">
        <v>1745</v>
      </c>
      <c r="AZ54" s="534"/>
      <c r="BA54" s="534"/>
      <c r="BB54" s="534"/>
      <c r="BC54" s="534"/>
      <c r="BD54" s="855"/>
      <c r="BE54" s="534"/>
      <c r="BF54" s="534"/>
      <c r="BG54" s="589">
        <v>0.46</v>
      </c>
      <c r="BH54" s="534">
        <v>0.55000000000000004</v>
      </c>
      <c r="BI54" s="534">
        <f>WWWW[[#This Row],[Cases of Acute watery diarrhea]]/WWWW[[#This Row],[Total consultations]]</f>
        <v>0</v>
      </c>
      <c r="BJ54" s="535"/>
      <c r="BK54" s="648"/>
      <c r="BL54" s="648"/>
      <c r="BM54" s="536">
        <f>IFERROR(WWWW[[#This Row],['#_Water samples _passed_at_water source]]/WWWW[[#This Row],['#_Water samples_Tested_at_water_source]],"no test")</f>
        <v>0.9</v>
      </c>
      <c r="BN54" s="534">
        <f>IFERROR(WWWW[[#This Row],['#_Water samples _passed_at_HH]]/WWWW[[#This Row],['#_Water samples_Tested_at_HH]],"no test")</f>
        <v>0.4</v>
      </c>
      <c r="BO54" s="535" t="str">
        <f>IF(AND(WWWW[[#This Row],[%of Water samples which passed at water source]]="no test",WWWW[[#This Row],[%Water samples which passed at HH]]="no test"),"No Test","Tested")</f>
        <v>Tested</v>
      </c>
      <c r="BP54" s="536">
        <f>IF(WWWW[[#This Row],[Total PoP ]]="","",IF(((WWWW[[#This Row],['#_Functional_improved_water_source]]*500)+(WWWW[[#This Row],['#_litres_of_water_supplied_by_existing_water_boating/trucking ]]/90/15)+(WWWW[[#This Row],['#_Functional_water_point_at_TLS/CFS]]*500))/WWWW[[#This Row],[Total PoP ]]&gt;1,1,((WWWW[[#This Row],['#_Functional_improved_water_source]]*500)+(WWWW[[#This Row],['#_litres_of_water_supplied_by_existing_water_boating/trucking ]]/90/15)+(WWWW[[#This Row],['#_Functional_water_point_at_TLS/CFS]]*500))/WWWW[[#This Row],[Total PoP ]]))</f>
        <v>1</v>
      </c>
      <c r="BQ54" s="542">
        <f>WWWW[[#This Row],[Access to safe/improved water through improved water sources]]*WWWW[[#This Row],[Total PoP ]]</f>
        <v>6016</v>
      </c>
      <c r="BR54" s="536">
        <f>IF((WWWW[[#This Row],['#_litres_of_water_stored_in_ponds]]/90/15)/WWWW[[#This Row],[Total PoP ]]&gt;1,1,(WWWW[[#This Row],['#_litres_of_water_stored_in_ponds]]/90/15)/WWWW[[#This Row],[Total PoP ]])</f>
        <v>0</v>
      </c>
      <c r="BS54" s="542">
        <f>WWWW[[#This Row],[% Access to unimproved water points]]*WWWW[[#This Row],[Total PoP ]]</f>
        <v>0</v>
      </c>
      <c r="BT54" s="536">
        <f>IF(WWWW[[#This Row],[Access to safe/improved water through improved water sources]]+WWWW[[#This Row],[% Access to unimproved water points]]&gt;1,1,WWWW[[#This Row],[Access to safe/improved water through improved water sources]]+WWWW[[#This Row],[% Access to unimproved water points]])</f>
        <v>1</v>
      </c>
      <c r="BU54" s="542">
        <f>IF(WWWW[[#This Row],['# people with equitable and continuous access to sufficient quantity of safe drinking water]]+WWWW[[#This Row],['#People access to unimproved water sources]]&gt;WWWW[[#This Row],[Total PoP ]],WWWW[[#This Row],[Total PoP ]],WWWW[[#This Row],['# people with equitable and continuous access to sufficient quantity of safe drinking water]]+WWWW[[#This Row],['#People access to unimproved water sources]])</f>
        <v>6016</v>
      </c>
      <c r="BV54" s="542">
        <f>WWWW[[#This Row],[HRP1]]/500</f>
        <v>12.032</v>
      </c>
      <c r="BW54" s="533">
        <f>1-WWWW[[#This Row],[% HRP1]]</f>
        <v>0</v>
      </c>
      <c r="BX54" s="542">
        <f>WWWW[[#This Row],[%equitable and continuous access to sufficient quantity of safe drinking and domestic water''s GAP]]*WWWW[[#This Row],[Total PoP ]]</f>
        <v>0</v>
      </c>
      <c r="BY54" s="535">
        <f>ROUND(IF(WWWW[[#This Row],[Total PoP ]]&lt;500,1,WWWW[[#This Row],[Total PoP ]]/500),0)</f>
        <v>12</v>
      </c>
      <c r="BZ54" s="535">
        <f>IF(WWWW[[#This Row],[Total required water points]]-WWWW[[#This Row],['#Water points coverage]]&lt;0,0,WWWW[[#This Row],[Total required water points]]-WWWW[[#This Row],['#Water points coverage]])</f>
        <v>0</v>
      </c>
      <c r="CA54" s="536">
        <f>WWWW[[#This Row],[HRP2]]/WWWW[[#This Row],[Total PoP ]]</f>
        <v>0.62666223404255317</v>
      </c>
      <c r="CB54" s="542">
        <f>IF(WWWW[[#This Row],[Total PoP ]]="",0,IF(((WWWW[[#This Row],['#_Functional_adult_latrines]]*20)+(WWWW[[#This Row],['#_of_functional_children_latrines]]*20)+WWWW[[#This Row],['#_of_PWD_with_adapted_sanitation_option]]+(WWWW[[#This Row],['#_of_latrines_in_TLS/CFS]]*50))&gt;WWWW[[#This Row],[Total PoP ]],WWWW[[#This Row],[Total PoP ]],((WWWW[[#This Row],['#_Functional_adult_latrines]]*20)+(WWWW[[#This Row],['#_of_functional_children_latrines]]*20)+WWWW[[#This Row],['#_of_PWD_with_adapted_sanitation_option]]+(WWWW[[#This Row],['#_of_latrines_in_TLS/CFS]]*50))))</f>
        <v>3770</v>
      </c>
      <c r="CC54" s="535">
        <f>IF(WWWW[[#This Row],['#_of_latrines_in_TLS/CFS]]*50&gt;WWWW[[#This Row],['#_students at TLS_CFS]],WWWW[[#This Row],['#_students at TLS_CFS]],WWWW[[#This Row],['#_of_latrines_in_TLS/CFS]]*50)</f>
        <v>150</v>
      </c>
      <c r="CD54" s="535">
        <f>ROUND(IF(WWWW[[#This Row],[Location Type 1]]="camp",WWWW[[#This Row],[Total PoP ]]/20),0)</f>
        <v>301</v>
      </c>
      <c r="CE54" s="535">
        <f>IF(WWWW[[#This Row],[Total required Latrines]]-WWWW[[#This Row],['#_Existing_latrines]]&lt;0,0,WWWW[[#This Row],[Total required Latrines]]-WWWW[[#This Row],['#_Existing_latrines]])</f>
        <v>48</v>
      </c>
      <c r="CF54" s="533">
        <f>1-WWWW[[#This Row],[% HRP2]]</f>
        <v>0.37333776595744683</v>
      </c>
      <c r="CG54" s="536">
        <f>IF(WWWW[[#This Row],['#_Existing_latrines]]="","NA",(WWWW[[#This Row],['#_Existing_latrines]]-WWWW[[#This Row],['#_Functional_adult_latrines]])/WWWW[[#This Row],['#_Existing_latrines]])</f>
        <v>0.28458498023715417</v>
      </c>
      <c r="CH54" s="542">
        <f>IF(WWWW[[#This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Row],[_'#_of_Girls_receiving_consultation_hygiene_promotion_messages_and_sessions]]&gt;WWWW[[#This Row],[Total PoP ]],WWWW[[#This Row],[Total PoP ]],WWWW[[#This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f>
        <v>922</v>
      </c>
      <c r="CI54" s="535">
        <f>IF(WWWW[[#This Row],['#_of_affected_households_receiving_a_sufficient_quantity_of_soap]]=0,0,IF(WWWW[[#This Row],['#_of_affected_households_receiving_a_sufficient_quantity_of_soap]]&gt;=WWWW[[#This Row],[Total HH]],WWWW[[#This Row],[Total PoP ]],IF(WWWW[[#This Row],['#_of_affected_households_receiving_a_sufficient_quantity_of_soap]]*5&gt;WWWW[[#This Row],[Total PoP ]],WWWW[[#This Row],[Total PoP ]],WWWW[[#This Row],['#_of_affected_households_receiving_a_sufficient_quantity_of_soap]]*5)))</f>
        <v>6016</v>
      </c>
      <c r="CJ54" s="535">
        <f>IF(WWWW[[#This Row],['#_of_affected_women_and_girls_receiving_a_sufficient_quantity_of_sanitary_pads]]&gt;WWWW[[#This Row],[Total PoP ]],WWWW[[#This Row],[Total PoP ]],WWWW[[#This Row],['#_of_affected_women_and_girls_receiving_a_sufficient_quantity_of_sanitary_pads]])</f>
        <v>1745</v>
      </c>
      <c r="CK54" s="535">
        <f>IF(WWWW[[#This Row],['# People with access to soap]]&gt;WWWW[[#This Row],['# People with access to Sanity Pads]],WWWW[[#This Row],['# People with access to soap]],WWWW[[#This Row],['# People with access to Sanity Pads]])</f>
        <v>6016</v>
      </c>
      <c r="CL54" s="535">
        <f>IF(WWWW[[#This Row],['# people reached by regular dedicated hygiene promotion_5]]&gt;WWWW[[#This Row],['# People received regular supply of hygiene items_6]],WWWW[[#This Row],['# people reached by regular dedicated hygiene promotion_5]],WWWW[[#This Row],['# People received regular supply of hygiene items_6]])</f>
        <v>6016</v>
      </c>
      <c r="CM54" s="533">
        <f>IF(WWWW[[#This Row],[HRP3]]/WWWW[[#This Row],[Total PoP ]]&gt;100%,100%,WWWW[[#This Row],[HRP3]]/WWWW[[#This Row],[Total PoP ]])</f>
        <v>1</v>
      </c>
      <c r="CN54" s="536">
        <f>1-WWWW[[#This Row],[Hygiene Coverage%]]</f>
        <v>0</v>
      </c>
      <c r="CO54" s="534">
        <f>WWWW[[#This Row],['# people reached by regular dedicated hygiene promotion_5]]/WWWW[[#This Row],[Total PoP ]]</f>
        <v>0.15325797872340424</v>
      </c>
      <c r="CP54" s="536">
        <f>IF(WWWW[[#This Row],['#_of_affected_households_receiving_a_sufficient_quantity_of_soap]]/WWWW[[#This Row],[Total HH]]&gt;1,1,WWWW[[#This Row],['#_of_affected_households_receiving_a_sufficient_quantity_of_soap]]/WWWW[[#This Row],[Total HH]])</f>
        <v>1</v>
      </c>
      <c r="CQ54" s="542" t="str">
        <f>IF(WWWW[[#This Row],['#_students at TLS_CFS]]="","No","Yes")</f>
        <v>Yes</v>
      </c>
      <c r="CR54" s="534"/>
      <c r="CS54" s="537" t="str">
        <f>VLOOKUP(WWWW[[#This Row],[Site Name]],SiteDB6[[Site Name]:[CCCM Management]],6,FALSE)</f>
        <v>Yes</v>
      </c>
      <c r="CT54" s="537">
        <f>VLOOKUP(WWWW[[#This Row],[Site Name]],SiteDB6[[Site Name]:[CCCM Focal Agency]],7,FALSE)</f>
        <v>0</v>
      </c>
      <c r="CU54" s="537" t="str">
        <f>VLOOKUP(WWWW[[#This Row],[Site Name]],SiteDB6[[Site Name]:[Location Type 1]],9,FALSE)</f>
        <v>Camp</v>
      </c>
      <c r="CV54" s="537" t="str">
        <f>VLOOKUP(WWWW[[#This Row],[Site Name]],SiteDB6[[Site Name]:[Type of Accommodation]],10,FALSE)</f>
        <v>Self Settled Camp</v>
      </c>
      <c r="CW54" s="537" t="str">
        <f>VLOOKUP(WWWW[[#This Row],[Site Name]],SiteDB6[[Site Name]:[Ethnic or GCA/NGCA]],11,FALSE)</f>
        <v>Muslim</v>
      </c>
      <c r="CX54" s="537">
        <f>VLOOKUP(WWWW[[#This Row],[Site Name]],SiteDB6[[Site Name]:[Lat]],12,FALSE)</f>
        <v>20.1585</v>
      </c>
      <c r="CY54" s="537">
        <f>VLOOKUP(WWWW[[#This Row],[Site Name]],SiteDB6[[Site Name]:[Long]],13,FALSE)</f>
        <v>92.839416999999997</v>
      </c>
      <c r="CZ54" s="537" t="str">
        <f>VLOOKUP(WWWW[[#This Row],[Site Name]],SiteDB6[[Site Name]:[Pcode]],3,FALSE)</f>
        <v>MMR012CMP046</v>
      </c>
      <c r="DA54" s="564" t="str">
        <f t="shared" si="1"/>
        <v>Covered</v>
      </c>
      <c r="DB54" s="564">
        <f>VLOOKUP(WWWW[[#This Row],[Site Name]],SiteDB6[[Site Name]:[PWD_Total]],22,FALSE)</f>
        <v>283</v>
      </c>
      <c r="DC54" s="564">
        <f>VLOOKUP(WWWW[[#This Row],[Site Name]],SiteDB6[[Site Name]:[PWD_Total]],23,FALSE)</f>
        <v>715</v>
      </c>
      <c r="DD54" s="564">
        <f>VLOOKUP(WWWW[[#This Row],[Site Name]],SiteDB6[[Site Name]:[PWD_Total]],24,FALSE)</f>
        <v>998</v>
      </c>
      <c r="DE54" s="537"/>
      <c r="DF54" s="564">
        <v>52</v>
      </c>
      <c r="DG54" s="564">
        <v>0</v>
      </c>
      <c r="DH54" s="564">
        <v>0</v>
      </c>
    </row>
    <row r="55" spans="1:112" hidden="1">
      <c r="A55" s="590" t="s">
        <v>2388</v>
      </c>
      <c r="B55" s="590" t="s">
        <v>2307</v>
      </c>
      <c r="C55" s="450" t="s">
        <v>2307</v>
      </c>
      <c r="D55" s="450" t="s">
        <v>41</v>
      </c>
      <c r="E55" s="532" t="s">
        <v>2706</v>
      </c>
      <c r="F55" s="450" t="s">
        <v>299</v>
      </c>
      <c r="G55" s="532" t="str">
        <f>VLOOKUP(WWWW[[#This Row],[Site Name]],SiteDB6[[Site Name]:[Location Type]],8,FALSE)</f>
        <v>Camp</v>
      </c>
      <c r="H55" s="450" t="s">
        <v>430</v>
      </c>
      <c r="I55" s="589">
        <v>1013</v>
      </c>
      <c r="J55" s="589">
        <v>5950</v>
      </c>
      <c r="K55" s="453">
        <v>43009</v>
      </c>
      <c r="L55" s="854">
        <v>44104</v>
      </c>
      <c r="M55" s="589">
        <v>1558</v>
      </c>
      <c r="N55" s="589">
        <v>70</v>
      </c>
      <c r="O55" s="589">
        <v>242</v>
      </c>
      <c r="P55" s="589">
        <v>0</v>
      </c>
      <c r="Q55" s="542" t="s">
        <v>130</v>
      </c>
      <c r="R55" s="589">
        <v>23</v>
      </c>
      <c r="S55" s="589">
        <v>14</v>
      </c>
      <c r="T55" s="589">
        <v>56</v>
      </c>
      <c r="U55" s="589">
        <v>69</v>
      </c>
      <c r="V55" s="589"/>
      <c r="W55" s="589"/>
      <c r="X55" s="589">
        <v>40</v>
      </c>
      <c r="Y55" s="589">
        <v>33</v>
      </c>
      <c r="Z55" s="589">
        <v>52</v>
      </c>
      <c r="AA55" s="589">
        <v>22</v>
      </c>
      <c r="AB55" s="589">
        <v>0</v>
      </c>
      <c r="AC55" s="589">
        <v>30</v>
      </c>
      <c r="AD55" s="589">
        <v>5</v>
      </c>
      <c r="AE55" s="635"/>
      <c r="AF55" s="589">
        <v>263</v>
      </c>
      <c r="AG55" s="589">
        <v>361</v>
      </c>
      <c r="AH55" s="589">
        <v>6</v>
      </c>
      <c r="AI55" s="534">
        <v>0.05</v>
      </c>
      <c r="AJ55" s="589">
        <v>332</v>
      </c>
      <c r="AK55" s="534">
        <v>0.93</v>
      </c>
      <c r="AL55" s="534">
        <v>0.04</v>
      </c>
      <c r="AM55" s="534">
        <v>0.74</v>
      </c>
      <c r="AN55" s="534">
        <v>0.74</v>
      </c>
      <c r="AO55" s="589">
        <v>4</v>
      </c>
      <c r="AP55" s="589"/>
      <c r="AQ55" s="589">
        <v>11</v>
      </c>
      <c r="AR55" s="589" t="s">
        <v>42</v>
      </c>
      <c r="AS55" s="648"/>
      <c r="AT55" s="589">
        <v>354</v>
      </c>
      <c r="AU55" s="589">
        <v>2672</v>
      </c>
      <c r="AV55" s="589">
        <v>1001</v>
      </c>
      <c r="AW55" s="589">
        <v>798</v>
      </c>
      <c r="AX55" s="589">
        <v>1013</v>
      </c>
      <c r="AY55" s="589">
        <v>2192</v>
      </c>
      <c r="AZ55" s="534"/>
      <c r="BA55" s="534"/>
      <c r="BB55" s="534"/>
      <c r="BC55" s="534">
        <v>0.67</v>
      </c>
      <c r="BD55" s="855"/>
      <c r="BE55" s="534"/>
      <c r="BF55" s="534"/>
      <c r="BG55" s="589">
        <v>0.12</v>
      </c>
      <c r="BH55" s="534">
        <v>0.64</v>
      </c>
      <c r="BI55" s="534">
        <f>WWWW[[#This Row],[Cases of Acute watery diarrhea]]/WWWW[[#This Row],[Total consultations]]</f>
        <v>1.1220196353436185E-2</v>
      </c>
      <c r="BJ55" s="535"/>
      <c r="BK55" s="648"/>
      <c r="BL55" s="648"/>
      <c r="BM55" s="536">
        <f>IFERROR(WWWW[[#This Row],['#_Water samples _passed_at_water source]]/WWWW[[#This Row],['#_Water samples_Tested_at_water_source]],"no test")</f>
        <v>0.82499999999999996</v>
      </c>
      <c r="BN55" s="534">
        <f>IFERROR(WWWW[[#This Row],['#_Water samples _passed_at_HH]]/WWWW[[#This Row],['#_Water samples_Tested_at_HH]],"no test")</f>
        <v>0.42307692307692307</v>
      </c>
      <c r="BO55" s="535" t="str">
        <f>IF(AND(WWWW[[#This Row],[%of Water samples which passed at water source]]="no test",WWWW[[#This Row],[%Water samples which passed at HH]]="no test"),"No Test","Tested")</f>
        <v>Tested</v>
      </c>
      <c r="BP55" s="536">
        <f>IF(WWWW[[#This Row],[Total PoP ]]="","",IF(((WWWW[[#This Row],['#_Functional_improved_water_source]]*500)+(WWWW[[#This Row],['#_litres_of_water_supplied_by_existing_water_boating/trucking ]]/90/15)+(WWWW[[#This Row],['#_Functional_water_point_at_TLS/CFS]]*500))/WWWW[[#This Row],[Total PoP ]]&gt;1,1,((WWWW[[#This Row],['#_Functional_improved_water_source]]*500)+(WWWW[[#This Row],['#_litres_of_water_supplied_by_existing_water_boating/trucking ]]/90/15)+(WWWW[[#This Row],['#_Functional_water_point_at_TLS/CFS]]*500))/WWWW[[#This Row],[Total PoP ]]))</f>
        <v>1</v>
      </c>
      <c r="BQ55" s="542">
        <f>WWWW[[#This Row],[Access to safe/improved water through improved water sources]]*WWWW[[#This Row],[Total PoP ]]</f>
        <v>5950</v>
      </c>
      <c r="BR55" s="536">
        <f>IF((WWWW[[#This Row],['#_litres_of_water_stored_in_ponds]]/90/15)/WWWW[[#This Row],[Total PoP ]]&gt;1,1,(WWWW[[#This Row],['#_litres_of_water_stored_in_ponds]]/90/15)/WWWW[[#This Row],[Total PoP ]])</f>
        <v>0</v>
      </c>
      <c r="BS55" s="542">
        <f>WWWW[[#This Row],[% Access to unimproved water points]]*WWWW[[#This Row],[Total PoP ]]</f>
        <v>0</v>
      </c>
      <c r="BT55" s="536">
        <f>IF(WWWW[[#This Row],[Access to safe/improved water through improved water sources]]+WWWW[[#This Row],[% Access to unimproved water points]]&gt;1,1,WWWW[[#This Row],[Access to safe/improved water through improved water sources]]+WWWW[[#This Row],[% Access to unimproved water points]])</f>
        <v>1</v>
      </c>
      <c r="BU55" s="542">
        <f>IF(WWWW[[#This Row],['# people with equitable and continuous access to sufficient quantity of safe drinking water]]+WWWW[[#This Row],['#People access to unimproved water sources]]&gt;WWWW[[#This Row],[Total PoP ]],WWWW[[#This Row],[Total PoP ]],WWWW[[#This Row],['# people with equitable and continuous access to sufficient quantity of safe drinking water]]+WWWW[[#This Row],['#People access to unimproved water sources]])</f>
        <v>5950</v>
      </c>
      <c r="BV55" s="542">
        <f>WWWW[[#This Row],[HRP1]]/500</f>
        <v>11.9</v>
      </c>
      <c r="BW55" s="533">
        <f>1-WWWW[[#This Row],[% HRP1]]</f>
        <v>0</v>
      </c>
      <c r="BX55" s="542">
        <f>WWWW[[#This Row],[%equitable and continuous access to sufficient quantity of safe drinking and domestic water''s GAP]]*WWWW[[#This Row],[Total PoP ]]</f>
        <v>0</v>
      </c>
      <c r="BY55" s="535">
        <f>ROUND(IF(WWWW[[#This Row],[Total PoP ]]&lt;500,1,WWWW[[#This Row],[Total PoP ]]/500),0)</f>
        <v>12</v>
      </c>
      <c r="BZ55" s="535">
        <f>IF(WWWW[[#This Row],[Total required water points]]-WWWW[[#This Row],['#Water points coverage]]&lt;0,0,WWWW[[#This Row],[Total required water points]]-WWWW[[#This Row],['#Water points coverage]])</f>
        <v>9.9999999999999645E-2</v>
      </c>
      <c r="CA55" s="536">
        <f>WWWW[[#This Row],[HRP2]]/WWWW[[#This Row],[Total PoP ]]</f>
        <v>0.98991596638655466</v>
      </c>
      <c r="CB55" s="542">
        <f>IF(WWWW[[#This Row],[Total PoP ]]="",0,IF(((WWWW[[#This Row],['#_Functional_adult_latrines]]*20)+(WWWW[[#This Row],['#_of_functional_children_latrines]]*20)+WWWW[[#This Row],['#_of_PWD_with_adapted_sanitation_option]]+(WWWW[[#This Row],['#_of_latrines_in_TLS/CFS]]*50))&gt;WWWW[[#This Row],[Total PoP ]],WWWW[[#This Row],[Total PoP ]],((WWWW[[#This Row],['#_Functional_adult_latrines]]*20)+(WWWW[[#This Row],['#_of_functional_children_latrines]]*20)+WWWW[[#This Row],['#_of_PWD_with_adapted_sanitation_option]]+(WWWW[[#This Row],['#_of_latrines_in_TLS/CFS]]*50))))</f>
        <v>5890</v>
      </c>
      <c r="CC55" s="535">
        <f>IF(WWWW[[#This Row],['#_of_latrines_in_TLS/CFS]]*50&gt;WWWW[[#This Row],['#_students at TLS_CFS]],WWWW[[#This Row],['#_students at TLS_CFS]],WWWW[[#This Row],['#_of_latrines_in_TLS/CFS]]*50)</f>
        <v>550</v>
      </c>
      <c r="CD55" s="535">
        <f>ROUND(IF(WWWW[[#This Row],[Location Type 1]]="camp",WWWW[[#This Row],[Total PoP ]]/20),0)</f>
        <v>298</v>
      </c>
      <c r="CE55" s="535">
        <f>IF(WWWW[[#This Row],[Total required Latrines]]-WWWW[[#This Row],['#_Existing_latrines]]&lt;0,0,WWWW[[#This Row],[Total required Latrines]]-WWWW[[#This Row],['#_Existing_latrines]])</f>
        <v>0</v>
      </c>
      <c r="CF55" s="533">
        <f>1-WWWW[[#This Row],[% HRP2]]</f>
        <v>1.0084033613445342E-2</v>
      </c>
      <c r="CG55" s="536">
        <f>IF(WWWW[[#This Row],['#_Existing_latrines]]="","NA",(WWWW[[#This Row],['#_Existing_latrines]]-WWWW[[#This Row],['#_Functional_adult_latrines]])/WWWW[[#This Row],['#_Existing_latrines]])</f>
        <v>0.27146814404432135</v>
      </c>
      <c r="CH55" s="542">
        <f>IF(WWWW[[#This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Row],[_'#_of_Girls_receiving_consultation_hygiene_promotion_messages_and_sessions]]&gt;WWWW[[#This Row],[Total PoP ]],WWWW[[#This Row],[Total PoP ]],WWWW[[#This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f>
        <v>4825</v>
      </c>
      <c r="CI55" s="535">
        <f>IF(WWWW[[#This Row],['#_of_affected_households_receiving_a_sufficient_quantity_of_soap]]=0,0,IF(WWWW[[#This Row],['#_of_affected_households_receiving_a_sufficient_quantity_of_soap]]&gt;=WWWW[[#This Row],[Total HH]],WWWW[[#This Row],[Total PoP ]],IF(WWWW[[#This Row],['#_of_affected_households_receiving_a_sufficient_quantity_of_soap]]*5&gt;WWWW[[#This Row],[Total PoP ]],WWWW[[#This Row],[Total PoP ]],WWWW[[#This Row],['#_of_affected_households_receiving_a_sufficient_quantity_of_soap]]*5)))</f>
        <v>5950</v>
      </c>
      <c r="CJ55" s="535">
        <f>IF(WWWW[[#This Row],['#_of_affected_women_and_girls_receiving_a_sufficient_quantity_of_sanitary_pads]]&gt;WWWW[[#This Row],[Total PoP ]],WWWW[[#This Row],[Total PoP ]],WWWW[[#This Row],['#_of_affected_women_and_girls_receiving_a_sufficient_quantity_of_sanitary_pads]])</f>
        <v>2192</v>
      </c>
      <c r="CK55" s="535">
        <f>IF(WWWW[[#This Row],['# People with access to soap]]&gt;WWWW[[#This Row],['# People with access to Sanity Pads]],WWWW[[#This Row],['# People with access to soap]],WWWW[[#This Row],['# People with access to Sanity Pads]])</f>
        <v>5950</v>
      </c>
      <c r="CL55" s="535">
        <f>IF(WWWW[[#This Row],['# people reached by regular dedicated hygiene promotion_5]]&gt;WWWW[[#This Row],['# People received regular supply of hygiene items_6]],WWWW[[#This Row],['# people reached by regular dedicated hygiene promotion_5]],WWWW[[#This Row],['# People received regular supply of hygiene items_6]])</f>
        <v>5950</v>
      </c>
      <c r="CM55" s="533">
        <f>IF(WWWW[[#This Row],[HRP3]]/WWWW[[#This Row],[Total PoP ]]&gt;100%,100%,WWWW[[#This Row],[HRP3]]/WWWW[[#This Row],[Total PoP ]])</f>
        <v>1</v>
      </c>
      <c r="CN55" s="536">
        <f>1-WWWW[[#This Row],[Hygiene Coverage%]]</f>
        <v>0</v>
      </c>
      <c r="CO55" s="534">
        <f>WWWW[[#This Row],['# people reached by regular dedicated hygiene promotion_5]]/WWWW[[#This Row],[Total PoP ]]</f>
        <v>0.81092436974789917</v>
      </c>
      <c r="CP55" s="536">
        <f>IF(WWWW[[#This Row],['#_of_affected_households_receiving_a_sufficient_quantity_of_soap]]/WWWW[[#This Row],[Total HH]]&gt;1,1,WWWW[[#This Row],['#_of_affected_households_receiving_a_sufficient_quantity_of_soap]]/WWWW[[#This Row],[Total HH]])</f>
        <v>1</v>
      </c>
      <c r="CQ55" s="542" t="str">
        <f>IF(WWWW[[#This Row],['#_students at TLS_CFS]]="","No","Yes")</f>
        <v>Yes</v>
      </c>
      <c r="CR55" s="534"/>
      <c r="CS55" s="537" t="str">
        <f>VLOOKUP(WWWW[[#This Row],[Site Name]],SiteDB6[[Site Name]:[CCCM Management]],6,FALSE)</f>
        <v>Yes</v>
      </c>
      <c r="CT55" s="537">
        <f>VLOOKUP(WWWW[[#This Row],[Site Name]],SiteDB6[[Site Name]:[CCCM Focal Agency]],7,FALSE)</f>
        <v>0</v>
      </c>
      <c r="CU55" s="537" t="str">
        <f>VLOOKUP(WWWW[[#This Row],[Site Name]],SiteDB6[[Site Name]:[Location Type 1]],9,FALSE)</f>
        <v>Camp</v>
      </c>
      <c r="CV55" s="537" t="str">
        <f>VLOOKUP(WWWW[[#This Row],[Site Name]],SiteDB6[[Site Name]:[Type of Accommodation]],10,FALSE)</f>
        <v>Planned Camp</v>
      </c>
      <c r="CW55" s="537" t="str">
        <f>VLOOKUP(WWWW[[#This Row],[Site Name]],SiteDB6[[Site Name]:[Ethnic or GCA/NGCA]],11,FALSE)</f>
        <v>Muslim</v>
      </c>
      <c r="CX55" s="537">
        <f>VLOOKUP(WWWW[[#This Row],[Site Name]],SiteDB6[[Site Name]:[Lat]],12,FALSE)</f>
        <v>20.179939999999998</v>
      </c>
      <c r="CY55" s="537">
        <f>VLOOKUP(WWWW[[#This Row],[Site Name]],SiteDB6[[Site Name]:[Long]],13,FALSE)</f>
        <v>92.831879000000001</v>
      </c>
      <c r="CZ55" s="537" t="str">
        <f>VLOOKUP(WWWW[[#This Row],[Site Name]],SiteDB6[[Site Name]:[Pcode]],3,FALSE)</f>
        <v>MMR012CMP048</v>
      </c>
      <c r="DA55" s="564" t="str">
        <f t="shared" si="1"/>
        <v>Covered</v>
      </c>
      <c r="DB55" s="564">
        <f>VLOOKUP(WWWW[[#This Row],[Site Name]],SiteDB6[[Site Name]:[PWD_Total]],22,FALSE)</f>
        <v>111</v>
      </c>
      <c r="DC55" s="564">
        <f>VLOOKUP(WWWW[[#This Row],[Site Name]],SiteDB6[[Site Name]:[PWD_Total]],23,FALSE)</f>
        <v>853</v>
      </c>
      <c r="DD55" s="564">
        <f>VLOOKUP(WWWW[[#This Row],[Site Name]],SiteDB6[[Site Name]:[PWD_Total]],24,FALSE)</f>
        <v>964</v>
      </c>
      <c r="DE55" s="537"/>
      <c r="DF55" s="564">
        <v>713</v>
      </c>
      <c r="DG55" s="564">
        <v>8</v>
      </c>
      <c r="DH55" s="564">
        <v>0</v>
      </c>
    </row>
    <row r="56" spans="1:112" hidden="1">
      <c r="A56" s="590" t="s">
        <v>2388</v>
      </c>
      <c r="B56" s="590" t="s">
        <v>2702</v>
      </c>
      <c r="C56" s="450" t="s">
        <v>2307</v>
      </c>
      <c r="D56" s="450" t="s">
        <v>41</v>
      </c>
      <c r="E56" s="532" t="s">
        <v>2706</v>
      </c>
      <c r="F56" s="450" t="s">
        <v>299</v>
      </c>
      <c r="G56" s="532" t="str">
        <f>VLOOKUP(WWWW[[#This Row],[Site Name]],SiteDB6[[Site Name]:[Location Type]],8,FALSE)</f>
        <v>Camp</v>
      </c>
      <c r="H56" s="450" t="s">
        <v>432</v>
      </c>
      <c r="I56" s="589">
        <v>299</v>
      </c>
      <c r="J56" s="589">
        <v>1670</v>
      </c>
      <c r="K56" s="453">
        <v>43009</v>
      </c>
      <c r="L56" s="854">
        <v>44104</v>
      </c>
      <c r="M56" s="589">
        <v>870</v>
      </c>
      <c r="N56" s="589"/>
      <c r="O56" s="589">
        <v>18</v>
      </c>
      <c r="P56" s="589">
        <v>0</v>
      </c>
      <c r="Q56" s="542" t="s">
        <v>130</v>
      </c>
      <c r="R56" s="589">
        <v>6</v>
      </c>
      <c r="S56" s="589"/>
      <c r="T56" s="589"/>
      <c r="U56" s="589"/>
      <c r="V56" s="589"/>
      <c r="W56" s="589"/>
      <c r="X56" s="589"/>
      <c r="Y56" s="589"/>
      <c r="Z56" s="589"/>
      <c r="AA56" s="589"/>
      <c r="AB56" s="589">
        <v>0</v>
      </c>
      <c r="AC56" s="589">
        <v>30</v>
      </c>
      <c r="AD56" s="589">
        <v>6</v>
      </c>
      <c r="AE56" s="635"/>
      <c r="AF56" s="589"/>
      <c r="AG56" s="589"/>
      <c r="AH56" s="589"/>
      <c r="AI56" s="534"/>
      <c r="AJ56" s="589"/>
      <c r="AK56" s="534"/>
      <c r="AL56" s="534"/>
      <c r="AM56" s="534"/>
      <c r="AN56" s="534"/>
      <c r="AO56" s="589">
        <v>0</v>
      </c>
      <c r="AP56" s="589"/>
      <c r="AQ56" s="589"/>
      <c r="AR56" s="589" t="s">
        <v>130</v>
      </c>
      <c r="AS56" s="648"/>
      <c r="AT56" s="589">
        <v>48</v>
      </c>
      <c r="AU56" s="589">
        <v>550</v>
      </c>
      <c r="AV56" s="589">
        <v>616</v>
      </c>
      <c r="AW56" s="589">
        <v>740</v>
      </c>
      <c r="AX56" s="589">
        <v>299</v>
      </c>
      <c r="AY56" s="589">
        <v>738</v>
      </c>
      <c r="AZ56" s="534"/>
      <c r="BA56" s="534"/>
      <c r="BB56" s="534"/>
      <c r="BC56" s="403">
        <v>0.5</v>
      </c>
      <c r="BD56" s="855"/>
      <c r="BE56" s="534"/>
      <c r="BF56" s="534"/>
      <c r="BG56" s="589"/>
      <c r="BH56" s="534"/>
      <c r="BI56" s="534">
        <f>WWWW[[#This Row],[Cases of Acute watery diarrhea]]/WWWW[[#This Row],[Total consultations]]</f>
        <v>0</v>
      </c>
      <c r="BJ56" s="535"/>
      <c r="BK56" s="648"/>
      <c r="BL56" s="648"/>
      <c r="BM56" s="536" t="str">
        <f>IFERROR(WWWW[[#This Row],['#_Water samples _passed_at_water source]]/WWWW[[#This Row],['#_Water samples_Tested_at_water_source]],"no test")</f>
        <v>no test</v>
      </c>
      <c r="BN56" s="534" t="str">
        <f>IFERROR(WWWW[[#This Row],['#_Water samples _passed_at_HH]]/WWWW[[#This Row],['#_Water samples_Tested_at_HH]],"no test")</f>
        <v>no test</v>
      </c>
      <c r="BO56" s="535" t="str">
        <f>IF(AND(WWWW[[#This Row],[%of Water samples which passed at water source]]="no test",WWWW[[#This Row],[%Water samples which passed at HH]]="no test"),"No Test","Tested")</f>
        <v>No Test</v>
      </c>
      <c r="BP56" s="536">
        <f>IF(WWWW[[#This Row],[Total PoP ]]="","",IF(((WWWW[[#This Row],['#_Functional_improved_water_source]]*500)+(WWWW[[#This Row],['#_litres_of_water_supplied_by_existing_water_boating/trucking ]]/90/15)+(WWWW[[#This Row],['#_Functional_water_point_at_TLS/CFS]]*500))/WWWW[[#This Row],[Total PoP ]]&gt;1,1,((WWWW[[#This Row],['#_Functional_improved_water_source]]*500)+(WWWW[[#This Row],['#_litres_of_water_supplied_by_existing_water_boating/trucking ]]/90/15)+(WWWW[[#This Row],['#_Functional_water_point_at_TLS/CFS]]*500))/WWWW[[#This Row],[Total PoP ]]))</f>
        <v>1</v>
      </c>
      <c r="BQ56" s="542">
        <f>WWWW[[#This Row],[Access to safe/improved water through improved water sources]]*WWWW[[#This Row],[Total PoP ]]</f>
        <v>1670</v>
      </c>
      <c r="BR56" s="536">
        <f>IF((WWWW[[#This Row],['#_litres_of_water_stored_in_ponds]]/90/15)/WWWW[[#This Row],[Total PoP ]]&gt;1,1,(WWWW[[#This Row],['#_litres_of_water_stored_in_ponds]]/90/15)/WWWW[[#This Row],[Total PoP ]])</f>
        <v>0</v>
      </c>
      <c r="BS56" s="542">
        <f>WWWW[[#This Row],[% Access to unimproved water points]]*WWWW[[#This Row],[Total PoP ]]</f>
        <v>0</v>
      </c>
      <c r="BT56" s="536">
        <f>IF(WWWW[[#This Row],[Access to safe/improved water through improved water sources]]+WWWW[[#This Row],[% Access to unimproved water points]]&gt;1,1,WWWW[[#This Row],[Access to safe/improved water through improved water sources]]+WWWW[[#This Row],[% Access to unimproved water points]])</f>
        <v>1</v>
      </c>
      <c r="BU56" s="542">
        <f>IF(WWWW[[#This Row],['# people with equitable and continuous access to sufficient quantity of safe drinking water]]+WWWW[[#This Row],['#People access to unimproved water sources]]&gt;WWWW[[#This Row],[Total PoP ]],WWWW[[#This Row],[Total PoP ]],WWWW[[#This Row],['# people with equitable and continuous access to sufficient quantity of safe drinking water]]+WWWW[[#This Row],['#People access to unimproved water sources]])</f>
        <v>1670</v>
      </c>
      <c r="BV56" s="542">
        <f>WWWW[[#This Row],[HRP1]]/500</f>
        <v>3.34</v>
      </c>
      <c r="BW56" s="533">
        <f>1-WWWW[[#This Row],[% HRP1]]</f>
        <v>0</v>
      </c>
      <c r="BX56" s="542">
        <f>WWWW[[#This Row],[%equitable and continuous access to sufficient quantity of safe drinking and domestic water''s GAP]]*WWWW[[#This Row],[Total PoP ]]</f>
        <v>0</v>
      </c>
      <c r="BY56" s="535">
        <f>ROUND(IF(WWWW[[#This Row],[Total PoP ]]&lt;500,1,WWWW[[#This Row],[Total PoP ]]/500),0)</f>
        <v>3</v>
      </c>
      <c r="BZ56" s="535">
        <f>IF(WWWW[[#This Row],[Total required water points]]-WWWW[[#This Row],['#Water points coverage]]&lt;0,0,WWWW[[#This Row],[Total required water points]]-WWWW[[#This Row],['#Water points coverage]])</f>
        <v>0</v>
      </c>
      <c r="CA56" s="536">
        <f>WWWW[[#This Row],[HRP2]]/WWWW[[#This Row],[Total PoP ]]</f>
        <v>0</v>
      </c>
      <c r="CB56" s="542">
        <f>IF(WWWW[[#This Row],[Total PoP ]]="",0,IF(((WWWW[[#This Row],['#_Functional_adult_latrines]]*20)+(WWWW[[#This Row],['#_of_functional_children_latrines]]*20)+WWWW[[#This Row],['#_of_PWD_with_adapted_sanitation_option]]+(WWWW[[#This Row],['#_of_latrines_in_TLS/CFS]]*50))&gt;WWWW[[#This Row],[Total PoP ]],WWWW[[#This Row],[Total PoP ]],((WWWW[[#This Row],['#_Functional_adult_latrines]]*20)+(WWWW[[#This Row],['#_of_functional_children_latrines]]*20)+WWWW[[#This Row],['#_of_PWD_with_adapted_sanitation_option]]+(WWWW[[#This Row],['#_of_latrines_in_TLS/CFS]]*50))))</f>
        <v>0</v>
      </c>
      <c r="CC56" s="535">
        <f>IF(WWWW[[#This Row],['#_of_latrines_in_TLS/CFS]]*50&gt;WWWW[[#This Row],['#_students at TLS_CFS]],WWWW[[#This Row],['#_students at TLS_CFS]],WWWW[[#This Row],['#_of_latrines_in_TLS/CFS]]*50)</f>
        <v>0</v>
      </c>
      <c r="CD56" s="535">
        <f>ROUND(IF(WWWW[[#This Row],[Location Type 1]]="camp",WWWW[[#This Row],[Total PoP ]]/20),0)</f>
        <v>84</v>
      </c>
      <c r="CE56" s="535">
        <f>IF(WWWW[[#This Row],[Total required Latrines]]-WWWW[[#This Row],['#_Existing_latrines]]&lt;0,0,WWWW[[#This Row],[Total required Latrines]]-WWWW[[#This Row],['#_Existing_latrines]])</f>
        <v>84</v>
      </c>
      <c r="CF56" s="533">
        <f>1-WWWW[[#This Row],[% HRP2]]</f>
        <v>1</v>
      </c>
      <c r="CG56" s="536" t="str">
        <f>IF(WWWW[[#This Row],['#_Existing_latrines]]="","NA",(WWWW[[#This Row],['#_Existing_latrines]]-WWWW[[#This Row],['#_Functional_adult_latrines]])/WWWW[[#This Row],['#_Existing_latrines]])</f>
        <v>NA</v>
      </c>
      <c r="CH56" s="542">
        <f>IF(WWWW[[#This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Row],[_'#_of_Girls_receiving_consultation_hygiene_promotion_messages_and_sessions]]&gt;WWWW[[#This Row],[Total PoP ]],WWWW[[#This Row],[Total PoP ]],WWWW[[#This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f>
        <v>1670</v>
      </c>
      <c r="CI56" s="535">
        <f>IF(WWWW[[#This Row],['#_of_affected_households_receiving_a_sufficient_quantity_of_soap]]=0,0,IF(WWWW[[#This Row],['#_of_affected_households_receiving_a_sufficient_quantity_of_soap]]&gt;=WWWW[[#This Row],[Total HH]],WWWW[[#This Row],[Total PoP ]],IF(WWWW[[#This Row],['#_of_affected_households_receiving_a_sufficient_quantity_of_soap]]*5&gt;WWWW[[#This Row],[Total PoP ]],WWWW[[#This Row],[Total PoP ]],WWWW[[#This Row],['#_of_affected_households_receiving_a_sufficient_quantity_of_soap]]*5)))</f>
        <v>1670</v>
      </c>
      <c r="CJ56" s="535">
        <f>IF(WWWW[[#This Row],['#_of_affected_women_and_girls_receiving_a_sufficient_quantity_of_sanitary_pads]]&gt;WWWW[[#This Row],[Total PoP ]],WWWW[[#This Row],[Total PoP ]],WWWW[[#This Row],['#_of_affected_women_and_girls_receiving_a_sufficient_quantity_of_sanitary_pads]])</f>
        <v>738</v>
      </c>
      <c r="CK56" s="535">
        <f>IF(WWWW[[#This Row],['# People with access to soap]]&gt;WWWW[[#This Row],['# People with access to Sanity Pads]],WWWW[[#This Row],['# People with access to soap]],WWWW[[#This Row],['# People with access to Sanity Pads]])</f>
        <v>1670</v>
      </c>
      <c r="CL56" s="535">
        <f>IF(WWWW[[#This Row],['# people reached by regular dedicated hygiene promotion_5]]&gt;WWWW[[#This Row],['# People received regular supply of hygiene items_6]],WWWW[[#This Row],['# people reached by regular dedicated hygiene promotion_5]],WWWW[[#This Row],['# People received regular supply of hygiene items_6]])</f>
        <v>1670</v>
      </c>
      <c r="CM56" s="533">
        <f>IF(WWWW[[#This Row],[HRP3]]/WWWW[[#This Row],[Total PoP ]]&gt;100%,100%,WWWW[[#This Row],[HRP3]]/WWWW[[#This Row],[Total PoP ]])</f>
        <v>1</v>
      </c>
      <c r="CN56" s="536">
        <f>1-WWWW[[#This Row],[Hygiene Coverage%]]</f>
        <v>0</v>
      </c>
      <c r="CO56" s="534">
        <f>WWWW[[#This Row],['# people reached by regular dedicated hygiene promotion_5]]/WWWW[[#This Row],[Total PoP ]]</f>
        <v>1</v>
      </c>
      <c r="CP56" s="536">
        <f>IF(WWWW[[#This Row],['#_of_affected_households_receiving_a_sufficient_quantity_of_soap]]/WWWW[[#This Row],[Total HH]]&gt;1,1,WWWW[[#This Row],['#_of_affected_households_receiving_a_sufficient_quantity_of_soap]]/WWWW[[#This Row],[Total HH]])</f>
        <v>1</v>
      </c>
      <c r="CQ56" s="542" t="str">
        <f>IF(WWWW[[#This Row],['#_students at TLS_CFS]]="","No","Yes")</f>
        <v>Yes</v>
      </c>
      <c r="CR56" s="534"/>
      <c r="CS56" s="537" t="str">
        <f>VLOOKUP(WWWW[[#This Row],[Site Name]],SiteDB6[[Site Name]:[CCCM Management]],6,FALSE)</f>
        <v>Yes</v>
      </c>
      <c r="CT56" s="537">
        <f>VLOOKUP(WWWW[[#This Row],[Site Name]],SiteDB6[[Site Name]:[CCCM Focal Agency]],7,FALSE)</f>
        <v>0</v>
      </c>
      <c r="CU56" s="537" t="str">
        <f>VLOOKUP(WWWW[[#This Row],[Site Name]],SiteDB6[[Site Name]:[Location Type 1]],9,FALSE)</f>
        <v>Camp</v>
      </c>
      <c r="CV56" s="537" t="str">
        <f>VLOOKUP(WWWW[[#This Row],[Site Name]],SiteDB6[[Site Name]:[Type of Accommodation]],10,FALSE)</f>
        <v>Host Families</v>
      </c>
      <c r="CW56" s="537" t="str">
        <f>VLOOKUP(WWWW[[#This Row],[Site Name]],SiteDB6[[Site Name]:[Ethnic or GCA/NGCA]],11,FALSE)</f>
        <v>Muslim</v>
      </c>
      <c r="CX56" s="537">
        <f>VLOOKUP(WWWW[[#This Row],[Site Name]],SiteDB6[[Site Name]:[Lat]],12,FALSE)</f>
        <v>20.181742</v>
      </c>
      <c r="CY56" s="537">
        <f>VLOOKUP(WWWW[[#This Row],[Site Name]],SiteDB6[[Site Name]:[Long]],13,FALSE)</f>
        <v>92.842230000000001</v>
      </c>
      <c r="CZ56" s="537" t="str">
        <f>VLOOKUP(WWWW[[#This Row],[Site Name]],SiteDB6[[Site Name]:[Pcode]],3,FALSE)</f>
        <v>MMR012CMP091</v>
      </c>
      <c r="DA56" s="564" t="str">
        <f t="shared" si="1"/>
        <v>Covered</v>
      </c>
      <c r="DB56" s="564">
        <f>VLOOKUP(WWWW[[#This Row],[Site Name]],SiteDB6[[Site Name]:[PWD_Total]],22,FALSE)</f>
        <v>0</v>
      </c>
      <c r="DC56" s="564">
        <f>VLOOKUP(WWWW[[#This Row],[Site Name]],SiteDB6[[Site Name]:[PWD_Total]],23,FALSE)</f>
        <v>0</v>
      </c>
      <c r="DD56" s="564">
        <f>VLOOKUP(WWWW[[#This Row],[Site Name]],SiteDB6[[Site Name]:[PWD_Total]],24,FALSE)</f>
        <v>0</v>
      </c>
      <c r="DE56" s="537"/>
      <c r="DF56" s="564">
        <v>255</v>
      </c>
      <c r="DG56" s="564">
        <v>0</v>
      </c>
      <c r="DH56" s="564">
        <v>0</v>
      </c>
    </row>
    <row r="57" spans="1:112" ht="38.25">
      <c r="A57" s="590" t="s">
        <v>2389</v>
      </c>
      <c r="B57" s="873" t="s">
        <v>270</v>
      </c>
      <c r="C57" s="944" t="s">
        <v>270</v>
      </c>
      <c r="D57" s="944" t="s">
        <v>2293</v>
      </c>
      <c r="E57" s="945" t="s">
        <v>2706</v>
      </c>
      <c r="F57" s="944" t="s">
        <v>406</v>
      </c>
      <c r="G57" s="874" t="str">
        <f>VLOOKUP(WWWW[[#This Row],[Site Name]],SiteDB6[[Site Name]:[Location Type]],8,FALSE)</f>
        <v>Camp</v>
      </c>
      <c r="H57" s="944" t="s">
        <v>416</v>
      </c>
      <c r="I57" s="589">
        <v>1112</v>
      </c>
      <c r="J57" s="589">
        <v>4836</v>
      </c>
      <c r="K57" s="876">
        <v>43374</v>
      </c>
      <c r="L57" s="877">
        <v>44012</v>
      </c>
      <c r="M57" s="875">
        <v>965</v>
      </c>
      <c r="N57" s="875"/>
      <c r="O57" s="875"/>
      <c r="P57" s="875">
        <v>45</v>
      </c>
      <c r="Q57" s="878" t="s">
        <v>42</v>
      </c>
      <c r="R57" s="589">
        <v>11</v>
      </c>
      <c r="S57" s="589">
        <v>2</v>
      </c>
      <c r="T57" s="589">
        <v>5</v>
      </c>
      <c r="U57" s="875">
        <v>5</v>
      </c>
      <c r="V57" s="875">
        <v>0</v>
      </c>
      <c r="W57" s="589">
        <v>15119511</v>
      </c>
      <c r="X57" s="589">
        <v>184</v>
      </c>
      <c r="Y57" s="589">
        <v>184</v>
      </c>
      <c r="Z57" s="589">
        <v>21</v>
      </c>
      <c r="AA57" s="589">
        <v>15</v>
      </c>
      <c r="AB57" s="875"/>
      <c r="AC57" s="875"/>
      <c r="AD57" s="875"/>
      <c r="AE57" s="879"/>
      <c r="AF57" s="589">
        <v>172</v>
      </c>
      <c r="AG57" s="589">
        <v>185</v>
      </c>
      <c r="AH57" s="875"/>
      <c r="AI57" s="880"/>
      <c r="AJ57" s="875"/>
      <c r="AK57" s="880"/>
      <c r="AL57" s="880"/>
      <c r="AM57" s="880"/>
      <c r="AN57" s="880"/>
      <c r="AO57" s="875">
        <v>26</v>
      </c>
      <c r="AP57" s="875">
        <v>69</v>
      </c>
      <c r="AQ57" s="875">
        <v>12</v>
      </c>
      <c r="AR57" s="875" t="s">
        <v>42</v>
      </c>
      <c r="AS57" s="881"/>
      <c r="AT57" s="589">
        <v>991</v>
      </c>
      <c r="AU57" s="589">
        <v>1139</v>
      </c>
      <c r="AV57" s="589">
        <v>1428</v>
      </c>
      <c r="AW57" s="589">
        <v>1278</v>
      </c>
      <c r="AX57" s="589">
        <v>1112</v>
      </c>
      <c r="AY57" s="589">
        <v>1112</v>
      </c>
      <c r="AZ57" s="589"/>
      <c r="BA57" s="534">
        <v>0.68</v>
      </c>
      <c r="BB57" s="589">
        <v>0</v>
      </c>
      <c r="BC57" s="534">
        <v>0</v>
      </c>
      <c r="BD57" s="889" t="s">
        <v>3212</v>
      </c>
      <c r="BE57" s="534"/>
      <c r="BF57" s="534"/>
      <c r="BG57" s="589"/>
      <c r="BH57" s="534"/>
      <c r="BI57" s="589" t="e">
        <f>WWWW[[#This Row],[Cases of Acute watery diarrhea]]/WWWW[[#This Row],[Total consultations]]</f>
        <v>#DIV/0!</v>
      </c>
      <c r="BJ57" s="535" t="s">
        <v>130</v>
      </c>
      <c r="BK57" s="648" t="s">
        <v>134</v>
      </c>
      <c r="BL57" s="648" t="s">
        <v>3213</v>
      </c>
      <c r="BM57" s="883">
        <f>IFERROR(WWWW[[#This Row],['#_Water samples _passed_at_water source]]/WWWW[[#This Row],['#_Water samples_Tested_at_water_source]],"no test")</f>
        <v>1</v>
      </c>
      <c r="BN57" s="880">
        <f>IFERROR(WWWW[[#This Row],['#_Water samples _passed_at_HH]]/WWWW[[#This Row],['#_Water samples_Tested_at_HH]],"no test")</f>
        <v>0.7142857142857143</v>
      </c>
      <c r="BO57" s="884" t="str">
        <f>IF(AND(WWWW[[#This Row],[%of Water samples which passed at water source]]="no test",WWWW[[#This Row],[%Water samples which passed at HH]]="no test"),"No Test","Tested")</f>
        <v>Tested</v>
      </c>
      <c r="BP57" s="883">
        <f>IF(WWWW[[#This Row],[Total PoP ]]="","",IF(((WWWW[[#This Row],['#_Functional_improved_water_source]]*500)+(WWWW[[#This Row],['#_litres_of_water_supplied_by_existing_water_boating/trucking ]]/90/15)+(WWWW[[#This Row],['#_Functional_water_point_at_TLS/CFS]]*500))/WWWW[[#This Row],[Total PoP ]]&gt;1,1,((WWWW[[#This Row],['#_Functional_improved_water_source]]*500)+(WWWW[[#This Row],['#_litres_of_water_supplied_by_existing_water_boating/trucking ]]/90/15)+(WWWW[[#This Row],['#_Functional_water_point_at_TLS/CFS]]*500))/WWWW[[#This Row],[Total PoP ]]))</f>
        <v>0.51695616211745243</v>
      </c>
      <c r="BQ57" s="878">
        <f>WWWW[[#This Row],[Access to safe/improved water through improved water sources]]*WWWW[[#This Row],[Total PoP ]]</f>
        <v>2500</v>
      </c>
      <c r="BR57" s="883">
        <f>IF((WWWW[[#This Row],['#_litres_of_water_stored_in_ponds]]/90/15)/WWWW[[#This Row],[Total PoP ]]&gt;1,1,(WWWW[[#This Row],['#_litres_of_water_stored_in_ponds]]/90/15)/WWWW[[#This Row],[Total PoP ]])</f>
        <v>1</v>
      </c>
      <c r="BS57" s="878">
        <f>WWWW[[#This Row],[% Access to unimproved water points]]*WWWW[[#This Row],[Total PoP ]]</f>
        <v>4836</v>
      </c>
      <c r="BT57" s="883">
        <f>IF(WWWW[[#This Row],[Access to safe/improved water through improved water sources]]+WWWW[[#This Row],[% Access to unimproved water points]]&gt;1,1,WWWW[[#This Row],[Access to safe/improved water through improved water sources]]+WWWW[[#This Row],[% Access to unimproved water points]])</f>
        <v>1</v>
      </c>
      <c r="BU57" s="878">
        <f>IF(WWWW[[#This Row],['# people with equitable and continuous access to sufficient quantity of safe drinking water]]+WWWW[[#This Row],['#People access to unimproved water sources]]&gt;WWWW[[#This Row],[Total PoP ]],WWWW[[#This Row],[Total PoP ]],WWWW[[#This Row],['# people with equitable and continuous access to sufficient quantity of safe drinking water]]+WWWW[[#This Row],['#People access to unimproved water sources]])</f>
        <v>4836</v>
      </c>
      <c r="BV57" s="878">
        <f>WWWW[[#This Row],[HRP1]]/500</f>
        <v>9.6720000000000006</v>
      </c>
      <c r="BW57" s="885">
        <f>1-WWWW[[#This Row],[% HRP1]]</f>
        <v>0</v>
      </c>
      <c r="BX57" s="878">
        <f>WWWW[[#This Row],[%equitable and continuous access to sufficient quantity of safe drinking and domestic water''s GAP]]*WWWW[[#This Row],[Total PoP ]]</f>
        <v>0</v>
      </c>
      <c r="BY57" s="535">
        <f>ROUND(IF(WWWW[[#This Row],[Total PoP ]]&lt;500,1,WWWW[[#This Row],[Total PoP ]]/500),0)</f>
        <v>10</v>
      </c>
      <c r="BZ57" s="884">
        <f>IF(WWWW[[#This Row],[Total required water points]]-WWWW[[#This Row],['#Water points coverage]]&lt;0,0,WWWW[[#This Row],[Total required water points]]-WWWW[[#This Row],['#Water points coverage]])</f>
        <v>0.3279999999999994</v>
      </c>
      <c r="CA57" s="536">
        <f>WWWW[[#This Row],[HRP2]]/WWWW[[#This Row],[Total PoP ]]</f>
        <v>0.95719602977667495</v>
      </c>
      <c r="CB57" s="878">
        <f>IF(WWWW[[#This Row],[Total PoP ]]="",0,IF(((WWWW[[#This Row],['#_Functional_adult_latrines]]*20)+(WWWW[[#This Row],['#_of_functional_children_latrines]]*20)+WWWW[[#This Row],['#_of_PWD_with_adapted_sanitation_option]]+(WWWW[[#This Row],['#_of_latrines_in_TLS/CFS]]*50))&gt;WWWW[[#This Row],[Total PoP ]],WWWW[[#This Row],[Total PoP ]],((WWWW[[#This Row],['#_Functional_adult_latrines]]*20)+(WWWW[[#This Row],['#_of_functional_children_latrines]]*20)+WWWW[[#This Row],['#_of_PWD_with_adapted_sanitation_option]]+(WWWW[[#This Row],['#_of_latrines_in_TLS/CFS]]*50))))</f>
        <v>4629</v>
      </c>
      <c r="CC57" s="884">
        <f>IF(WWWW[[#This Row],['#_of_latrines_in_TLS/CFS]]*50&gt;WWWW[[#This Row],['#_students at TLS_CFS]],WWWW[[#This Row],['#_students at TLS_CFS]],WWWW[[#This Row],['#_of_latrines_in_TLS/CFS]]*50)</f>
        <v>600</v>
      </c>
      <c r="CD57" s="884">
        <f>ROUND(IF(WWWW[[#This Row],[Location Type 1]]="camp",WWWW[[#This Row],[Total PoP ]]/20),0)</f>
        <v>242</v>
      </c>
      <c r="CE57" s="884">
        <f>IF(WWWW[[#This Row],[Total required Latrines]]-WWWW[[#This Row],['#_Existing_latrines]]&lt;0,0,WWWW[[#This Row],[Total required Latrines]]-WWWW[[#This Row],['#_Existing_latrines]])</f>
        <v>57</v>
      </c>
      <c r="CF57" s="885">
        <f>1-WWWW[[#This Row],[% HRP2]]</f>
        <v>4.280397022332505E-2</v>
      </c>
      <c r="CG57" s="883">
        <f>IF(WWWW[[#This Row],['#_Existing_latrines]]="","NA",(WWWW[[#This Row],['#_Existing_latrines]]-WWWW[[#This Row],['#_Functional_adult_latrines]])/WWWW[[#This Row],['#_Existing_latrines]])</f>
        <v>7.0270270270270274E-2</v>
      </c>
      <c r="CH57" s="878">
        <f>IF(WWWW[[#This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Row],[_'#_of_Girls_receiving_consultation_hygiene_promotion_messages_and_sessions]]&gt;WWWW[[#This Row],[Total PoP ]],WWWW[[#This Row],[Total PoP ]],WWWW[[#This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f>
        <v>4836</v>
      </c>
      <c r="CI57" s="884">
        <f>IF(WWWW[[#This Row],['#_of_affected_households_receiving_a_sufficient_quantity_of_soap]]=0,0,IF(WWWW[[#This Row],['#_of_affected_households_receiving_a_sufficient_quantity_of_soap]]&gt;=WWWW[[#This Row],[Total HH]],WWWW[[#This Row],[Total PoP ]],IF(WWWW[[#This Row],['#_of_affected_households_receiving_a_sufficient_quantity_of_soap]]*5&gt;WWWW[[#This Row],[Total PoP ]],WWWW[[#This Row],[Total PoP ]],WWWW[[#This Row],['#_of_affected_households_receiving_a_sufficient_quantity_of_soap]]*5)))</f>
        <v>4836</v>
      </c>
      <c r="CJ57" s="884">
        <f>IF(WWWW[[#This Row],['#_of_affected_women_and_girls_receiving_a_sufficient_quantity_of_sanitary_pads]]&gt;WWWW[[#This Row],[Total PoP ]],WWWW[[#This Row],[Total PoP ]],WWWW[[#This Row],['#_of_affected_women_and_girls_receiving_a_sufficient_quantity_of_sanitary_pads]])</f>
        <v>1112</v>
      </c>
      <c r="CK57" s="884">
        <f>IF(WWWW[[#This Row],['# People with access to soap]]&gt;WWWW[[#This Row],['# People with access to Sanity Pads]],WWWW[[#This Row],['# People with access to soap]],WWWW[[#This Row],['# People with access to Sanity Pads]])</f>
        <v>4836</v>
      </c>
      <c r="CL57" s="884">
        <f>IF(WWWW[[#This Row],['# people reached by regular dedicated hygiene promotion_5]]&gt;WWWW[[#This Row],['# People received regular supply of hygiene items_6]],WWWW[[#This Row],['# people reached by regular dedicated hygiene promotion_5]],WWWW[[#This Row],['# People received regular supply of hygiene items_6]])</f>
        <v>4836</v>
      </c>
      <c r="CM57" s="885">
        <f>IF(WWWW[[#This Row],[HRP3]]/WWWW[[#This Row],[Total PoP ]]&gt;100%,100%,WWWW[[#This Row],[HRP3]]/WWWW[[#This Row],[Total PoP ]])</f>
        <v>1</v>
      </c>
      <c r="CN57" s="883">
        <f>1-WWWW[[#This Row],[Hygiene Coverage%]]</f>
        <v>0</v>
      </c>
      <c r="CO57" s="880">
        <f>WWWW[[#This Row],['# people reached by regular dedicated hygiene promotion_5]]/WWWW[[#This Row],[Total PoP ]]</f>
        <v>1</v>
      </c>
      <c r="CP57" s="883">
        <f>IF(WWWW[[#This Row],['#_of_affected_households_receiving_a_sufficient_quantity_of_soap]]/WWWW[[#This Row],[Total HH]]&gt;1,1,WWWW[[#This Row],['#_of_affected_households_receiving_a_sufficient_quantity_of_soap]]/WWWW[[#This Row],[Total HH]])</f>
        <v>1</v>
      </c>
      <c r="CQ57" s="542" t="str">
        <f>IF(WWWW[[#This Row],['#_students at TLS_CFS]]="","No","Yes")</f>
        <v>Yes</v>
      </c>
      <c r="CR57" s="534"/>
      <c r="CS57" s="886" t="str">
        <f>VLOOKUP(WWWW[[#This Row],[Site Name]],SiteDB6[[Site Name]:[CCCM Management]],6,FALSE)</f>
        <v>Yes</v>
      </c>
      <c r="CT57" s="886" t="str">
        <f>VLOOKUP(WWWW[[#This Row],[Site Name]],SiteDB6[[Site Name]:[CCCM Focal Agency]],7,FALSE)</f>
        <v>LWF</v>
      </c>
      <c r="CU57" s="886" t="str">
        <f>VLOOKUP(WWWW[[#This Row],[Site Name]],SiteDB6[[Site Name]:[Location Type 1]],9,FALSE)</f>
        <v>Camp</v>
      </c>
      <c r="CV57" s="886" t="str">
        <f>VLOOKUP(WWWW[[#This Row],[Site Name]],SiteDB6[[Site Name]:[Type of Accommodation]],10,FALSE)</f>
        <v>Planned Camp</v>
      </c>
      <c r="CW57" s="886" t="str">
        <f>VLOOKUP(WWWW[[#This Row],[Site Name]],SiteDB6[[Site Name]:[Ethnic or GCA/NGCA]],11,FALSE)</f>
        <v>Muslim</v>
      </c>
      <c r="CX57" s="886">
        <f>VLOOKUP(WWWW[[#This Row],[Site Name]],SiteDB6[[Site Name]:[Lat]],12,FALSE)</f>
        <v>20.108101999999999</v>
      </c>
      <c r="CY57" s="886">
        <f>VLOOKUP(WWWW[[#This Row],[Site Name]],SiteDB6[[Site Name]:[Long]],13,FALSE)</f>
        <v>92.985095000000001</v>
      </c>
      <c r="CZ57" s="886" t="str">
        <f>VLOOKUP(WWWW[[#This Row],[Site Name]],SiteDB6[[Site Name]:[Pcode]],3,FALSE)</f>
        <v>MMR012CMP016</v>
      </c>
      <c r="DA57" s="887" t="str">
        <f t="shared" ref="DA57:DA81" si="2">IF(C57="none","Notcovered","Covered")</f>
        <v>Covered</v>
      </c>
      <c r="DB57" s="564">
        <f>VLOOKUP(WWWW[[#This Row],[Site Name]],SiteDB6[[Site Name]:[PWD_Total]],22,FALSE)</f>
        <v>79</v>
      </c>
      <c r="DC57" s="564">
        <f>VLOOKUP(WWWW[[#This Row],[Site Name]],SiteDB6[[Site Name]:[PWD_Total]],23,FALSE)</f>
        <v>615</v>
      </c>
      <c r="DD57" s="564">
        <f>VLOOKUP(WWWW[[#This Row],[Site Name]],SiteDB6[[Site Name]:[PWD_Total]],24,FALSE)</f>
        <v>694</v>
      </c>
      <c r="DE57" s="886"/>
      <c r="DF57" s="887"/>
      <c r="DG57" s="887"/>
      <c r="DH57" s="887"/>
    </row>
    <row r="58" spans="1:112">
      <c r="A58" s="873" t="s">
        <v>2389</v>
      </c>
      <c r="B58" s="873" t="s">
        <v>2308</v>
      </c>
      <c r="C58" s="944" t="s">
        <v>2308</v>
      </c>
      <c r="D58" s="944" t="s">
        <v>41</v>
      </c>
      <c r="E58" s="945" t="s">
        <v>2706</v>
      </c>
      <c r="F58" s="944" t="s">
        <v>299</v>
      </c>
      <c r="G58" s="874" t="str">
        <f>VLOOKUP(WWWW[[#This Row],[Site Name]],SiteDB6[[Site Name]:[Location Type]],8,FALSE)</f>
        <v>Camp</v>
      </c>
      <c r="H58" s="944" t="s">
        <v>418</v>
      </c>
      <c r="I58" s="875">
        <v>397</v>
      </c>
      <c r="J58" s="875">
        <v>2111</v>
      </c>
      <c r="K58" s="876">
        <v>43009</v>
      </c>
      <c r="L58" s="877">
        <v>44104</v>
      </c>
      <c r="M58" s="875">
        <v>1642</v>
      </c>
      <c r="N58" s="875">
        <v>16</v>
      </c>
      <c r="O58" s="875">
        <v>35</v>
      </c>
      <c r="P58" s="875">
        <v>0</v>
      </c>
      <c r="Q58" s="878" t="s">
        <v>130</v>
      </c>
      <c r="R58" s="875">
        <v>5</v>
      </c>
      <c r="S58" s="875">
        <v>5</v>
      </c>
      <c r="T58" s="589">
        <v>22</v>
      </c>
      <c r="U58" s="875">
        <v>25</v>
      </c>
      <c r="V58" s="875"/>
      <c r="W58" s="875"/>
      <c r="X58" s="507">
        <v>20</v>
      </c>
      <c r="Y58" s="507">
        <v>19</v>
      </c>
      <c r="Z58" s="507">
        <v>38</v>
      </c>
      <c r="AA58" s="507">
        <v>26</v>
      </c>
      <c r="AB58" s="875">
        <v>0</v>
      </c>
      <c r="AC58" s="507">
        <v>395</v>
      </c>
      <c r="AD58" s="875">
        <v>9</v>
      </c>
      <c r="AE58" s="879"/>
      <c r="AF58" s="507">
        <v>113</v>
      </c>
      <c r="AG58" s="507">
        <v>120</v>
      </c>
      <c r="AH58" s="875">
        <v>9</v>
      </c>
      <c r="AI58" s="888">
        <v>0</v>
      </c>
      <c r="AJ58" s="875">
        <v>106</v>
      </c>
      <c r="AK58" s="534">
        <v>1</v>
      </c>
      <c r="AL58" s="534">
        <v>0.96</v>
      </c>
      <c r="AM58" s="534">
        <v>0.83</v>
      </c>
      <c r="AN58" s="534">
        <v>0.83</v>
      </c>
      <c r="AO58" s="875">
        <v>0</v>
      </c>
      <c r="AP58" s="875"/>
      <c r="AQ58" s="875">
        <v>18</v>
      </c>
      <c r="AR58" s="875" t="s">
        <v>42</v>
      </c>
      <c r="AS58" s="881"/>
      <c r="AT58" s="589">
        <v>20</v>
      </c>
      <c r="AU58" s="589">
        <v>143</v>
      </c>
      <c r="AV58" s="589">
        <v>442</v>
      </c>
      <c r="AW58" s="589">
        <v>336</v>
      </c>
      <c r="AX58" s="589">
        <v>382</v>
      </c>
      <c r="AY58" s="875"/>
      <c r="AZ58" s="589"/>
      <c r="BA58" s="875"/>
      <c r="BB58" s="589"/>
      <c r="BC58" s="888">
        <v>0.67</v>
      </c>
      <c r="BD58" s="882"/>
      <c r="BE58" s="534"/>
      <c r="BF58" s="534"/>
      <c r="BG58" s="507">
        <f>56%*WWWW[[#This Row],[Total PoP ]]</f>
        <v>1182.1600000000001</v>
      </c>
      <c r="BH58" s="534">
        <v>0.2</v>
      </c>
      <c r="BI58" s="589" t="e">
        <f>WWWW[[#This Row],[Cases of Acute watery diarrhea]]/WWWW[[#This Row],[Total consultations]]</f>
        <v>#DIV/0!</v>
      </c>
      <c r="BJ58" s="535"/>
      <c r="BK58" s="881"/>
      <c r="BL58" s="881"/>
      <c r="BM58" s="883">
        <f>IFERROR(WWWW[[#This Row],['#_Water samples _passed_at_water source]]/WWWW[[#This Row],['#_Water samples_Tested_at_water_source]],"no test")</f>
        <v>0.95</v>
      </c>
      <c r="BN58" s="880">
        <f>IFERROR(WWWW[[#This Row],['#_Water samples _passed_at_HH]]/WWWW[[#This Row],['#_Water samples_Tested_at_HH]],"no test")</f>
        <v>0.68421052631578949</v>
      </c>
      <c r="BO58" s="884" t="str">
        <f>IF(AND(WWWW[[#This Row],[%of Water samples which passed at water source]]="no test",WWWW[[#This Row],[%Water samples which passed at HH]]="no test"),"No Test","Tested")</f>
        <v>Tested</v>
      </c>
      <c r="BP58" s="883">
        <f>IF(WWWW[[#This Row],[Total PoP ]]="","",IF(((WWWW[[#This Row],['#_Functional_improved_water_source]]*500)+(WWWW[[#This Row],['#_litres_of_water_supplied_by_existing_water_boating/trucking ]]/90/15)+(WWWW[[#This Row],['#_Functional_water_point_at_TLS/CFS]]*500))/WWWW[[#This Row],[Total PoP ]]&gt;1,1,((WWWW[[#This Row],['#_Functional_improved_water_source]]*500)+(WWWW[[#This Row],['#_litres_of_water_supplied_by_existing_water_boating/trucking ]]/90/15)+(WWWW[[#This Row],['#_Functional_water_point_at_TLS/CFS]]*500))/WWWW[[#This Row],[Total PoP ]]))</f>
        <v>1</v>
      </c>
      <c r="BQ58" s="878">
        <f>WWWW[[#This Row],[Access to safe/improved water through improved water sources]]*WWWW[[#This Row],[Total PoP ]]</f>
        <v>2111</v>
      </c>
      <c r="BR58" s="883">
        <f>IF((WWWW[[#This Row],['#_litres_of_water_stored_in_ponds]]/90/15)/WWWW[[#This Row],[Total PoP ]]&gt;1,1,(WWWW[[#This Row],['#_litres_of_water_stored_in_ponds]]/90/15)/WWWW[[#This Row],[Total PoP ]])</f>
        <v>0</v>
      </c>
      <c r="BS58" s="878">
        <f>WWWW[[#This Row],[% Access to unimproved water points]]*WWWW[[#This Row],[Total PoP ]]</f>
        <v>0</v>
      </c>
      <c r="BT58" s="883">
        <f>IF(WWWW[[#This Row],[Access to safe/improved water through improved water sources]]+WWWW[[#This Row],[% Access to unimproved water points]]&gt;1,1,WWWW[[#This Row],[Access to safe/improved water through improved water sources]]+WWWW[[#This Row],[% Access to unimproved water points]])</f>
        <v>1</v>
      </c>
      <c r="BU58" s="878">
        <f>IF(WWWW[[#This Row],['# people with equitable and continuous access to sufficient quantity of safe drinking water]]+WWWW[[#This Row],['#People access to unimproved water sources]]&gt;WWWW[[#This Row],[Total PoP ]],WWWW[[#This Row],[Total PoP ]],WWWW[[#This Row],['# people with equitable and continuous access to sufficient quantity of safe drinking water]]+WWWW[[#This Row],['#People access to unimproved water sources]])</f>
        <v>2111</v>
      </c>
      <c r="BV58" s="878">
        <f>WWWW[[#This Row],[HRP1]]/500</f>
        <v>4.2220000000000004</v>
      </c>
      <c r="BW58" s="885">
        <f>1-WWWW[[#This Row],[% HRP1]]</f>
        <v>0</v>
      </c>
      <c r="BX58" s="878">
        <f>WWWW[[#This Row],[%equitable and continuous access to sufficient quantity of safe drinking and domestic water''s GAP]]*WWWW[[#This Row],[Total PoP ]]</f>
        <v>0</v>
      </c>
      <c r="BY58" s="535">
        <f>ROUND(IF(WWWW[[#This Row],[Total PoP ]]&lt;500,1,WWWW[[#This Row],[Total PoP ]]/500),0)</f>
        <v>4</v>
      </c>
      <c r="BZ58" s="884">
        <f>IF(WWWW[[#This Row],[Total required water points]]-WWWW[[#This Row],['#Water points coverage]]&lt;0,0,WWWW[[#This Row],[Total required water points]]-WWWW[[#This Row],['#Water points coverage]])</f>
        <v>0</v>
      </c>
      <c r="CA58" s="536">
        <f>WWWW[[#This Row],[HRP2]]/WWWW[[#This Row],[Total PoP ]]</f>
        <v>1</v>
      </c>
      <c r="CB58" s="878">
        <f>IF(WWWW[[#This Row],[Total PoP ]]="",0,IF(((WWWW[[#This Row],['#_Functional_adult_latrines]]*20)+(WWWW[[#This Row],['#_of_functional_children_latrines]]*20)+WWWW[[#This Row],['#_of_PWD_with_adapted_sanitation_option]]+(WWWW[[#This Row],['#_of_latrines_in_TLS/CFS]]*50))&gt;WWWW[[#This Row],[Total PoP ]],WWWW[[#This Row],[Total PoP ]],((WWWW[[#This Row],['#_Functional_adult_latrines]]*20)+(WWWW[[#This Row],['#_of_functional_children_latrines]]*20)+WWWW[[#This Row],['#_of_PWD_with_adapted_sanitation_option]]+(WWWW[[#This Row],['#_of_latrines_in_TLS/CFS]]*50))))</f>
        <v>2111</v>
      </c>
      <c r="CC58" s="884">
        <f>IF(WWWW[[#This Row],['#_of_latrines_in_TLS/CFS]]*50&gt;WWWW[[#This Row],['#_students at TLS_CFS]],WWWW[[#This Row],['#_students at TLS_CFS]],WWWW[[#This Row],['#_of_latrines_in_TLS/CFS]]*50)</f>
        <v>900</v>
      </c>
      <c r="CD58" s="884">
        <f>ROUND(IF(WWWW[[#This Row],[Location Type 1]]="camp",WWWW[[#This Row],[Total PoP ]]/20),0)</f>
        <v>106</v>
      </c>
      <c r="CE58" s="884">
        <f>IF(WWWW[[#This Row],[Total required Latrines]]-WWWW[[#This Row],['#_Existing_latrines]]&lt;0,0,WWWW[[#This Row],[Total required Latrines]]-WWWW[[#This Row],['#_Existing_latrines]])</f>
        <v>0</v>
      </c>
      <c r="CF58" s="885">
        <f>1-WWWW[[#This Row],[% HRP2]]</f>
        <v>0</v>
      </c>
      <c r="CG58" s="883">
        <f>IF(WWWW[[#This Row],['#_Existing_latrines]]="","NA",(WWWW[[#This Row],['#_Existing_latrines]]-WWWW[[#This Row],['#_Functional_adult_latrines]])/WWWW[[#This Row],['#_Existing_latrines]])</f>
        <v>5.8333333333333334E-2</v>
      </c>
      <c r="CH58" s="878">
        <f>IF(WWWW[[#This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Row],[_'#_of_Girls_receiving_consultation_hygiene_promotion_messages_and_sessions]]&gt;WWWW[[#This Row],[Total PoP ]],WWWW[[#This Row],[Total PoP ]],WWWW[[#This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f>
        <v>941</v>
      </c>
      <c r="CI58" s="884">
        <f>IF(WWWW[[#This Row],['#_of_affected_households_receiving_a_sufficient_quantity_of_soap]]=0,0,IF(WWWW[[#This Row],['#_of_affected_households_receiving_a_sufficient_quantity_of_soap]]&gt;=WWWW[[#This Row],[Total HH]],WWWW[[#This Row],[Total PoP ]],IF(WWWW[[#This Row],['#_of_affected_households_receiving_a_sufficient_quantity_of_soap]]*5&gt;WWWW[[#This Row],[Total PoP ]],WWWW[[#This Row],[Total PoP ]],WWWW[[#This Row],['#_of_affected_households_receiving_a_sufficient_quantity_of_soap]]*5)))</f>
        <v>1910</v>
      </c>
      <c r="CJ58" s="884">
        <f>IF(WWWW[[#This Row],['#_of_affected_women_and_girls_receiving_a_sufficient_quantity_of_sanitary_pads]]&gt;WWWW[[#This Row],[Total PoP ]],WWWW[[#This Row],[Total PoP ]],WWWW[[#This Row],['#_of_affected_women_and_girls_receiving_a_sufficient_quantity_of_sanitary_pads]])</f>
        <v>0</v>
      </c>
      <c r="CK58" s="884">
        <f>IF(WWWW[[#This Row],['# People with access to soap]]&gt;WWWW[[#This Row],['# People with access to Sanity Pads]],WWWW[[#This Row],['# People with access to soap]],WWWW[[#This Row],['# People with access to Sanity Pads]])</f>
        <v>1910</v>
      </c>
      <c r="CL58" s="884">
        <f>IF(WWWW[[#This Row],['# people reached by regular dedicated hygiene promotion_5]]&gt;WWWW[[#This Row],['# People received regular supply of hygiene items_6]],WWWW[[#This Row],['# people reached by regular dedicated hygiene promotion_5]],WWWW[[#This Row],['# People received regular supply of hygiene items_6]])</f>
        <v>1910</v>
      </c>
      <c r="CM58" s="885">
        <f>IF(WWWW[[#This Row],[HRP3]]/WWWW[[#This Row],[Total PoP ]]&gt;100%,100%,WWWW[[#This Row],[HRP3]]/WWWW[[#This Row],[Total PoP ]])</f>
        <v>0.90478446234012322</v>
      </c>
      <c r="CN58" s="883">
        <f>1-WWWW[[#This Row],[Hygiene Coverage%]]</f>
        <v>9.5215537659876781E-2</v>
      </c>
      <c r="CO58" s="880">
        <f>WWWW[[#This Row],['# people reached by regular dedicated hygiene promotion_5]]/WWWW[[#This Row],[Total PoP ]]</f>
        <v>0.44576030317385124</v>
      </c>
      <c r="CP58" s="883">
        <f>IF(WWWW[[#This Row],['#_of_affected_households_receiving_a_sufficient_quantity_of_soap]]/WWWW[[#This Row],[Total HH]]&gt;1,1,WWWW[[#This Row],['#_of_affected_households_receiving_a_sufficient_quantity_of_soap]]/WWWW[[#This Row],[Total HH]])</f>
        <v>0.96221662468513858</v>
      </c>
      <c r="CQ58" s="542" t="str">
        <f>IF(WWWW[[#This Row],['#_students at TLS_CFS]]="","No","Yes")</f>
        <v>Yes</v>
      </c>
      <c r="CR58" s="534">
        <f>WWWW[[#This Row],['#_of_affected_people_surveyed_who_report_feeling_informed_about_the_different_WASH_services_available_to_them]]/WWWW[[#This Row],[Total PoP ]]</f>
        <v>0.56000000000000005</v>
      </c>
      <c r="CS58" s="886" t="str">
        <f>VLOOKUP(WWWW[[#This Row],[Site Name]],SiteDB6[[Site Name]:[CCCM Management]],6,FALSE)</f>
        <v>Yes</v>
      </c>
      <c r="CT58" s="886">
        <f>VLOOKUP(WWWW[[#This Row],[Site Name]],SiteDB6[[Site Name]:[CCCM Focal Agency]],7,FALSE)</f>
        <v>0</v>
      </c>
      <c r="CU58" s="886" t="str">
        <f>VLOOKUP(WWWW[[#This Row],[Site Name]],SiteDB6[[Site Name]:[Location Type 1]],9,FALSE)</f>
        <v>Camp</v>
      </c>
      <c r="CV58" s="886" t="str">
        <f>VLOOKUP(WWWW[[#This Row],[Site Name]],SiteDB6[[Site Name]:[Type of Accommodation]],10,FALSE)</f>
        <v>Planned Camp</v>
      </c>
      <c r="CW58" s="886" t="str">
        <f>VLOOKUP(WWWW[[#This Row],[Site Name]],SiteDB6[[Site Name]:[Ethnic or GCA/NGCA]],11,FALSE)</f>
        <v>Muslim</v>
      </c>
      <c r="CX58" s="886">
        <f>VLOOKUP(WWWW[[#This Row],[Site Name]],SiteDB6[[Site Name]:[Lat]],12,FALSE)</f>
        <v>20.128488999999998</v>
      </c>
      <c r="CY58" s="886">
        <f>VLOOKUP(WWWW[[#This Row],[Site Name]],SiteDB6[[Site Name]:[Long]],13,FALSE)</f>
        <v>92.875814000000005</v>
      </c>
      <c r="CZ58" s="886" t="str">
        <f>VLOOKUP(WWWW[[#This Row],[Site Name]],SiteDB6[[Site Name]:[Pcode]],3,FALSE)</f>
        <v>MMR012CMP039</v>
      </c>
      <c r="DA58" s="887" t="str">
        <f t="shared" si="2"/>
        <v>Covered</v>
      </c>
      <c r="DB58" s="564">
        <f>VLOOKUP(WWWW[[#This Row],[Site Name]],SiteDB6[[Site Name]:[PWD_Total]],22,FALSE)</f>
        <v>99</v>
      </c>
      <c r="DC58" s="564">
        <f>VLOOKUP(WWWW[[#This Row],[Site Name]],SiteDB6[[Site Name]:[PWD_Total]],23,FALSE)</f>
        <v>287</v>
      </c>
      <c r="DD58" s="564">
        <f>VLOOKUP(WWWW[[#This Row],[Site Name]],SiteDB6[[Site Name]:[PWD_Total]],24,FALSE)</f>
        <v>386</v>
      </c>
      <c r="DE58" s="886"/>
      <c r="DF58" s="887"/>
      <c r="DG58" s="887"/>
      <c r="DH58" s="887"/>
    </row>
    <row r="59" spans="1:112">
      <c r="A59" s="873" t="s">
        <v>2389</v>
      </c>
      <c r="B59" s="873" t="s">
        <v>2308</v>
      </c>
      <c r="C59" s="944" t="s">
        <v>2308</v>
      </c>
      <c r="D59" s="944" t="s">
        <v>41</v>
      </c>
      <c r="E59" s="945" t="s">
        <v>2706</v>
      </c>
      <c r="F59" s="944" t="s">
        <v>299</v>
      </c>
      <c r="G59" s="874" t="str">
        <f>VLOOKUP(WWWW[[#This Row],[Site Name]],SiteDB6[[Site Name]:[Location Type]],8,FALSE)</f>
        <v>Camp</v>
      </c>
      <c r="H59" s="944" t="s">
        <v>429</v>
      </c>
      <c r="I59" s="875">
        <v>1015</v>
      </c>
      <c r="J59" s="875">
        <v>4892</v>
      </c>
      <c r="K59" s="876">
        <v>43009</v>
      </c>
      <c r="L59" s="877">
        <v>44104</v>
      </c>
      <c r="M59" s="875">
        <v>3364</v>
      </c>
      <c r="N59" s="875">
        <v>40</v>
      </c>
      <c r="O59" s="875">
        <v>180</v>
      </c>
      <c r="P59" s="875">
        <v>0</v>
      </c>
      <c r="Q59" s="878" t="s">
        <v>130</v>
      </c>
      <c r="R59" s="875">
        <v>16</v>
      </c>
      <c r="S59" s="875">
        <v>15</v>
      </c>
      <c r="T59" s="589">
        <v>47</v>
      </c>
      <c r="U59" s="875">
        <v>50</v>
      </c>
      <c r="V59" s="875"/>
      <c r="W59" s="875"/>
      <c r="X59" s="507">
        <v>45</v>
      </c>
      <c r="Y59" s="507">
        <v>41</v>
      </c>
      <c r="Z59" s="507">
        <v>50</v>
      </c>
      <c r="AA59" s="507">
        <v>34</v>
      </c>
      <c r="AB59" s="875">
        <v>0</v>
      </c>
      <c r="AC59" s="507">
        <v>1016</v>
      </c>
      <c r="AD59" s="875">
        <v>24</v>
      </c>
      <c r="AE59" s="879"/>
      <c r="AF59" s="507">
        <v>234</v>
      </c>
      <c r="AG59" s="507">
        <v>254</v>
      </c>
      <c r="AH59" s="875">
        <v>224</v>
      </c>
      <c r="AI59" s="888">
        <v>0.26</v>
      </c>
      <c r="AJ59" s="875">
        <v>483</v>
      </c>
      <c r="AK59" s="534">
        <v>0.99</v>
      </c>
      <c r="AL59" s="534">
        <v>0.84</v>
      </c>
      <c r="AM59" s="534">
        <v>0.84</v>
      </c>
      <c r="AN59" s="534">
        <v>0.84</v>
      </c>
      <c r="AO59" s="875">
        <v>4</v>
      </c>
      <c r="AP59" s="875"/>
      <c r="AQ59" s="875">
        <v>32</v>
      </c>
      <c r="AR59" s="875" t="s">
        <v>42</v>
      </c>
      <c r="AS59" s="881"/>
      <c r="AT59" s="589">
        <v>154</v>
      </c>
      <c r="AU59" s="589">
        <v>934</v>
      </c>
      <c r="AV59" s="589">
        <v>1427</v>
      </c>
      <c r="AW59" s="589">
        <v>1724</v>
      </c>
      <c r="AX59" s="589">
        <v>1016</v>
      </c>
      <c r="AY59" s="875"/>
      <c r="AZ59" s="589"/>
      <c r="BA59" s="875"/>
      <c r="BB59" s="589"/>
      <c r="BC59" s="888">
        <v>0.27</v>
      </c>
      <c r="BD59" s="882"/>
      <c r="BE59" s="534"/>
      <c r="BF59" s="534"/>
      <c r="BG59" s="507">
        <f>30%*WWWW[[#This Row],[Total PoP ]]</f>
        <v>1467.6</v>
      </c>
      <c r="BH59" s="534">
        <v>0.85</v>
      </c>
      <c r="BI59" s="589" t="e">
        <f>WWWW[[#This Row],[Cases of Acute watery diarrhea]]/WWWW[[#This Row],[Total consultations]]</f>
        <v>#DIV/0!</v>
      </c>
      <c r="BJ59" s="535"/>
      <c r="BK59" s="881"/>
      <c r="BL59" s="881"/>
      <c r="BM59" s="883">
        <f>IFERROR(WWWW[[#This Row],['#_Water samples _passed_at_water source]]/WWWW[[#This Row],['#_Water samples_Tested_at_water_source]],"no test")</f>
        <v>0.91111111111111109</v>
      </c>
      <c r="BN59" s="880">
        <f>IFERROR(WWWW[[#This Row],['#_Water samples _passed_at_HH]]/WWWW[[#This Row],['#_Water samples_Tested_at_HH]],"no test")</f>
        <v>0.68</v>
      </c>
      <c r="BO59" s="884" t="str">
        <f>IF(AND(WWWW[[#This Row],[%of Water samples which passed at water source]]="no test",WWWW[[#This Row],[%Water samples which passed at HH]]="no test"),"No Test","Tested")</f>
        <v>Tested</v>
      </c>
      <c r="BP59" s="883">
        <f>IF(WWWW[[#This Row],[Total PoP ]]="","",IF(((WWWW[[#This Row],['#_Functional_improved_water_source]]*500)+(WWWW[[#This Row],['#_litres_of_water_supplied_by_existing_water_boating/trucking ]]/90/15)+(WWWW[[#This Row],['#_Functional_water_point_at_TLS/CFS]]*500))/WWWW[[#This Row],[Total PoP ]]&gt;1,1,((WWWW[[#This Row],['#_Functional_improved_water_source]]*500)+(WWWW[[#This Row],['#_litres_of_water_supplied_by_existing_water_boating/trucking ]]/90/15)+(WWWW[[#This Row],['#_Functional_water_point_at_TLS/CFS]]*500))/WWWW[[#This Row],[Total PoP ]]))</f>
        <v>1</v>
      </c>
      <c r="BQ59" s="878">
        <f>WWWW[[#This Row],[Access to safe/improved water through improved water sources]]*WWWW[[#This Row],[Total PoP ]]</f>
        <v>4892</v>
      </c>
      <c r="BR59" s="883">
        <f>IF((WWWW[[#This Row],['#_litres_of_water_stored_in_ponds]]/90/15)/WWWW[[#This Row],[Total PoP ]]&gt;1,1,(WWWW[[#This Row],['#_litres_of_water_stored_in_ponds]]/90/15)/WWWW[[#This Row],[Total PoP ]])</f>
        <v>0</v>
      </c>
      <c r="BS59" s="878">
        <f>WWWW[[#This Row],[% Access to unimproved water points]]*WWWW[[#This Row],[Total PoP ]]</f>
        <v>0</v>
      </c>
      <c r="BT59" s="883">
        <f>IF(WWWW[[#This Row],[Access to safe/improved water through improved water sources]]+WWWW[[#This Row],[% Access to unimproved water points]]&gt;1,1,WWWW[[#This Row],[Access to safe/improved water through improved water sources]]+WWWW[[#This Row],[% Access to unimproved water points]])</f>
        <v>1</v>
      </c>
      <c r="BU59" s="878">
        <f>IF(WWWW[[#This Row],['# people with equitable and continuous access to sufficient quantity of safe drinking water]]+WWWW[[#This Row],['#People access to unimproved water sources]]&gt;WWWW[[#This Row],[Total PoP ]],WWWW[[#This Row],[Total PoP ]],WWWW[[#This Row],['# people with equitable and continuous access to sufficient quantity of safe drinking water]]+WWWW[[#This Row],['#People access to unimproved water sources]])</f>
        <v>4892</v>
      </c>
      <c r="BV59" s="878">
        <f>WWWW[[#This Row],[HRP1]]/500</f>
        <v>9.7840000000000007</v>
      </c>
      <c r="BW59" s="885">
        <f>1-WWWW[[#This Row],[% HRP1]]</f>
        <v>0</v>
      </c>
      <c r="BX59" s="878">
        <f>WWWW[[#This Row],[%equitable and continuous access to sufficient quantity of safe drinking and domestic water''s GAP]]*WWWW[[#This Row],[Total PoP ]]</f>
        <v>0</v>
      </c>
      <c r="BY59" s="535">
        <f>ROUND(IF(WWWW[[#This Row],[Total PoP ]]&lt;500,1,WWWW[[#This Row],[Total PoP ]]/500),0)</f>
        <v>10</v>
      </c>
      <c r="BZ59" s="884">
        <f>IF(WWWW[[#This Row],[Total required water points]]-WWWW[[#This Row],['#Water points coverage]]&lt;0,0,WWWW[[#This Row],[Total required water points]]-WWWW[[#This Row],['#Water points coverage]])</f>
        <v>0.2159999999999993</v>
      </c>
      <c r="CA59" s="536">
        <f>WWWW[[#This Row],[HRP2]]/WWWW[[#This Row],[Total PoP ]]</f>
        <v>1</v>
      </c>
      <c r="CB59" s="878">
        <f>IF(WWWW[[#This Row],[Total PoP ]]="",0,IF(((WWWW[[#This Row],['#_Functional_adult_latrines]]*20)+(WWWW[[#This Row],['#_of_functional_children_latrines]]*20)+WWWW[[#This Row],['#_of_PWD_with_adapted_sanitation_option]]+(WWWW[[#This Row],['#_of_latrines_in_TLS/CFS]]*50))&gt;WWWW[[#This Row],[Total PoP ]],WWWW[[#This Row],[Total PoP ]],((WWWW[[#This Row],['#_Functional_adult_latrines]]*20)+(WWWW[[#This Row],['#_of_functional_children_latrines]]*20)+WWWW[[#This Row],['#_of_PWD_with_adapted_sanitation_option]]+(WWWW[[#This Row],['#_of_latrines_in_TLS/CFS]]*50))))</f>
        <v>4892</v>
      </c>
      <c r="CC59" s="884">
        <f>IF(WWWW[[#This Row],['#_of_latrines_in_TLS/CFS]]*50&gt;WWWW[[#This Row],['#_students at TLS_CFS]],WWWW[[#This Row],['#_students at TLS_CFS]],WWWW[[#This Row],['#_of_latrines_in_TLS/CFS]]*50)</f>
        <v>1600</v>
      </c>
      <c r="CD59" s="884">
        <f>ROUND(IF(WWWW[[#This Row],[Location Type 1]]="camp",WWWW[[#This Row],[Total PoP ]]/20),0)</f>
        <v>245</v>
      </c>
      <c r="CE59" s="884">
        <f>IF(WWWW[[#This Row],[Total required Latrines]]-WWWW[[#This Row],['#_Existing_latrines]]&lt;0,0,WWWW[[#This Row],[Total required Latrines]]-WWWW[[#This Row],['#_Existing_latrines]])</f>
        <v>0</v>
      </c>
      <c r="CF59" s="885">
        <f>1-WWWW[[#This Row],[% HRP2]]</f>
        <v>0</v>
      </c>
      <c r="CG59" s="883">
        <f>IF(WWWW[[#This Row],['#_Existing_latrines]]="","NA",(WWWW[[#This Row],['#_Existing_latrines]]-WWWW[[#This Row],['#_Functional_adult_latrines]])/WWWW[[#This Row],['#_Existing_latrines]])</f>
        <v>7.874015748031496E-2</v>
      </c>
      <c r="CH59" s="878">
        <f>IF(WWWW[[#This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Row],[_'#_of_Girls_receiving_consultation_hygiene_promotion_messages_and_sessions]]&gt;WWWW[[#This Row],[Total PoP ]],WWWW[[#This Row],[Total PoP ]],WWWW[[#This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f>
        <v>4239</v>
      </c>
      <c r="CI59" s="884">
        <f>IF(WWWW[[#This Row],['#_of_affected_households_receiving_a_sufficient_quantity_of_soap]]=0,0,IF(WWWW[[#This Row],['#_of_affected_households_receiving_a_sufficient_quantity_of_soap]]&gt;=WWWW[[#This Row],[Total HH]],WWWW[[#This Row],[Total PoP ]],IF(WWWW[[#This Row],['#_of_affected_households_receiving_a_sufficient_quantity_of_soap]]*5&gt;WWWW[[#This Row],[Total PoP ]],WWWW[[#This Row],[Total PoP ]],WWWW[[#This Row],['#_of_affected_households_receiving_a_sufficient_quantity_of_soap]]*5)))</f>
        <v>4892</v>
      </c>
      <c r="CJ59" s="884">
        <f>IF(WWWW[[#This Row],['#_of_affected_women_and_girls_receiving_a_sufficient_quantity_of_sanitary_pads]]&gt;WWWW[[#This Row],[Total PoP ]],WWWW[[#This Row],[Total PoP ]],WWWW[[#This Row],['#_of_affected_women_and_girls_receiving_a_sufficient_quantity_of_sanitary_pads]])</f>
        <v>0</v>
      </c>
      <c r="CK59" s="884">
        <f>IF(WWWW[[#This Row],['# People with access to soap]]&gt;WWWW[[#This Row],['# People with access to Sanity Pads]],WWWW[[#This Row],['# People with access to soap]],WWWW[[#This Row],['# People with access to Sanity Pads]])</f>
        <v>4892</v>
      </c>
      <c r="CL59" s="884">
        <f>IF(WWWW[[#This Row],['# people reached by regular dedicated hygiene promotion_5]]&gt;WWWW[[#This Row],['# People received regular supply of hygiene items_6]],WWWW[[#This Row],['# people reached by regular dedicated hygiene promotion_5]],WWWW[[#This Row],['# People received regular supply of hygiene items_6]])</f>
        <v>4892</v>
      </c>
      <c r="CM59" s="885">
        <f>IF(WWWW[[#This Row],[HRP3]]/WWWW[[#This Row],[Total PoP ]]&gt;100%,100%,WWWW[[#This Row],[HRP3]]/WWWW[[#This Row],[Total PoP ]])</f>
        <v>1</v>
      </c>
      <c r="CN59" s="883">
        <f>1-WWWW[[#This Row],[Hygiene Coverage%]]</f>
        <v>0</v>
      </c>
      <c r="CO59" s="880">
        <f>WWWW[[#This Row],['# people reached by regular dedicated hygiene promotion_5]]/WWWW[[#This Row],[Total PoP ]]</f>
        <v>0.86651676206050698</v>
      </c>
      <c r="CP59" s="883">
        <f>IF(WWWW[[#This Row],['#_of_affected_households_receiving_a_sufficient_quantity_of_soap]]/WWWW[[#This Row],[Total HH]]&gt;1,1,WWWW[[#This Row],['#_of_affected_households_receiving_a_sufficient_quantity_of_soap]]/WWWW[[#This Row],[Total HH]])</f>
        <v>1</v>
      </c>
      <c r="CQ59" s="542" t="str">
        <f>IF(WWWW[[#This Row],['#_students at TLS_CFS]]="","No","Yes")</f>
        <v>Yes</v>
      </c>
      <c r="CR59" s="534">
        <f>WWWW[[#This Row],['#_of_affected_people_surveyed_who_report_feeling_informed_about_the_different_WASH_services_available_to_them]]/WWWW[[#This Row],[Total PoP ]]</f>
        <v>0.3</v>
      </c>
      <c r="CS59" s="886" t="str">
        <f>VLOOKUP(WWWW[[#This Row],[Site Name]],SiteDB6[[Site Name]:[CCCM Management]],6,FALSE)</f>
        <v>Yes</v>
      </c>
      <c r="CT59" s="886">
        <f>VLOOKUP(WWWW[[#This Row],[Site Name]],SiteDB6[[Site Name]:[CCCM Focal Agency]],7,FALSE)</f>
        <v>0</v>
      </c>
      <c r="CU59" s="886" t="str">
        <f>VLOOKUP(WWWW[[#This Row],[Site Name]],SiteDB6[[Site Name]:[Location Type 1]],9,FALSE)</f>
        <v>Camp</v>
      </c>
      <c r="CV59" s="886" t="str">
        <f>VLOOKUP(WWWW[[#This Row],[Site Name]],SiteDB6[[Site Name]:[Type of Accommodation]],10,FALSE)</f>
        <v>Planned Camp</v>
      </c>
      <c r="CW59" s="886" t="str">
        <f>VLOOKUP(WWWW[[#This Row],[Site Name]],SiteDB6[[Site Name]:[Ethnic or GCA/NGCA]],11,FALSE)</f>
        <v>Muslim</v>
      </c>
      <c r="CX59" s="886">
        <f>VLOOKUP(WWWW[[#This Row],[Site Name]],SiteDB6[[Site Name]:[Lat]],12,FALSE)</f>
        <v>20.179417000000001</v>
      </c>
      <c r="CY59" s="886">
        <f>VLOOKUP(WWWW[[#This Row],[Site Name]],SiteDB6[[Site Name]:[Long]],13,FALSE)</f>
        <v>92.813028000000003</v>
      </c>
      <c r="CZ59" s="886" t="str">
        <f>VLOOKUP(WWWW[[#This Row],[Site Name]],SiteDB6[[Site Name]:[Pcode]],3,FALSE)</f>
        <v>MMR012CMP113</v>
      </c>
      <c r="DA59" s="887" t="str">
        <f t="shared" si="2"/>
        <v>Covered</v>
      </c>
      <c r="DB59" s="564">
        <f>VLOOKUP(WWWW[[#This Row],[Site Name]],SiteDB6[[Site Name]:[PWD_Total]],22,FALSE)</f>
        <v>124</v>
      </c>
      <c r="DC59" s="564">
        <f>VLOOKUP(WWWW[[#This Row],[Site Name]],SiteDB6[[Site Name]:[PWD_Total]],23,FALSE)</f>
        <v>410</v>
      </c>
      <c r="DD59" s="564">
        <f>VLOOKUP(WWWW[[#This Row],[Site Name]],SiteDB6[[Site Name]:[PWD_Total]],24,FALSE)</f>
        <v>534</v>
      </c>
      <c r="DE59" s="886"/>
      <c r="DF59" s="887"/>
      <c r="DG59" s="887"/>
      <c r="DH59" s="887"/>
    </row>
    <row r="60" spans="1:112">
      <c r="A60" s="873" t="s">
        <v>2389</v>
      </c>
      <c r="B60" s="873" t="s">
        <v>2308</v>
      </c>
      <c r="C60" s="944" t="s">
        <v>2308</v>
      </c>
      <c r="D60" s="944" t="s">
        <v>41</v>
      </c>
      <c r="E60" s="945" t="s">
        <v>2706</v>
      </c>
      <c r="F60" s="944" t="s">
        <v>299</v>
      </c>
      <c r="G60" s="874" t="str">
        <f>VLOOKUP(WWWW[[#This Row],[Site Name]],SiteDB6[[Site Name]:[Location Type]],8,FALSE)</f>
        <v>Camp</v>
      </c>
      <c r="H60" s="944" t="s">
        <v>431</v>
      </c>
      <c r="I60" s="875">
        <v>1333</v>
      </c>
      <c r="J60" s="875">
        <v>6936</v>
      </c>
      <c r="K60" s="876">
        <v>43009</v>
      </c>
      <c r="L60" s="877">
        <v>44104</v>
      </c>
      <c r="M60" s="875">
        <v>3041</v>
      </c>
      <c r="N60" s="875"/>
      <c r="O60" s="875"/>
      <c r="P60" s="875">
        <v>0</v>
      </c>
      <c r="Q60" s="878" t="s">
        <v>130</v>
      </c>
      <c r="R60" s="875"/>
      <c r="S60" s="875"/>
      <c r="T60" s="589">
        <v>67</v>
      </c>
      <c r="U60" s="875">
        <v>80</v>
      </c>
      <c r="V60" s="875"/>
      <c r="W60" s="875"/>
      <c r="X60" s="507">
        <v>59</v>
      </c>
      <c r="Y60" s="507">
        <v>57</v>
      </c>
      <c r="Z60" s="507">
        <v>46</v>
      </c>
      <c r="AA60" s="507">
        <v>26</v>
      </c>
      <c r="AB60" s="875">
        <v>0</v>
      </c>
      <c r="AC60" s="507">
        <v>1329</v>
      </c>
      <c r="AD60" s="875"/>
      <c r="AE60" s="879"/>
      <c r="AF60" s="507">
        <v>253</v>
      </c>
      <c r="AG60" s="507">
        <v>328</v>
      </c>
      <c r="AH60" s="875"/>
      <c r="AI60" s="888">
        <v>0.7</v>
      </c>
      <c r="AJ60" s="875"/>
      <c r="AK60" s="534"/>
      <c r="AL60" s="534"/>
      <c r="AM60" s="534"/>
      <c r="AN60" s="534"/>
      <c r="AO60" s="875"/>
      <c r="AP60" s="875"/>
      <c r="AQ60" s="875"/>
      <c r="AR60" s="875" t="s">
        <v>42</v>
      </c>
      <c r="AS60" s="881"/>
      <c r="AT60" s="589"/>
      <c r="AU60" s="589"/>
      <c r="AV60" s="589"/>
      <c r="AW60" s="589"/>
      <c r="AX60" s="589">
        <v>1323</v>
      </c>
      <c r="AY60" s="875"/>
      <c r="AZ60" s="589"/>
      <c r="BA60" s="875"/>
      <c r="BB60" s="589"/>
      <c r="BC60" s="888"/>
      <c r="BD60" s="882"/>
      <c r="BE60" s="534"/>
      <c r="BF60" s="534"/>
      <c r="BG60" s="589"/>
      <c r="BH60" s="534"/>
      <c r="BI60" s="589" t="e">
        <f>WWWW[[#This Row],[Cases of Acute watery diarrhea]]/WWWW[[#This Row],[Total consultations]]</f>
        <v>#DIV/0!</v>
      </c>
      <c r="BJ60" s="535"/>
      <c r="BK60" s="881"/>
      <c r="BL60" s="881"/>
      <c r="BM60" s="883">
        <f>IFERROR(WWWW[[#This Row],['#_Water samples _passed_at_water source]]/WWWW[[#This Row],['#_Water samples_Tested_at_water_source]],"no test")</f>
        <v>0.96610169491525422</v>
      </c>
      <c r="BN60" s="880">
        <f>IFERROR(WWWW[[#This Row],['#_Water samples _passed_at_HH]]/WWWW[[#This Row],['#_Water samples_Tested_at_HH]],"no test")</f>
        <v>0.56521739130434778</v>
      </c>
      <c r="BO60" s="884" t="str">
        <f>IF(AND(WWWW[[#This Row],[%of Water samples which passed at water source]]="no test",WWWW[[#This Row],[%Water samples which passed at HH]]="no test"),"No Test","Tested")</f>
        <v>Tested</v>
      </c>
      <c r="BP60" s="883">
        <f>IF(WWWW[[#This Row],[Total PoP ]]="","",IF(((WWWW[[#This Row],['#_Functional_improved_water_source]]*500)+(WWWW[[#This Row],['#_litres_of_water_supplied_by_existing_water_boating/trucking ]]/90/15)+(WWWW[[#This Row],['#_Functional_water_point_at_TLS/CFS]]*500))/WWWW[[#This Row],[Total PoP ]]&gt;1,1,((WWWW[[#This Row],['#_Functional_improved_water_source]]*500)+(WWWW[[#This Row],['#_litres_of_water_supplied_by_existing_water_boating/trucking ]]/90/15)+(WWWW[[#This Row],['#_Functional_water_point_at_TLS/CFS]]*500))/WWWW[[#This Row],[Total PoP ]]))</f>
        <v>1</v>
      </c>
      <c r="BQ60" s="878">
        <f>WWWW[[#This Row],[Access to safe/improved water through improved water sources]]*WWWW[[#This Row],[Total PoP ]]</f>
        <v>6936</v>
      </c>
      <c r="BR60" s="883">
        <f>IF((WWWW[[#This Row],['#_litres_of_water_stored_in_ponds]]/90/15)/WWWW[[#This Row],[Total PoP ]]&gt;1,1,(WWWW[[#This Row],['#_litres_of_water_stored_in_ponds]]/90/15)/WWWW[[#This Row],[Total PoP ]])</f>
        <v>0</v>
      </c>
      <c r="BS60" s="878">
        <f>WWWW[[#This Row],[% Access to unimproved water points]]*WWWW[[#This Row],[Total PoP ]]</f>
        <v>0</v>
      </c>
      <c r="BT60" s="883">
        <f>IF(WWWW[[#This Row],[Access to safe/improved water through improved water sources]]+WWWW[[#This Row],[% Access to unimproved water points]]&gt;1,1,WWWW[[#This Row],[Access to safe/improved water through improved water sources]]+WWWW[[#This Row],[% Access to unimproved water points]])</f>
        <v>1</v>
      </c>
      <c r="BU60" s="878">
        <f>IF(WWWW[[#This Row],['# people with equitable and continuous access to sufficient quantity of safe drinking water]]+WWWW[[#This Row],['#People access to unimproved water sources]]&gt;WWWW[[#This Row],[Total PoP ]],WWWW[[#This Row],[Total PoP ]],WWWW[[#This Row],['# people with equitable and continuous access to sufficient quantity of safe drinking water]]+WWWW[[#This Row],['#People access to unimproved water sources]])</f>
        <v>6936</v>
      </c>
      <c r="BV60" s="878">
        <f>WWWW[[#This Row],[HRP1]]/500</f>
        <v>13.872</v>
      </c>
      <c r="BW60" s="885">
        <f>1-WWWW[[#This Row],[% HRP1]]</f>
        <v>0</v>
      </c>
      <c r="BX60" s="878">
        <f>WWWW[[#This Row],[%equitable and continuous access to sufficient quantity of safe drinking and domestic water''s GAP]]*WWWW[[#This Row],[Total PoP ]]</f>
        <v>0</v>
      </c>
      <c r="BY60" s="535">
        <f>ROUND(IF(WWWW[[#This Row],[Total PoP ]]&lt;500,1,WWWW[[#This Row],[Total PoP ]]/500),0)</f>
        <v>14</v>
      </c>
      <c r="BZ60" s="884">
        <f>IF(WWWW[[#This Row],[Total required water points]]-WWWW[[#This Row],['#Water points coverage]]&lt;0,0,WWWW[[#This Row],[Total required water points]]-WWWW[[#This Row],['#Water points coverage]])</f>
        <v>0.12800000000000011</v>
      </c>
      <c r="CA60" s="536">
        <f>WWWW[[#This Row],[HRP2]]/WWWW[[#This Row],[Total PoP ]]</f>
        <v>0.72952710495963091</v>
      </c>
      <c r="CB60" s="878">
        <f>IF(WWWW[[#This Row],[Total PoP ]]="",0,IF(((WWWW[[#This Row],['#_Functional_adult_latrines]]*20)+(WWWW[[#This Row],['#_of_functional_children_latrines]]*20)+WWWW[[#This Row],['#_of_PWD_with_adapted_sanitation_option]]+(WWWW[[#This Row],['#_of_latrines_in_TLS/CFS]]*50))&gt;WWWW[[#This Row],[Total PoP ]],WWWW[[#This Row],[Total PoP ]],((WWWW[[#This Row],['#_Functional_adult_latrines]]*20)+(WWWW[[#This Row],['#_of_functional_children_latrines]]*20)+WWWW[[#This Row],['#_of_PWD_with_adapted_sanitation_option]]+(WWWW[[#This Row],['#_of_latrines_in_TLS/CFS]]*50))))</f>
        <v>5060</v>
      </c>
      <c r="CC60" s="884">
        <f>IF(WWWW[[#This Row],['#_of_latrines_in_TLS/CFS]]*50&gt;WWWW[[#This Row],['#_students at TLS_CFS]],WWWW[[#This Row],['#_students at TLS_CFS]],WWWW[[#This Row],['#_of_latrines_in_TLS/CFS]]*50)</f>
        <v>0</v>
      </c>
      <c r="CD60" s="884">
        <f>ROUND(IF(WWWW[[#This Row],[Location Type 1]]="camp",WWWW[[#This Row],[Total PoP ]]/20),0)</f>
        <v>347</v>
      </c>
      <c r="CE60" s="884">
        <f>IF(WWWW[[#This Row],[Total required Latrines]]-WWWW[[#This Row],['#_Existing_latrines]]&lt;0,0,WWWW[[#This Row],[Total required Latrines]]-WWWW[[#This Row],['#_Existing_latrines]])</f>
        <v>19</v>
      </c>
      <c r="CF60" s="885">
        <f>1-WWWW[[#This Row],[% HRP2]]</f>
        <v>0.27047289504036909</v>
      </c>
      <c r="CG60" s="883">
        <f>IF(WWWW[[#This Row],['#_Existing_latrines]]="","NA",(WWWW[[#This Row],['#_Existing_latrines]]-WWWW[[#This Row],['#_Functional_adult_latrines]])/WWWW[[#This Row],['#_Existing_latrines]])</f>
        <v>0.22865853658536586</v>
      </c>
      <c r="CH60" s="878">
        <f>IF(WWWW[[#This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Row],[_'#_of_Girls_receiving_consultation_hygiene_promotion_messages_and_sessions]]&gt;WWWW[[#This Row],[Total PoP ]],WWWW[[#This Row],[Total PoP ]],WWWW[[#This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f>
        <v>0</v>
      </c>
      <c r="CI60" s="884">
        <f>IF(WWWW[[#This Row],['#_of_affected_households_receiving_a_sufficient_quantity_of_soap]]=0,0,IF(WWWW[[#This Row],['#_of_affected_households_receiving_a_sufficient_quantity_of_soap]]&gt;=WWWW[[#This Row],[Total HH]],WWWW[[#This Row],[Total PoP ]],IF(WWWW[[#This Row],['#_of_affected_households_receiving_a_sufficient_quantity_of_soap]]*5&gt;WWWW[[#This Row],[Total PoP ]],WWWW[[#This Row],[Total PoP ]],WWWW[[#This Row],['#_of_affected_households_receiving_a_sufficient_quantity_of_soap]]*5)))</f>
        <v>6615</v>
      </c>
      <c r="CJ60" s="884">
        <f>IF(WWWW[[#This Row],['#_of_affected_women_and_girls_receiving_a_sufficient_quantity_of_sanitary_pads]]&gt;WWWW[[#This Row],[Total PoP ]],WWWW[[#This Row],[Total PoP ]],WWWW[[#This Row],['#_of_affected_women_and_girls_receiving_a_sufficient_quantity_of_sanitary_pads]])</f>
        <v>0</v>
      </c>
      <c r="CK60" s="884">
        <f>IF(WWWW[[#This Row],['# People with access to soap]]&gt;WWWW[[#This Row],['# People with access to Sanity Pads]],WWWW[[#This Row],['# People with access to soap]],WWWW[[#This Row],['# People with access to Sanity Pads]])</f>
        <v>6615</v>
      </c>
      <c r="CL60" s="884">
        <f>IF(WWWW[[#This Row],['# people reached by regular dedicated hygiene promotion_5]]&gt;WWWW[[#This Row],['# People received regular supply of hygiene items_6]],WWWW[[#This Row],['# people reached by regular dedicated hygiene promotion_5]],WWWW[[#This Row],['# People received regular supply of hygiene items_6]])</f>
        <v>6615</v>
      </c>
      <c r="CM60" s="885">
        <f>IF(WWWW[[#This Row],[HRP3]]/WWWW[[#This Row],[Total PoP ]]&gt;100%,100%,WWWW[[#This Row],[HRP3]]/WWWW[[#This Row],[Total PoP ]])</f>
        <v>0.95371972318339104</v>
      </c>
      <c r="CN60" s="883">
        <f>1-WWWW[[#This Row],[Hygiene Coverage%]]</f>
        <v>4.6280276816608956E-2</v>
      </c>
      <c r="CO60" s="880">
        <f>WWWW[[#This Row],['# people reached by regular dedicated hygiene promotion_5]]/WWWW[[#This Row],[Total PoP ]]</f>
        <v>0</v>
      </c>
      <c r="CP60" s="883">
        <f>IF(WWWW[[#This Row],['#_of_affected_households_receiving_a_sufficient_quantity_of_soap]]/WWWW[[#This Row],[Total HH]]&gt;1,1,WWWW[[#This Row],['#_of_affected_households_receiving_a_sufficient_quantity_of_soap]]/WWWW[[#This Row],[Total HH]])</f>
        <v>0.99249812453113273</v>
      </c>
      <c r="CQ60" s="542" t="str">
        <f>IF(WWWW[[#This Row],['#_students at TLS_CFS]]="","No","Yes")</f>
        <v>Yes</v>
      </c>
      <c r="CR60" s="534"/>
      <c r="CS60" s="886" t="str">
        <f>VLOOKUP(WWWW[[#This Row],[Site Name]],SiteDB6[[Site Name]:[CCCM Management]],6,FALSE)</f>
        <v>Yes</v>
      </c>
      <c r="CT60" s="886">
        <f>VLOOKUP(WWWW[[#This Row],[Site Name]],SiteDB6[[Site Name]:[CCCM Focal Agency]],7,FALSE)</f>
        <v>0</v>
      </c>
      <c r="CU60" s="886" t="str">
        <f>VLOOKUP(WWWW[[#This Row],[Site Name]],SiteDB6[[Site Name]:[Location Type 1]],9,FALSE)</f>
        <v>Camp</v>
      </c>
      <c r="CV60" s="886" t="str">
        <f>VLOOKUP(WWWW[[#This Row],[Site Name]],SiteDB6[[Site Name]:[Type of Accommodation]],10,FALSE)</f>
        <v>Planned Camp</v>
      </c>
      <c r="CW60" s="886" t="str">
        <f>VLOOKUP(WWWW[[#This Row],[Site Name]],SiteDB6[[Site Name]:[Ethnic or GCA/NGCA]],11,FALSE)</f>
        <v>Muslim</v>
      </c>
      <c r="CX60" s="886">
        <f>VLOOKUP(WWWW[[#This Row],[Site Name]],SiteDB6[[Site Name]:[Lat]],12,FALSE)</f>
        <v>20.181405999999999</v>
      </c>
      <c r="CY60" s="886">
        <f>VLOOKUP(WWWW[[#This Row],[Site Name]],SiteDB6[[Site Name]:[Long]],13,FALSE)</f>
        <v>92.807552000000001</v>
      </c>
      <c r="CZ60" s="886" t="str">
        <f>VLOOKUP(WWWW[[#This Row],[Site Name]],SiteDB6[[Site Name]:[Pcode]],3,FALSE)</f>
        <v>MMR012CMP114</v>
      </c>
      <c r="DA60" s="887" t="str">
        <f t="shared" si="2"/>
        <v>Covered</v>
      </c>
      <c r="DB60" s="564">
        <f>VLOOKUP(WWWW[[#This Row],[Site Name]],SiteDB6[[Site Name]:[PWD_Total]],22,FALSE)</f>
        <v>193</v>
      </c>
      <c r="DC60" s="564">
        <f>VLOOKUP(WWWW[[#This Row],[Site Name]],SiteDB6[[Site Name]:[PWD_Total]],23,FALSE)</f>
        <v>637</v>
      </c>
      <c r="DD60" s="564">
        <f>VLOOKUP(WWWW[[#This Row],[Site Name]],SiteDB6[[Site Name]:[PWD_Total]],24,FALSE)</f>
        <v>830</v>
      </c>
      <c r="DE60" s="886"/>
      <c r="DF60" s="887"/>
      <c r="DG60" s="887"/>
      <c r="DH60" s="887"/>
    </row>
    <row r="61" spans="1:112">
      <c r="A61" s="873" t="s">
        <v>2389</v>
      </c>
      <c r="B61" s="873" t="s">
        <v>2308</v>
      </c>
      <c r="C61" s="944" t="s">
        <v>2308</v>
      </c>
      <c r="D61" s="944" t="s">
        <v>41</v>
      </c>
      <c r="E61" s="945" t="s">
        <v>2706</v>
      </c>
      <c r="F61" s="944" t="s">
        <v>299</v>
      </c>
      <c r="G61" s="874" t="str">
        <f>VLOOKUP(WWWW[[#This Row],[Site Name]],SiteDB6[[Site Name]:[Location Type]],8,FALSE)</f>
        <v>Camp</v>
      </c>
      <c r="H61" s="944" t="s">
        <v>2699</v>
      </c>
      <c r="I61" s="875">
        <v>22</v>
      </c>
      <c r="J61" s="875">
        <v>114</v>
      </c>
      <c r="K61" s="876">
        <v>43009</v>
      </c>
      <c r="L61" s="877">
        <v>44104</v>
      </c>
      <c r="M61" s="875">
        <v>211</v>
      </c>
      <c r="N61" s="875"/>
      <c r="O61" s="875"/>
      <c r="P61" s="875">
        <v>0</v>
      </c>
      <c r="Q61" s="878"/>
      <c r="R61" s="875"/>
      <c r="S61" s="875"/>
      <c r="T61" s="589"/>
      <c r="U61" s="875"/>
      <c r="V61" s="875"/>
      <c r="W61" s="875"/>
      <c r="X61" s="875"/>
      <c r="Y61" s="875"/>
      <c r="Z61" s="875"/>
      <c r="AA61" s="875"/>
      <c r="AB61" s="875">
        <v>0</v>
      </c>
      <c r="AC61" s="507">
        <v>22</v>
      </c>
      <c r="AD61" s="875"/>
      <c r="AE61" s="879"/>
      <c r="AF61" s="507"/>
      <c r="AG61" s="507"/>
      <c r="AH61" s="875"/>
      <c r="AI61" s="888"/>
      <c r="AJ61" s="875"/>
      <c r="AK61" s="534"/>
      <c r="AL61" s="534"/>
      <c r="AM61" s="534"/>
      <c r="AN61" s="534"/>
      <c r="AO61" s="875"/>
      <c r="AP61" s="875"/>
      <c r="AQ61" s="875"/>
      <c r="AR61" s="875" t="s">
        <v>130</v>
      </c>
      <c r="AS61" s="881"/>
      <c r="AT61" s="589"/>
      <c r="AU61" s="589"/>
      <c r="AV61" s="589"/>
      <c r="AW61" s="589"/>
      <c r="AX61" s="589">
        <v>22</v>
      </c>
      <c r="AY61" s="875"/>
      <c r="AZ61" s="589"/>
      <c r="BA61" s="875"/>
      <c r="BB61" s="589"/>
      <c r="BC61" s="888"/>
      <c r="BD61" s="882"/>
      <c r="BE61" s="534"/>
      <c r="BF61" s="534"/>
      <c r="BG61" s="589"/>
      <c r="BH61" s="534"/>
      <c r="BI61" s="589" t="e">
        <f>WWWW[[#This Row],[Cases of Acute watery diarrhea]]/WWWW[[#This Row],[Total consultations]]</f>
        <v>#DIV/0!</v>
      </c>
      <c r="BJ61" s="535"/>
      <c r="BK61" s="881"/>
      <c r="BL61" s="881"/>
      <c r="BM61" s="883" t="str">
        <f>IFERROR(WWWW[[#This Row],['#_Water samples _passed_at_water source]]/WWWW[[#This Row],['#_Water samples_Tested_at_water_source]],"no test")</f>
        <v>no test</v>
      </c>
      <c r="BN61" s="880" t="str">
        <f>IFERROR(WWWW[[#This Row],['#_Water samples _passed_at_HH]]/WWWW[[#This Row],['#_Water samples_Tested_at_HH]],"no test")</f>
        <v>no test</v>
      </c>
      <c r="BO61" s="884" t="str">
        <f>IF(AND(WWWW[[#This Row],[%of Water samples which passed at water source]]="no test",WWWW[[#This Row],[%Water samples which passed at HH]]="no test"),"No Test","Tested")</f>
        <v>No Test</v>
      </c>
      <c r="BP61" s="883">
        <f>IF(WWWW[[#This Row],[Total PoP ]]="","",IF(((WWWW[[#This Row],['#_Functional_improved_water_source]]*500)+(WWWW[[#This Row],['#_litres_of_water_supplied_by_existing_water_boating/trucking ]]/90/15)+(WWWW[[#This Row],['#_Functional_water_point_at_TLS/CFS]]*500))/WWWW[[#This Row],[Total PoP ]]&gt;1,1,((WWWW[[#This Row],['#_Functional_improved_water_source]]*500)+(WWWW[[#This Row],['#_litres_of_water_supplied_by_existing_water_boating/trucking ]]/90/15)+(WWWW[[#This Row],['#_Functional_water_point_at_TLS/CFS]]*500))/WWWW[[#This Row],[Total PoP ]]))</f>
        <v>0</v>
      </c>
      <c r="BQ61" s="878">
        <f>WWWW[[#This Row],[Access to safe/improved water through improved water sources]]*WWWW[[#This Row],[Total PoP ]]</f>
        <v>0</v>
      </c>
      <c r="BR61" s="883">
        <f>IF((WWWW[[#This Row],['#_litres_of_water_stored_in_ponds]]/90/15)/WWWW[[#This Row],[Total PoP ]]&gt;1,1,(WWWW[[#This Row],['#_litres_of_water_stored_in_ponds]]/90/15)/WWWW[[#This Row],[Total PoP ]])</f>
        <v>0</v>
      </c>
      <c r="BS61" s="878">
        <f>WWWW[[#This Row],[% Access to unimproved water points]]*WWWW[[#This Row],[Total PoP ]]</f>
        <v>0</v>
      </c>
      <c r="BT61" s="883">
        <f>IF(WWWW[[#This Row],[Access to safe/improved water through improved water sources]]+WWWW[[#This Row],[% Access to unimproved water points]]&gt;1,1,WWWW[[#This Row],[Access to safe/improved water through improved water sources]]+WWWW[[#This Row],[% Access to unimproved water points]])</f>
        <v>0</v>
      </c>
      <c r="BU61" s="878">
        <f>IF(WWWW[[#This Row],['# people with equitable and continuous access to sufficient quantity of safe drinking water]]+WWWW[[#This Row],['#People access to unimproved water sources]]&gt;WWWW[[#This Row],[Total PoP ]],WWWW[[#This Row],[Total PoP ]],WWWW[[#This Row],['# people with equitable and continuous access to sufficient quantity of safe drinking water]]+WWWW[[#This Row],['#People access to unimproved water sources]])</f>
        <v>0</v>
      </c>
      <c r="BV61" s="878">
        <f>WWWW[[#This Row],[HRP1]]/500</f>
        <v>0</v>
      </c>
      <c r="BW61" s="885">
        <f>1-WWWW[[#This Row],[% HRP1]]</f>
        <v>1</v>
      </c>
      <c r="BX61" s="878">
        <f>WWWW[[#This Row],[%equitable and continuous access to sufficient quantity of safe drinking and domestic water''s GAP]]*WWWW[[#This Row],[Total PoP ]]</f>
        <v>114</v>
      </c>
      <c r="BY61" s="535">
        <f>ROUND(IF(WWWW[[#This Row],[Total PoP ]]&lt;500,1,WWWW[[#This Row],[Total PoP ]]/500),0)</f>
        <v>1</v>
      </c>
      <c r="BZ61" s="884">
        <f>IF(WWWW[[#This Row],[Total required water points]]-WWWW[[#This Row],['#Water points coverage]]&lt;0,0,WWWW[[#This Row],[Total required water points]]-WWWW[[#This Row],['#Water points coverage]])</f>
        <v>1</v>
      </c>
      <c r="CA61" s="536">
        <f>WWWW[[#This Row],[HRP2]]/WWWW[[#This Row],[Total PoP ]]</f>
        <v>0</v>
      </c>
      <c r="CB61" s="878">
        <f>IF(WWWW[[#This Row],[Total PoP ]]="",0,IF(((WWWW[[#This Row],['#_Functional_adult_latrines]]*20)+(WWWW[[#This Row],['#_of_functional_children_latrines]]*20)+WWWW[[#This Row],['#_of_PWD_with_adapted_sanitation_option]]+(WWWW[[#This Row],['#_of_latrines_in_TLS/CFS]]*50))&gt;WWWW[[#This Row],[Total PoP ]],WWWW[[#This Row],[Total PoP ]],((WWWW[[#This Row],['#_Functional_adult_latrines]]*20)+(WWWW[[#This Row],['#_of_functional_children_latrines]]*20)+WWWW[[#This Row],['#_of_PWD_with_adapted_sanitation_option]]+(WWWW[[#This Row],['#_of_latrines_in_TLS/CFS]]*50))))</f>
        <v>0</v>
      </c>
      <c r="CC61" s="884">
        <f>IF(WWWW[[#This Row],['#_of_latrines_in_TLS/CFS]]*50&gt;WWWW[[#This Row],['#_students at TLS_CFS]],WWWW[[#This Row],['#_students at TLS_CFS]],WWWW[[#This Row],['#_of_latrines_in_TLS/CFS]]*50)</f>
        <v>0</v>
      </c>
      <c r="CD61" s="884">
        <f>ROUND(IF(WWWW[[#This Row],[Location Type 1]]="camp",WWWW[[#This Row],[Total PoP ]]/20),0)</f>
        <v>6</v>
      </c>
      <c r="CE61" s="884">
        <f>IF(WWWW[[#This Row],[Total required Latrines]]-WWWW[[#This Row],['#_Existing_latrines]]&lt;0,0,WWWW[[#This Row],[Total required Latrines]]-WWWW[[#This Row],['#_Existing_latrines]])</f>
        <v>6</v>
      </c>
      <c r="CF61" s="885">
        <f>1-WWWW[[#This Row],[% HRP2]]</f>
        <v>1</v>
      </c>
      <c r="CG61" s="883" t="str">
        <f>IF(WWWW[[#This Row],['#_Existing_latrines]]="","NA",(WWWW[[#This Row],['#_Existing_latrines]]-WWWW[[#This Row],['#_Functional_adult_latrines]])/WWWW[[#This Row],['#_Existing_latrines]])</f>
        <v>NA</v>
      </c>
      <c r="CH61" s="878">
        <f>IF(WWWW[[#This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Row],[_'#_of_Girls_receiving_consultation_hygiene_promotion_messages_and_sessions]]&gt;WWWW[[#This Row],[Total PoP ]],WWWW[[#This Row],[Total PoP ]],WWWW[[#This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f>
        <v>0</v>
      </c>
      <c r="CI61" s="884">
        <f>IF(WWWW[[#This Row],['#_of_affected_households_receiving_a_sufficient_quantity_of_soap]]=0,0,IF(WWWW[[#This Row],['#_of_affected_households_receiving_a_sufficient_quantity_of_soap]]&gt;=WWWW[[#This Row],[Total HH]],WWWW[[#This Row],[Total PoP ]],IF(WWWW[[#This Row],['#_of_affected_households_receiving_a_sufficient_quantity_of_soap]]*5&gt;WWWW[[#This Row],[Total PoP ]],WWWW[[#This Row],[Total PoP ]],WWWW[[#This Row],['#_of_affected_households_receiving_a_sufficient_quantity_of_soap]]*5)))</f>
        <v>114</v>
      </c>
      <c r="CJ61" s="884">
        <f>IF(WWWW[[#This Row],['#_of_affected_women_and_girls_receiving_a_sufficient_quantity_of_sanitary_pads]]&gt;WWWW[[#This Row],[Total PoP ]],WWWW[[#This Row],[Total PoP ]],WWWW[[#This Row],['#_of_affected_women_and_girls_receiving_a_sufficient_quantity_of_sanitary_pads]])</f>
        <v>0</v>
      </c>
      <c r="CK61" s="884">
        <f>IF(WWWW[[#This Row],['# People with access to soap]]&gt;WWWW[[#This Row],['# People with access to Sanity Pads]],WWWW[[#This Row],['# People with access to soap]],WWWW[[#This Row],['# People with access to Sanity Pads]])</f>
        <v>114</v>
      </c>
      <c r="CL61" s="884">
        <f>IF(WWWW[[#This Row],['# people reached by regular dedicated hygiene promotion_5]]&gt;WWWW[[#This Row],['# People received regular supply of hygiene items_6]],WWWW[[#This Row],['# people reached by regular dedicated hygiene promotion_5]],WWWW[[#This Row],['# People received regular supply of hygiene items_6]])</f>
        <v>114</v>
      </c>
      <c r="CM61" s="885">
        <f>IF(WWWW[[#This Row],[HRP3]]/WWWW[[#This Row],[Total PoP ]]&gt;100%,100%,WWWW[[#This Row],[HRP3]]/WWWW[[#This Row],[Total PoP ]])</f>
        <v>1</v>
      </c>
      <c r="CN61" s="883">
        <f>1-WWWW[[#This Row],[Hygiene Coverage%]]</f>
        <v>0</v>
      </c>
      <c r="CO61" s="880">
        <f>WWWW[[#This Row],['# people reached by regular dedicated hygiene promotion_5]]/WWWW[[#This Row],[Total PoP ]]</f>
        <v>0</v>
      </c>
      <c r="CP61" s="883">
        <f>IF(WWWW[[#This Row],['#_of_affected_households_receiving_a_sufficient_quantity_of_soap]]/WWWW[[#This Row],[Total HH]]&gt;1,1,WWWW[[#This Row],['#_of_affected_households_receiving_a_sufficient_quantity_of_soap]]/WWWW[[#This Row],[Total HH]])</f>
        <v>1</v>
      </c>
      <c r="CQ61" s="542" t="str">
        <f>IF(WWWW[[#This Row],['#_students at TLS_CFS]]="","No","Yes")</f>
        <v>Yes</v>
      </c>
      <c r="CR61" s="534"/>
      <c r="CS61" s="886" t="str">
        <f>VLOOKUP(WWWW[[#This Row],[Site Name]],SiteDB6[[Site Name]:[CCCM Management]],6,FALSE)</f>
        <v>Yes</v>
      </c>
      <c r="CT61" s="886">
        <f>VLOOKUP(WWWW[[#This Row],[Site Name]],SiteDB6[[Site Name]:[CCCM Focal Agency]],7,FALSE)</f>
        <v>0</v>
      </c>
      <c r="CU61" s="886" t="str">
        <f>VLOOKUP(WWWW[[#This Row],[Site Name]],SiteDB6[[Site Name]:[Location Type 1]],9,FALSE)</f>
        <v>Camp</v>
      </c>
      <c r="CV61" s="886" t="str">
        <f>VLOOKUP(WWWW[[#This Row],[Site Name]],SiteDB6[[Site Name]:[Type of Accommodation]],10,FALSE)</f>
        <v>Host Families</v>
      </c>
      <c r="CW61" s="886" t="str">
        <f>VLOOKUP(WWWW[[#This Row],[Site Name]],SiteDB6[[Site Name]:[Ethnic or GCA/NGCA]],11,FALSE)</f>
        <v>Muslim</v>
      </c>
      <c r="CX61" s="886">
        <f>VLOOKUP(WWWW[[#This Row],[Site Name]],SiteDB6[[Site Name]:[Lat]],12,FALSE)</f>
        <v>20.182987000000001</v>
      </c>
      <c r="CY61" s="886">
        <f>VLOOKUP(WWWW[[#This Row],[Site Name]],SiteDB6[[Site Name]:[Long]],13,FALSE)</f>
        <v>92.804803000000007</v>
      </c>
      <c r="CZ61" s="886" t="str">
        <f>VLOOKUP(WWWW[[#This Row],[Site Name]],SiteDB6[[Site Name]:[Pcode]],3,FALSE)</f>
        <v>MMR012CMP103</v>
      </c>
      <c r="DA61" s="887" t="str">
        <f t="shared" si="2"/>
        <v>Covered</v>
      </c>
      <c r="DB61" s="564">
        <f>VLOOKUP(WWWW[[#This Row],[Site Name]],SiteDB6[[Site Name]:[PWD_Total]],22,FALSE)</f>
        <v>0</v>
      </c>
      <c r="DC61" s="564">
        <f>VLOOKUP(WWWW[[#This Row],[Site Name]],SiteDB6[[Site Name]:[PWD_Total]],23,FALSE)</f>
        <v>0</v>
      </c>
      <c r="DD61" s="564">
        <f>VLOOKUP(WWWW[[#This Row],[Site Name]],SiteDB6[[Site Name]:[PWD_Total]],24,FALSE)</f>
        <v>0</v>
      </c>
      <c r="DE61" s="886"/>
      <c r="DF61" s="887"/>
      <c r="DG61" s="887"/>
      <c r="DH61" s="887"/>
    </row>
    <row r="62" spans="1:112">
      <c r="A62" s="873" t="s">
        <v>2389</v>
      </c>
      <c r="B62" s="873" t="s">
        <v>2308</v>
      </c>
      <c r="C62" s="944" t="s">
        <v>2308</v>
      </c>
      <c r="D62" s="944" t="s">
        <v>41</v>
      </c>
      <c r="E62" s="945" t="s">
        <v>2706</v>
      </c>
      <c r="F62" s="944" t="s">
        <v>299</v>
      </c>
      <c r="G62" s="874" t="str">
        <f>VLOOKUP(WWWW[[#This Row],[Site Name]],SiteDB6[[Site Name]:[Location Type]],8,FALSE)</f>
        <v>Camp</v>
      </c>
      <c r="H62" s="944" t="s">
        <v>428</v>
      </c>
      <c r="I62" s="875">
        <v>1850</v>
      </c>
      <c r="J62" s="875">
        <v>11625</v>
      </c>
      <c r="K62" s="876">
        <v>43009</v>
      </c>
      <c r="L62" s="877">
        <v>44104</v>
      </c>
      <c r="M62" s="875">
        <v>232</v>
      </c>
      <c r="N62" s="875">
        <v>40</v>
      </c>
      <c r="O62" s="875">
        <v>160</v>
      </c>
      <c r="P62" s="875">
        <v>0</v>
      </c>
      <c r="Q62" s="878" t="s">
        <v>130</v>
      </c>
      <c r="R62" s="875">
        <v>10</v>
      </c>
      <c r="S62" s="875">
        <v>6</v>
      </c>
      <c r="T62" s="589">
        <v>75</v>
      </c>
      <c r="U62" s="875">
        <v>83</v>
      </c>
      <c r="V62" s="875"/>
      <c r="W62" s="875"/>
      <c r="X62" s="875"/>
      <c r="Y62" s="875"/>
      <c r="Z62" s="875"/>
      <c r="AA62" s="875"/>
      <c r="AB62" s="875">
        <v>0</v>
      </c>
      <c r="AC62" s="507">
        <v>1850</v>
      </c>
      <c r="AD62" s="875">
        <v>21</v>
      </c>
      <c r="AE62" s="879"/>
      <c r="AF62" s="507">
        <v>413</v>
      </c>
      <c r="AG62" s="507">
        <v>498</v>
      </c>
      <c r="AH62" s="875">
        <v>173</v>
      </c>
      <c r="AI62" s="888">
        <v>0.53</v>
      </c>
      <c r="AJ62" s="875">
        <v>374</v>
      </c>
      <c r="AK62" s="534">
        <v>0.99</v>
      </c>
      <c r="AL62" s="534">
        <v>0.87</v>
      </c>
      <c r="AM62" s="534">
        <v>0.71</v>
      </c>
      <c r="AN62" s="534">
        <v>0.71</v>
      </c>
      <c r="AO62" s="875">
        <v>8</v>
      </c>
      <c r="AP62" s="875"/>
      <c r="AQ62" s="875">
        <v>7</v>
      </c>
      <c r="AR62" s="875" t="s">
        <v>42</v>
      </c>
      <c r="AS62" s="881"/>
      <c r="AT62" s="589">
        <v>185</v>
      </c>
      <c r="AU62" s="589">
        <v>365</v>
      </c>
      <c r="AV62" s="589">
        <v>558</v>
      </c>
      <c r="AW62" s="589">
        <v>414</v>
      </c>
      <c r="AX62" s="589">
        <v>1849</v>
      </c>
      <c r="AY62" s="875"/>
      <c r="AZ62" s="589"/>
      <c r="BA62" s="875"/>
      <c r="BB62" s="589"/>
      <c r="BC62" s="888">
        <v>0</v>
      </c>
      <c r="BD62" s="882"/>
      <c r="BE62" s="534"/>
      <c r="BF62" s="534"/>
      <c r="BG62" s="507">
        <f>42%*WWWW[[#This Row],[Total PoP ]]</f>
        <v>4882.5</v>
      </c>
      <c r="BH62" s="534">
        <v>0.92</v>
      </c>
      <c r="BI62" s="589" t="e">
        <f>WWWW[[#This Row],[Cases of Acute watery diarrhea]]/WWWW[[#This Row],[Total consultations]]</f>
        <v>#DIV/0!</v>
      </c>
      <c r="BJ62" s="535"/>
      <c r="BK62" s="881"/>
      <c r="BL62" s="881"/>
      <c r="BM62" s="883" t="str">
        <f>IFERROR(WWWW[[#This Row],['#_Water samples _passed_at_water source]]/WWWW[[#This Row],['#_Water samples_Tested_at_water_source]],"no test")</f>
        <v>no test</v>
      </c>
      <c r="BN62" s="880" t="str">
        <f>IFERROR(WWWW[[#This Row],['#_Water samples _passed_at_HH]]/WWWW[[#This Row],['#_Water samples_Tested_at_HH]],"no test")</f>
        <v>no test</v>
      </c>
      <c r="BO62" s="884" t="str">
        <f>IF(AND(WWWW[[#This Row],[%of Water samples which passed at water source]]="no test",WWWW[[#This Row],[%Water samples which passed at HH]]="no test"),"No Test","Tested")</f>
        <v>No Test</v>
      </c>
      <c r="BP62" s="883">
        <f>IF(WWWW[[#This Row],[Total PoP ]]="","",IF(((WWWW[[#This Row],['#_Functional_improved_water_source]]*500)+(WWWW[[#This Row],['#_litres_of_water_supplied_by_existing_water_boating/trucking ]]/90/15)+(WWWW[[#This Row],['#_Functional_water_point_at_TLS/CFS]]*500))/WWWW[[#This Row],[Total PoP ]]&gt;1,1,((WWWW[[#This Row],['#_Functional_improved_water_source]]*500)+(WWWW[[#This Row],['#_litres_of_water_supplied_by_existing_water_boating/trucking ]]/90/15)+(WWWW[[#This Row],['#_Functional_water_point_at_TLS/CFS]]*500))/WWWW[[#This Row],[Total PoP ]]))</f>
        <v>1</v>
      </c>
      <c r="BQ62" s="878">
        <f>WWWW[[#This Row],[Access to safe/improved water through improved water sources]]*WWWW[[#This Row],[Total PoP ]]</f>
        <v>11625</v>
      </c>
      <c r="BR62" s="883">
        <f>IF((WWWW[[#This Row],['#_litres_of_water_stored_in_ponds]]/90/15)/WWWW[[#This Row],[Total PoP ]]&gt;1,1,(WWWW[[#This Row],['#_litres_of_water_stored_in_ponds]]/90/15)/WWWW[[#This Row],[Total PoP ]])</f>
        <v>0</v>
      </c>
      <c r="BS62" s="878">
        <f>WWWW[[#This Row],[% Access to unimproved water points]]*WWWW[[#This Row],[Total PoP ]]</f>
        <v>0</v>
      </c>
      <c r="BT62" s="883">
        <f>IF(WWWW[[#This Row],[Access to safe/improved water through improved water sources]]+WWWW[[#This Row],[% Access to unimproved water points]]&gt;1,1,WWWW[[#This Row],[Access to safe/improved water through improved water sources]]+WWWW[[#This Row],[% Access to unimproved water points]])</f>
        <v>1</v>
      </c>
      <c r="BU62" s="878">
        <f>IF(WWWW[[#This Row],['# people with equitable and continuous access to sufficient quantity of safe drinking water]]+WWWW[[#This Row],['#People access to unimproved water sources]]&gt;WWWW[[#This Row],[Total PoP ]],WWWW[[#This Row],[Total PoP ]],WWWW[[#This Row],['# people with equitable and continuous access to sufficient quantity of safe drinking water]]+WWWW[[#This Row],['#People access to unimproved water sources]])</f>
        <v>11625</v>
      </c>
      <c r="BV62" s="878">
        <f>WWWW[[#This Row],[HRP1]]/500</f>
        <v>23.25</v>
      </c>
      <c r="BW62" s="885">
        <f>1-WWWW[[#This Row],[% HRP1]]</f>
        <v>0</v>
      </c>
      <c r="BX62" s="878">
        <f>WWWW[[#This Row],[%equitable and continuous access to sufficient quantity of safe drinking and domestic water''s GAP]]*WWWW[[#This Row],[Total PoP ]]</f>
        <v>0</v>
      </c>
      <c r="BY62" s="535">
        <f>ROUND(IF(WWWW[[#This Row],[Total PoP ]]&lt;500,1,WWWW[[#This Row],[Total PoP ]]/500),0)</f>
        <v>23</v>
      </c>
      <c r="BZ62" s="884">
        <f>IF(WWWW[[#This Row],[Total required water points]]-WWWW[[#This Row],['#Water points coverage]]&lt;0,0,WWWW[[#This Row],[Total required water points]]-WWWW[[#This Row],['#Water points coverage]])</f>
        <v>0</v>
      </c>
      <c r="CA62" s="536">
        <f>WWWW[[#This Row],[HRP2]]/WWWW[[#This Row],[Total PoP ]]</f>
        <v>0.75440860215053762</v>
      </c>
      <c r="CB62" s="878">
        <f>IF(WWWW[[#This Row],[Total PoP ]]="",0,IF(((WWWW[[#This Row],['#_Functional_adult_latrines]]*20)+(WWWW[[#This Row],['#_of_functional_children_latrines]]*20)+WWWW[[#This Row],['#_of_PWD_with_adapted_sanitation_option]]+(WWWW[[#This Row],['#_of_latrines_in_TLS/CFS]]*50))&gt;WWWW[[#This Row],[Total PoP ]],WWWW[[#This Row],[Total PoP ]],((WWWW[[#This Row],['#_Functional_adult_latrines]]*20)+(WWWW[[#This Row],['#_of_functional_children_latrines]]*20)+WWWW[[#This Row],['#_of_PWD_with_adapted_sanitation_option]]+(WWWW[[#This Row],['#_of_latrines_in_TLS/CFS]]*50))))</f>
        <v>8770</v>
      </c>
      <c r="CC62" s="884">
        <f>IF(WWWW[[#This Row],['#_of_latrines_in_TLS/CFS]]*50&gt;WWWW[[#This Row],['#_students at TLS_CFS]],WWWW[[#This Row],['#_students at TLS_CFS]],WWWW[[#This Row],['#_of_latrines_in_TLS/CFS]]*50)</f>
        <v>232</v>
      </c>
      <c r="CD62" s="884">
        <f>ROUND(IF(WWWW[[#This Row],[Location Type 1]]="camp",WWWW[[#This Row],[Total PoP ]]/20),0)</f>
        <v>581</v>
      </c>
      <c r="CE62" s="884">
        <f>IF(WWWW[[#This Row],[Total required Latrines]]-WWWW[[#This Row],['#_Existing_latrines]]&lt;0,0,WWWW[[#This Row],[Total required Latrines]]-WWWW[[#This Row],['#_Existing_latrines]])</f>
        <v>83</v>
      </c>
      <c r="CF62" s="885">
        <f>1-WWWW[[#This Row],[% HRP2]]</f>
        <v>0.24559139784946238</v>
      </c>
      <c r="CG62" s="883">
        <f>IF(WWWW[[#This Row],['#_Existing_latrines]]="","NA",(WWWW[[#This Row],['#_Existing_latrines]]-WWWW[[#This Row],['#_Functional_adult_latrines]])/WWWW[[#This Row],['#_Existing_latrines]])</f>
        <v>0.17068273092369479</v>
      </c>
      <c r="CH62" s="878">
        <f>IF(WWWW[[#This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Row],[_'#_of_Girls_receiving_consultation_hygiene_promotion_messages_and_sessions]]&gt;WWWW[[#This Row],[Total PoP ]],WWWW[[#This Row],[Total PoP ]],WWWW[[#This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f>
        <v>1522</v>
      </c>
      <c r="CI62" s="884">
        <f>IF(WWWW[[#This Row],['#_of_affected_households_receiving_a_sufficient_quantity_of_soap]]=0,0,IF(WWWW[[#This Row],['#_of_affected_households_receiving_a_sufficient_quantity_of_soap]]&gt;=WWWW[[#This Row],[Total HH]],WWWW[[#This Row],[Total PoP ]],IF(WWWW[[#This Row],['#_of_affected_households_receiving_a_sufficient_quantity_of_soap]]*5&gt;WWWW[[#This Row],[Total PoP ]],WWWW[[#This Row],[Total PoP ]],WWWW[[#This Row],['#_of_affected_households_receiving_a_sufficient_quantity_of_soap]]*5)))</f>
        <v>9245</v>
      </c>
      <c r="CJ62" s="884">
        <f>IF(WWWW[[#This Row],['#_of_affected_women_and_girls_receiving_a_sufficient_quantity_of_sanitary_pads]]&gt;WWWW[[#This Row],[Total PoP ]],WWWW[[#This Row],[Total PoP ]],WWWW[[#This Row],['#_of_affected_women_and_girls_receiving_a_sufficient_quantity_of_sanitary_pads]])</f>
        <v>0</v>
      </c>
      <c r="CK62" s="884">
        <f>IF(WWWW[[#This Row],['# People with access to soap]]&gt;WWWW[[#This Row],['# People with access to Sanity Pads]],WWWW[[#This Row],['# People with access to soap]],WWWW[[#This Row],['# People with access to Sanity Pads]])</f>
        <v>9245</v>
      </c>
      <c r="CL62" s="884">
        <f>IF(WWWW[[#This Row],['# people reached by regular dedicated hygiene promotion_5]]&gt;WWWW[[#This Row],['# People received regular supply of hygiene items_6]],WWWW[[#This Row],['# people reached by regular dedicated hygiene promotion_5]],WWWW[[#This Row],['# People received regular supply of hygiene items_6]])</f>
        <v>9245</v>
      </c>
      <c r="CM62" s="885">
        <f>IF(WWWW[[#This Row],[HRP3]]/WWWW[[#This Row],[Total PoP ]]&gt;100%,100%,WWWW[[#This Row],[HRP3]]/WWWW[[#This Row],[Total PoP ]])</f>
        <v>0.79526881720430109</v>
      </c>
      <c r="CN62" s="883">
        <f>1-WWWW[[#This Row],[Hygiene Coverage%]]</f>
        <v>0.20473118279569891</v>
      </c>
      <c r="CO62" s="880">
        <f>WWWW[[#This Row],['# people reached by regular dedicated hygiene promotion_5]]/WWWW[[#This Row],[Total PoP ]]</f>
        <v>0.13092473118279571</v>
      </c>
      <c r="CP62" s="883">
        <f>IF(WWWW[[#This Row],['#_of_affected_households_receiving_a_sufficient_quantity_of_soap]]/WWWW[[#This Row],[Total HH]]&gt;1,1,WWWW[[#This Row],['#_of_affected_households_receiving_a_sufficient_quantity_of_soap]]/WWWW[[#This Row],[Total HH]])</f>
        <v>0.99945945945945946</v>
      </c>
      <c r="CQ62" s="542" t="str">
        <f>IF(WWWW[[#This Row],['#_students at TLS_CFS]]="","No","Yes")</f>
        <v>Yes</v>
      </c>
      <c r="CR62" s="534">
        <f>WWWW[[#This Row],['#_of_affected_people_surveyed_who_report_feeling_informed_about_the_different_WASH_services_available_to_them]]/WWWW[[#This Row],[Total PoP ]]</f>
        <v>0.42</v>
      </c>
      <c r="CS62" s="886" t="str">
        <f>VLOOKUP(WWWW[[#This Row],[Site Name]],SiteDB6[[Site Name]:[CCCM Management]],6,FALSE)</f>
        <v>Yes</v>
      </c>
      <c r="CT62" s="886">
        <f>VLOOKUP(WWWW[[#This Row],[Site Name]],SiteDB6[[Site Name]:[CCCM Focal Agency]],7,FALSE)</f>
        <v>0</v>
      </c>
      <c r="CU62" s="886" t="str">
        <f>VLOOKUP(WWWW[[#This Row],[Site Name]],SiteDB6[[Site Name]:[Location Type 1]],9,FALSE)</f>
        <v>Camp</v>
      </c>
      <c r="CV62" s="886" t="str">
        <f>VLOOKUP(WWWW[[#This Row],[Site Name]],SiteDB6[[Site Name]:[Type of Accommodation]],10,FALSE)</f>
        <v>Planned Camp</v>
      </c>
      <c r="CW62" s="886" t="str">
        <f>VLOOKUP(WWWW[[#This Row],[Site Name]],SiteDB6[[Site Name]:[Ethnic or GCA/NGCA]],11,FALSE)</f>
        <v>Muslim</v>
      </c>
      <c r="CX62" s="886">
        <f>VLOOKUP(WWWW[[#This Row],[Site Name]],SiteDB6[[Site Name]:[Lat]],12,FALSE)</f>
        <v>20.16846</v>
      </c>
      <c r="CY62" s="886">
        <f>VLOOKUP(WWWW[[#This Row],[Site Name]],SiteDB6[[Site Name]:[Long]],13,FALSE)</f>
        <v>92.827427</v>
      </c>
      <c r="CZ62" s="886" t="str">
        <f>VLOOKUP(WWWW[[#This Row],[Site Name]],SiteDB6[[Site Name]:[Pcode]],3,FALSE)</f>
        <v>MMR012CMP041</v>
      </c>
      <c r="DA62" s="887" t="str">
        <f t="shared" si="2"/>
        <v>Covered</v>
      </c>
      <c r="DB62" s="564">
        <f>VLOOKUP(WWWW[[#This Row],[Site Name]],SiteDB6[[Site Name]:[PWD_Total]],22,FALSE)</f>
        <v>92</v>
      </c>
      <c r="DC62" s="564">
        <f>VLOOKUP(WWWW[[#This Row],[Site Name]],SiteDB6[[Site Name]:[PWD_Total]],23,FALSE)</f>
        <v>645</v>
      </c>
      <c r="DD62" s="564">
        <f>VLOOKUP(WWWW[[#This Row],[Site Name]],SiteDB6[[Site Name]:[PWD_Total]],24,FALSE)</f>
        <v>737</v>
      </c>
      <c r="DE62" s="886"/>
      <c r="DF62" s="887"/>
      <c r="DG62" s="887"/>
      <c r="DH62" s="887"/>
    </row>
    <row r="63" spans="1:112">
      <c r="A63" s="873" t="s">
        <v>2389</v>
      </c>
      <c r="B63" s="873" t="s">
        <v>2308</v>
      </c>
      <c r="C63" s="944" t="s">
        <v>2308</v>
      </c>
      <c r="D63" s="944" t="s">
        <v>41</v>
      </c>
      <c r="E63" s="945" t="s">
        <v>2706</v>
      </c>
      <c r="F63" s="944" t="s">
        <v>299</v>
      </c>
      <c r="G63" s="874" t="str">
        <f>VLOOKUP(WWWW[[#This Row],[Site Name]],SiteDB6[[Site Name]:[Location Type]],8,FALSE)</f>
        <v>Camp</v>
      </c>
      <c r="H63" s="944" t="s">
        <v>427</v>
      </c>
      <c r="I63" s="875">
        <v>604</v>
      </c>
      <c r="J63" s="875">
        <v>3360</v>
      </c>
      <c r="K63" s="876">
        <v>43009</v>
      </c>
      <c r="L63" s="877">
        <v>44104</v>
      </c>
      <c r="M63" s="875"/>
      <c r="N63" s="875"/>
      <c r="O63" s="875"/>
      <c r="P63" s="875">
        <v>0</v>
      </c>
      <c r="Q63" s="878"/>
      <c r="R63" s="875">
        <v>8</v>
      </c>
      <c r="S63" s="875">
        <v>3</v>
      </c>
      <c r="T63" s="589">
        <v>23</v>
      </c>
      <c r="U63" s="875">
        <v>23</v>
      </c>
      <c r="V63" s="875"/>
      <c r="W63" s="875"/>
      <c r="X63" s="875"/>
      <c r="Y63" s="875"/>
      <c r="Z63" s="875"/>
      <c r="AA63" s="875"/>
      <c r="AB63" s="875">
        <v>0</v>
      </c>
      <c r="AC63" s="507">
        <v>599</v>
      </c>
      <c r="AD63" s="875">
        <v>1</v>
      </c>
      <c r="AE63" s="879"/>
      <c r="AF63" s="507"/>
      <c r="AG63" s="507"/>
      <c r="AH63" s="875"/>
      <c r="AI63" s="888"/>
      <c r="AJ63" s="875"/>
      <c r="AK63" s="534"/>
      <c r="AL63" s="534"/>
      <c r="AM63" s="534"/>
      <c r="AN63" s="534"/>
      <c r="AO63" s="875"/>
      <c r="AP63" s="875"/>
      <c r="AQ63" s="875">
        <v>10</v>
      </c>
      <c r="AR63" s="875" t="s">
        <v>130</v>
      </c>
      <c r="AS63" s="881"/>
      <c r="AT63" s="875">
        <v>52</v>
      </c>
      <c r="AU63" s="875">
        <v>192</v>
      </c>
      <c r="AV63" s="875">
        <v>264</v>
      </c>
      <c r="AW63" s="875">
        <v>354</v>
      </c>
      <c r="AX63" s="875">
        <v>598</v>
      </c>
      <c r="AY63" s="875"/>
      <c r="AZ63" s="589"/>
      <c r="BA63" s="875"/>
      <c r="BB63" s="589"/>
      <c r="BC63" s="888"/>
      <c r="BD63" s="882"/>
      <c r="BE63" s="534"/>
      <c r="BF63" s="534"/>
      <c r="BG63" s="589"/>
      <c r="BH63" s="534"/>
      <c r="BI63" s="589" t="e">
        <f>WWWW[[#This Row],[Cases of Acute watery diarrhea]]/WWWW[[#This Row],[Total consultations]]</f>
        <v>#DIV/0!</v>
      </c>
      <c r="BJ63" s="535"/>
      <c r="BK63" s="881"/>
      <c r="BL63" s="881"/>
      <c r="BM63" s="883" t="str">
        <f>IFERROR(WWWW[[#This Row],['#_Water samples _passed_at_water source]]/WWWW[[#This Row],['#_Water samples_Tested_at_water_source]],"no test")</f>
        <v>no test</v>
      </c>
      <c r="BN63" s="880" t="str">
        <f>IFERROR(WWWW[[#This Row],['#_Water samples _passed_at_HH]]/WWWW[[#This Row],['#_Water samples_Tested_at_HH]],"no test")</f>
        <v>no test</v>
      </c>
      <c r="BO63" s="884" t="str">
        <f>IF(AND(WWWW[[#This Row],[%of Water samples which passed at water source]]="no test",WWWW[[#This Row],[%Water samples which passed at HH]]="no test"),"No Test","Tested")</f>
        <v>No Test</v>
      </c>
      <c r="BP63" s="883">
        <f>IF(WWWW[[#This Row],[Total PoP ]]="","",IF(((WWWW[[#This Row],['#_Functional_improved_water_source]]*500)+(WWWW[[#This Row],['#_litres_of_water_supplied_by_existing_water_boating/trucking ]]/90/15)+(WWWW[[#This Row],['#_Functional_water_point_at_TLS/CFS]]*500))/WWWW[[#This Row],[Total PoP ]]&gt;1,1,((WWWW[[#This Row],['#_Functional_improved_water_source]]*500)+(WWWW[[#This Row],['#_litres_of_water_supplied_by_existing_water_boating/trucking ]]/90/15)+(WWWW[[#This Row],['#_Functional_water_point_at_TLS/CFS]]*500))/WWWW[[#This Row],[Total PoP ]]))</f>
        <v>1</v>
      </c>
      <c r="BQ63" s="878">
        <f>WWWW[[#This Row],[Access to safe/improved water through improved water sources]]*WWWW[[#This Row],[Total PoP ]]</f>
        <v>3360</v>
      </c>
      <c r="BR63" s="883">
        <f>IF((WWWW[[#This Row],['#_litres_of_water_stored_in_ponds]]/90/15)/WWWW[[#This Row],[Total PoP ]]&gt;1,1,(WWWW[[#This Row],['#_litres_of_water_stored_in_ponds]]/90/15)/WWWW[[#This Row],[Total PoP ]])</f>
        <v>0</v>
      </c>
      <c r="BS63" s="878">
        <f>WWWW[[#This Row],[% Access to unimproved water points]]*WWWW[[#This Row],[Total PoP ]]</f>
        <v>0</v>
      </c>
      <c r="BT63" s="883">
        <f>IF(WWWW[[#This Row],[Access to safe/improved water through improved water sources]]+WWWW[[#This Row],[% Access to unimproved water points]]&gt;1,1,WWWW[[#This Row],[Access to safe/improved water through improved water sources]]+WWWW[[#This Row],[% Access to unimproved water points]])</f>
        <v>1</v>
      </c>
      <c r="BU63" s="878">
        <f>IF(WWWW[[#This Row],['# people with equitable and continuous access to sufficient quantity of safe drinking water]]+WWWW[[#This Row],['#People access to unimproved water sources]]&gt;WWWW[[#This Row],[Total PoP ]],WWWW[[#This Row],[Total PoP ]],WWWW[[#This Row],['# people with equitable and continuous access to sufficient quantity of safe drinking water]]+WWWW[[#This Row],['#People access to unimproved water sources]])</f>
        <v>3360</v>
      </c>
      <c r="BV63" s="878">
        <f>WWWW[[#This Row],[HRP1]]/500</f>
        <v>6.72</v>
      </c>
      <c r="BW63" s="885">
        <f>1-WWWW[[#This Row],[% HRP1]]</f>
        <v>0</v>
      </c>
      <c r="BX63" s="878">
        <f>WWWW[[#This Row],[%equitable and continuous access to sufficient quantity of safe drinking and domestic water''s GAP]]*WWWW[[#This Row],[Total PoP ]]</f>
        <v>0</v>
      </c>
      <c r="BY63" s="535">
        <f>ROUND(IF(WWWW[[#This Row],[Total PoP ]]&lt;500,1,WWWW[[#This Row],[Total PoP ]]/500),0)</f>
        <v>7</v>
      </c>
      <c r="BZ63" s="884">
        <f>IF(WWWW[[#This Row],[Total required water points]]-WWWW[[#This Row],['#Water points coverage]]&lt;0,0,WWWW[[#This Row],[Total required water points]]-WWWW[[#This Row],['#Water points coverage]])</f>
        <v>0.28000000000000025</v>
      </c>
      <c r="CA63" s="536">
        <f>WWWW[[#This Row],[HRP2]]/WWWW[[#This Row],[Total PoP ]]</f>
        <v>0.14880952380952381</v>
      </c>
      <c r="CB63" s="878">
        <f>IF(WWWW[[#This Row],[Total PoP ]]="",0,IF(((WWWW[[#This Row],['#_Functional_adult_latrines]]*20)+(WWWW[[#This Row],['#_of_functional_children_latrines]]*20)+WWWW[[#This Row],['#_of_PWD_with_adapted_sanitation_option]]+(WWWW[[#This Row],['#_of_latrines_in_TLS/CFS]]*50))&gt;WWWW[[#This Row],[Total PoP ]],WWWW[[#This Row],[Total PoP ]],((WWWW[[#This Row],['#_Functional_adult_latrines]]*20)+(WWWW[[#This Row],['#_of_functional_children_latrines]]*20)+WWWW[[#This Row],['#_of_PWD_with_adapted_sanitation_option]]+(WWWW[[#This Row],['#_of_latrines_in_TLS/CFS]]*50))))</f>
        <v>500</v>
      </c>
      <c r="CC63" s="884">
        <f>IF(WWWW[[#This Row],['#_of_latrines_in_TLS/CFS]]*50&gt;WWWW[[#This Row],['#_students at TLS_CFS]],WWWW[[#This Row],['#_students at TLS_CFS]],WWWW[[#This Row],['#_of_latrines_in_TLS/CFS]]*50)</f>
        <v>0</v>
      </c>
      <c r="CD63" s="884">
        <f>ROUND(IF(WWWW[[#This Row],[Location Type 1]]="camp",WWWW[[#This Row],[Total PoP ]]/20),0)</f>
        <v>168</v>
      </c>
      <c r="CE63" s="884">
        <f>IF(WWWW[[#This Row],[Total required Latrines]]-WWWW[[#This Row],['#_Existing_latrines]]&lt;0,0,WWWW[[#This Row],[Total required Latrines]]-WWWW[[#This Row],['#_Existing_latrines]])</f>
        <v>168</v>
      </c>
      <c r="CF63" s="885">
        <f>1-WWWW[[#This Row],[% HRP2]]</f>
        <v>0.85119047619047616</v>
      </c>
      <c r="CG63" s="883" t="str">
        <f>IF(WWWW[[#This Row],['#_Existing_latrines]]="","NA",(WWWW[[#This Row],['#_Existing_latrines]]-WWWW[[#This Row],['#_Functional_adult_latrines]])/WWWW[[#This Row],['#_Existing_latrines]])</f>
        <v>NA</v>
      </c>
      <c r="CH63" s="878">
        <f>IF(WWWW[[#This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Row],[_'#_of_Girls_receiving_consultation_hygiene_promotion_messages_and_sessions]]&gt;WWWW[[#This Row],[Total PoP ]],WWWW[[#This Row],[Total PoP ]],WWWW[[#This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f>
        <v>862</v>
      </c>
      <c r="CI63" s="884">
        <f>IF(WWWW[[#This Row],['#_of_affected_households_receiving_a_sufficient_quantity_of_soap]]=0,0,IF(WWWW[[#This Row],['#_of_affected_households_receiving_a_sufficient_quantity_of_soap]]&gt;=WWWW[[#This Row],[Total HH]],WWWW[[#This Row],[Total PoP ]],IF(WWWW[[#This Row],['#_of_affected_households_receiving_a_sufficient_quantity_of_soap]]*5&gt;WWWW[[#This Row],[Total PoP ]],WWWW[[#This Row],[Total PoP ]],WWWW[[#This Row],['#_of_affected_households_receiving_a_sufficient_quantity_of_soap]]*5)))</f>
        <v>2990</v>
      </c>
      <c r="CJ63" s="884">
        <f>IF(WWWW[[#This Row],['#_of_affected_women_and_girls_receiving_a_sufficient_quantity_of_sanitary_pads]]&gt;WWWW[[#This Row],[Total PoP ]],WWWW[[#This Row],[Total PoP ]],WWWW[[#This Row],['#_of_affected_women_and_girls_receiving_a_sufficient_quantity_of_sanitary_pads]])</f>
        <v>0</v>
      </c>
      <c r="CK63" s="884">
        <f>IF(WWWW[[#This Row],['# People with access to soap]]&gt;WWWW[[#This Row],['# People with access to Sanity Pads]],WWWW[[#This Row],['# People with access to soap]],WWWW[[#This Row],['# People with access to Sanity Pads]])</f>
        <v>2990</v>
      </c>
      <c r="CL63" s="884">
        <f>IF(WWWW[[#This Row],['# people reached by regular dedicated hygiene promotion_5]]&gt;WWWW[[#This Row],['# People received regular supply of hygiene items_6]],WWWW[[#This Row],['# people reached by regular dedicated hygiene promotion_5]],WWWW[[#This Row],['# People received regular supply of hygiene items_6]])</f>
        <v>2990</v>
      </c>
      <c r="CM63" s="885">
        <f>IF(WWWW[[#This Row],[HRP3]]/WWWW[[#This Row],[Total PoP ]]&gt;100%,100%,WWWW[[#This Row],[HRP3]]/WWWW[[#This Row],[Total PoP ]])</f>
        <v>0.88988095238095233</v>
      </c>
      <c r="CN63" s="883">
        <f>1-WWWW[[#This Row],[Hygiene Coverage%]]</f>
        <v>0.11011904761904767</v>
      </c>
      <c r="CO63" s="880">
        <f>WWWW[[#This Row],['# people reached by regular dedicated hygiene promotion_5]]/WWWW[[#This Row],[Total PoP ]]</f>
        <v>0.25654761904761902</v>
      </c>
      <c r="CP63" s="883">
        <f>IF(WWWW[[#This Row],['#_of_affected_households_receiving_a_sufficient_quantity_of_soap]]/WWWW[[#This Row],[Total HH]]&gt;1,1,WWWW[[#This Row],['#_of_affected_households_receiving_a_sufficient_quantity_of_soap]]/WWWW[[#This Row],[Total HH]])</f>
        <v>0.99006622516556286</v>
      </c>
      <c r="CQ63" s="542" t="str">
        <f>IF(WWWW[[#This Row],['#_students at TLS_CFS]]="","No","Yes")</f>
        <v>No</v>
      </c>
      <c r="CR63" s="534"/>
      <c r="CS63" s="886" t="str">
        <f>VLOOKUP(WWWW[[#This Row],[Site Name]],SiteDB6[[Site Name]:[CCCM Management]],6,FALSE)</f>
        <v>Yes</v>
      </c>
      <c r="CT63" s="886">
        <f>VLOOKUP(WWWW[[#This Row],[Site Name]],SiteDB6[[Site Name]:[CCCM Focal Agency]],7,FALSE)</f>
        <v>0</v>
      </c>
      <c r="CU63" s="886" t="str">
        <f>VLOOKUP(WWWW[[#This Row],[Site Name]],SiteDB6[[Site Name]:[Location Type 1]],9,FALSE)</f>
        <v>Camp</v>
      </c>
      <c r="CV63" s="886" t="str">
        <f>VLOOKUP(WWWW[[#This Row],[Site Name]],SiteDB6[[Site Name]:[Type of Accommodation]],10,FALSE)</f>
        <v>Host Families</v>
      </c>
      <c r="CW63" s="886" t="str">
        <f>VLOOKUP(WWWW[[#This Row],[Site Name]],SiteDB6[[Site Name]:[Ethnic or GCA/NGCA]],11,FALSE)</f>
        <v>Muslim</v>
      </c>
      <c r="CX63" s="886">
        <f>VLOOKUP(WWWW[[#This Row],[Site Name]],SiteDB6[[Site Name]:[Lat]],12,FALSE)</f>
        <v>20.167421999999998</v>
      </c>
      <c r="CY63" s="886">
        <f>VLOOKUP(WWWW[[#This Row],[Site Name]],SiteDB6[[Site Name]:[Long]],13,FALSE)</f>
        <v>92.830074999999994</v>
      </c>
      <c r="CZ63" s="886" t="str">
        <f>VLOOKUP(WWWW[[#This Row],[Site Name]],SiteDB6[[Site Name]:[Pcode]],3,FALSE)</f>
        <v>MMR012CMP097</v>
      </c>
      <c r="DA63" s="887" t="str">
        <f t="shared" si="2"/>
        <v>Covered</v>
      </c>
      <c r="DB63" s="564">
        <f>VLOOKUP(WWWW[[#This Row],[Site Name]],SiteDB6[[Site Name]:[PWD_Total]],22,FALSE)</f>
        <v>0</v>
      </c>
      <c r="DC63" s="564">
        <f>VLOOKUP(WWWW[[#This Row],[Site Name]],SiteDB6[[Site Name]:[PWD_Total]],23,FALSE)</f>
        <v>0</v>
      </c>
      <c r="DD63" s="564">
        <f>VLOOKUP(WWWW[[#This Row],[Site Name]],SiteDB6[[Site Name]:[PWD_Total]],24,FALSE)</f>
        <v>0</v>
      </c>
      <c r="DE63" s="886"/>
      <c r="DF63" s="887"/>
      <c r="DG63" s="887"/>
      <c r="DH63" s="887"/>
    </row>
    <row r="64" spans="1:112">
      <c r="A64" s="873" t="s">
        <v>2389</v>
      </c>
      <c r="B64" s="873" t="s">
        <v>2307</v>
      </c>
      <c r="C64" s="944" t="s">
        <v>2307</v>
      </c>
      <c r="D64" s="944" t="s">
        <v>41</v>
      </c>
      <c r="E64" s="945" t="s">
        <v>2706</v>
      </c>
      <c r="F64" s="944" t="s">
        <v>299</v>
      </c>
      <c r="G64" s="874" t="str">
        <f>VLOOKUP(WWWW[[#This Row],[Site Name]],SiteDB6[[Site Name]:[Location Type]],8,FALSE)</f>
        <v>Camp</v>
      </c>
      <c r="H64" s="944" t="s">
        <v>2309</v>
      </c>
      <c r="I64" s="875">
        <v>400</v>
      </c>
      <c r="J64" s="875">
        <v>2248</v>
      </c>
      <c r="K64" s="876">
        <v>43009</v>
      </c>
      <c r="L64" s="877">
        <v>44104</v>
      </c>
      <c r="M64" s="875">
        <v>444</v>
      </c>
      <c r="N64" s="875">
        <v>20</v>
      </c>
      <c r="O64" s="875">
        <v>59</v>
      </c>
      <c r="P64" s="875">
        <v>0</v>
      </c>
      <c r="Q64" s="878" t="s">
        <v>130</v>
      </c>
      <c r="R64" s="875">
        <v>5</v>
      </c>
      <c r="S64" s="875">
        <v>2</v>
      </c>
      <c r="T64" s="589">
        <v>50</v>
      </c>
      <c r="U64" s="875">
        <v>52</v>
      </c>
      <c r="V64" s="875"/>
      <c r="W64" s="875"/>
      <c r="X64" s="875">
        <v>4</v>
      </c>
      <c r="Y64" s="875">
        <v>3</v>
      </c>
      <c r="Z64" s="875"/>
      <c r="AA64" s="875"/>
      <c r="AB64" s="875">
        <v>400</v>
      </c>
      <c r="AC64" s="875">
        <v>30</v>
      </c>
      <c r="AD64" s="875">
        <v>1</v>
      </c>
      <c r="AE64" s="879"/>
      <c r="AF64" s="507">
        <v>81</v>
      </c>
      <c r="AG64" s="875">
        <v>106</v>
      </c>
      <c r="AH64" s="875">
        <v>52</v>
      </c>
      <c r="AI64" s="880">
        <v>0.42</v>
      </c>
      <c r="AJ64" s="875">
        <v>109</v>
      </c>
      <c r="AK64" s="534">
        <v>1</v>
      </c>
      <c r="AL64" s="534">
        <v>0.36</v>
      </c>
      <c r="AM64" s="534">
        <v>1</v>
      </c>
      <c r="AN64" s="534">
        <v>1</v>
      </c>
      <c r="AO64" s="875">
        <v>8</v>
      </c>
      <c r="AP64" s="875"/>
      <c r="AQ64" s="875">
        <v>7</v>
      </c>
      <c r="AR64" s="875" t="s">
        <v>42</v>
      </c>
      <c r="AS64" s="881"/>
      <c r="AT64" s="875">
        <v>481</v>
      </c>
      <c r="AU64" s="875">
        <v>2971</v>
      </c>
      <c r="AV64" s="875">
        <v>2354</v>
      </c>
      <c r="AW64" s="875">
        <v>3191</v>
      </c>
      <c r="AX64" s="875">
        <v>400</v>
      </c>
      <c r="AY64" s="875"/>
      <c r="AZ64" s="589"/>
      <c r="BA64" s="875"/>
      <c r="BB64" s="589"/>
      <c r="BC64" s="888">
        <v>0</v>
      </c>
      <c r="BD64" s="882"/>
      <c r="BE64" s="534"/>
      <c r="BF64" s="534"/>
      <c r="BG64" s="507">
        <f>100%*WWWW[[#This Row],[Total PoP ]]</f>
        <v>2248</v>
      </c>
      <c r="BH64" s="534">
        <v>1</v>
      </c>
      <c r="BI64" s="589" t="e">
        <f>WWWW[[#This Row],[Cases of Acute watery diarrhea]]/WWWW[[#This Row],[Total consultations]]</f>
        <v>#DIV/0!</v>
      </c>
      <c r="BJ64" s="535"/>
      <c r="BK64" s="881"/>
      <c r="BL64" s="881"/>
      <c r="BM64" s="883">
        <f>IFERROR(WWWW[[#This Row],['#_Water samples _passed_at_water source]]/WWWW[[#This Row],['#_Water samples_Tested_at_water_source]],"no test")</f>
        <v>0.75</v>
      </c>
      <c r="BN64" s="880" t="str">
        <f>IFERROR(WWWW[[#This Row],['#_Water samples _passed_at_HH]]/WWWW[[#This Row],['#_Water samples_Tested_at_HH]],"no test")</f>
        <v>no test</v>
      </c>
      <c r="BO64" s="884" t="str">
        <f>IF(AND(WWWW[[#This Row],[%of Water samples which passed at water source]]="no test",WWWW[[#This Row],[%Water samples which passed at HH]]="no test"),"No Test","Tested")</f>
        <v>Tested</v>
      </c>
      <c r="BP64" s="883">
        <f>IF(WWWW[[#This Row],[Total PoP ]]="","",IF(((WWWW[[#This Row],['#_Functional_improved_water_source]]*500)+(WWWW[[#This Row],['#_litres_of_water_supplied_by_existing_water_boating/trucking ]]/90/15)+(WWWW[[#This Row],['#_Functional_water_point_at_TLS/CFS]]*500))/WWWW[[#This Row],[Total PoP ]]&gt;1,1,((WWWW[[#This Row],['#_Functional_improved_water_source]]*500)+(WWWW[[#This Row],['#_litres_of_water_supplied_by_existing_water_boating/trucking ]]/90/15)+(WWWW[[#This Row],['#_Functional_water_point_at_TLS/CFS]]*500))/WWWW[[#This Row],[Total PoP ]]))</f>
        <v>1</v>
      </c>
      <c r="BQ64" s="878">
        <f>WWWW[[#This Row],[Access to safe/improved water through improved water sources]]*WWWW[[#This Row],[Total PoP ]]</f>
        <v>2248</v>
      </c>
      <c r="BR64" s="883">
        <f>IF((WWWW[[#This Row],['#_litres_of_water_stored_in_ponds]]/90/15)/WWWW[[#This Row],[Total PoP ]]&gt;1,1,(WWWW[[#This Row],['#_litres_of_water_stored_in_ponds]]/90/15)/WWWW[[#This Row],[Total PoP ]])</f>
        <v>0</v>
      </c>
      <c r="BS64" s="878">
        <f>WWWW[[#This Row],[% Access to unimproved water points]]*WWWW[[#This Row],[Total PoP ]]</f>
        <v>0</v>
      </c>
      <c r="BT64" s="883">
        <f>IF(WWWW[[#This Row],[Access to safe/improved water through improved water sources]]+WWWW[[#This Row],[% Access to unimproved water points]]&gt;1,1,WWWW[[#This Row],[Access to safe/improved water through improved water sources]]+WWWW[[#This Row],[% Access to unimproved water points]])</f>
        <v>1</v>
      </c>
      <c r="BU64" s="878">
        <f>IF(WWWW[[#This Row],['# people with equitable and continuous access to sufficient quantity of safe drinking water]]+WWWW[[#This Row],['#People access to unimproved water sources]]&gt;WWWW[[#This Row],[Total PoP ]],WWWW[[#This Row],[Total PoP ]],WWWW[[#This Row],['# people with equitable and continuous access to sufficient quantity of safe drinking water]]+WWWW[[#This Row],['#People access to unimproved water sources]])</f>
        <v>2248</v>
      </c>
      <c r="BV64" s="878">
        <f>WWWW[[#This Row],[HRP1]]/500</f>
        <v>4.4960000000000004</v>
      </c>
      <c r="BW64" s="885">
        <f>1-WWWW[[#This Row],[% HRP1]]</f>
        <v>0</v>
      </c>
      <c r="BX64" s="878">
        <f>WWWW[[#This Row],[%equitable and continuous access to sufficient quantity of safe drinking and domestic water''s GAP]]*WWWW[[#This Row],[Total PoP ]]</f>
        <v>0</v>
      </c>
      <c r="BY64" s="535">
        <f>ROUND(IF(WWWW[[#This Row],[Total PoP ]]&lt;500,1,WWWW[[#This Row],[Total PoP ]]/500),0)</f>
        <v>4</v>
      </c>
      <c r="BZ64" s="884">
        <f>IF(WWWW[[#This Row],[Total required water points]]-WWWW[[#This Row],['#Water points coverage]]&lt;0,0,WWWW[[#This Row],[Total required water points]]-WWWW[[#This Row],['#Water points coverage]])</f>
        <v>0</v>
      </c>
      <c r="CA64" s="536">
        <f>WWWW[[#This Row],[HRP2]]/WWWW[[#This Row],[Total PoP ]]</f>
        <v>0.947508896797153</v>
      </c>
      <c r="CB64" s="878">
        <f>IF(WWWW[[#This Row],[Total PoP ]]="",0,IF(((WWWW[[#This Row],['#_Functional_adult_latrines]]*20)+(WWWW[[#This Row],['#_of_functional_children_latrines]]*20)+WWWW[[#This Row],['#_of_PWD_with_adapted_sanitation_option]]+(WWWW[[#This Row],['#_of_latrines_in_TLS/CFS]]*50))&gt;WWWW[[#This Row],[Total PoP ]],WWWW[[#This Row],[Total PoP ]],((WWWW[[#This Row],['#_Functional_adult_latrines]]*20)+(WWWW[[#This Row],['#_of_functional_children_latrines]]*20)+WWWW[[#This Row],['#_of_PWD_with_adapted_sanitation_option]]+(WWWW[[#This Row],['#_of_latrines_in_TLS/CFS]]*50))))</f>
        <v>2130</v>
      </c>
      <c r="CC64" s="884">
        <f>IF(WWWW[[#This Row],['#_of_latrines_in_TLS/CFS]]*50&gt;WWWW[[#This Row],['#_students at TLS_CFS]],WWWW[[#This Row],['#_students at TLS_CFS]],WWWW[[#This Row],['#_of_latrines_in_TLS/CFS]]*50)</f>
        <v>350</v>
      </c>
      <c r="CD64" s="884">
        <f>ROUND(IF(WWWW[[#This Row],[Location Type 1]]="camp",WWWW[[#This Row],[Total PoP ]]/20),0)</f>
        <v>112</v>
      </c>
      <c r="CE64" s="884">
        <f>IF(WWWW[[#This Row],[Total required Latrines]]-WWWW[[#This Row],['#_Existing_latrines]]&lt;0,0,WWWW[[#This Row],[Total required Latrines]]-WWWW[[#This Row],['#_Existing_latrines]])</f>
        <v>6</v>
      </c>
      <c r="CF64" s="885">
        <f>1-WWWW[[#This Row],[% HRP2]]</f>
        <v>5.2491103202847E-2</v>
      </c>
      <c r="CG64" s="883">
        <f>IF(WWWW[[#This Row],['#_Existing_latrines]]="","NA",(WWWW[[#This Row],['#_Existing_latrines]]-WWWW[[#This Row],['#_Functional_adult_latrines]])/WWWW[[#This Row],['#_Existing_latrines]])</f>
        <v>0.23584905660377359</v>
      </c>
      <c r="CH64" s="878">
        <f>IF(WWWW[[#This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Row],[_'#_of_Girls_receiving_consultation_hygiene_promotion_messages_and_sessions]]&gt;WWWW[[#This Row],[Total PoP ]],WWWW[[#This Row],[Total PoP ]],WWWW[[#This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f>
        <v>2248</v>
      </c>
      <c r="CI64" s="884">
        <f>IF(WWWW[[#This Row],['#_of_affected_households_receiving_a_sufficient_quantity_of_soap]]=0,0,IF(WWWW[[#This Row],['#_of_affected_households_receiving_a_sufficient_quantity_of_soap]]&gt;=WWWW[[#This Row],[Total HH]],WWWW[[#This Row],[Total PoP ]],IF(WWWW[[#This Row],['#_of_affected_households_receiving_a_sufficient_quantity_of_soap]]*5&gt;WWWW[[#This Row],[Total PoP ]],WWWW[[#This Row],[Total PoP ]],WWWW[[#This Row],['#_of_affected_households_receiving_a_sufficient_quantity_of_soap]]*5)))</f>
        <v>2248</v>
      </c>
      <c r="CJ64" s="884">
        <f>IF(WWWW[[#This Row],['#_of_affected_women_and_girls_receiving_a_sufficient_quantity_of_sanitary_pads]]&gt;WWWW[[#This Row],[Total PoP ]],WWWW[[#This Row],[Total PoP ]],WWWW[[#This Row],['#_of_affected_women_and_girls_receiving_a_sufficient_quantity_of_sanitary_pads]])</f>
        <v>0</v>
      </c>
      <c r="CK64" s="884">
        <f>IF(WWWW[[#This Row],['# People with access to soap]]&gt;WWWW[[#This Row],['# People with access to Sanity Pads]],WWWW[[#This Row],['# People with access to soap]],WWWW[[#This Row],['# People with access to Sanity Pads]])</f>
        <v>2248</v>
      </c>
      <c r="CL64" s="884">
        <f>IF(WWWW[[#This Row],['# people reached by regular dedicated hygiene promotion_5]]&gt;WWWW[[#This Row],['# People received regular supply of hygiene items_6]],WWWW[[#This Row],['# people reached by regular dedicated hygiene promotion_5]],WWWW[[#This Row],['# People received regular supply of hygiene items_6]])</f>
        <v>2248</v>
      </c>
      <c r="CM64" s="885">
        <f>IF(WWWW[[#This Row],[HRP3]]/WWWW[[#This Row],[Total PoP ]]&gt;100%,100%,WWWW[[#This Row],[HRP3]]/WWWW[[#This Row],[Total PoP ]])</f>
        <v>1</v>
      </c>
      <c r="CN64" s="883">
        <f>1-WWWW[[#This Row],[Hygiene Coverage%]]</f>
        <v>0</v>
      </c>
      <c r="CO64" s="880">
        <f>WWWW[[#This Row],['# people reached by regular dedicated hygiene promotion_5]]/WWWW[[#This Row],[Total PoP ]]</f>
        <v>1</v>
      </c>
      <c r="CP64" s="883">
        <f>IF(WWWW[[#This Row],['#_of_affected_households_receiving_a_sufficient_quantity_of_soap]]/WWWW[[#This Row],[Total HH]]&gt;1,1,WWWW[[#This Row],['#_of_affected_households_receiving_a_sufficient_quantity_of_soap]]/WWWW[[#This Row],[Total HH]])</f>
        <v>1</v>
      </c>
      <c r="CQ64" s="542" t="str">
        <f>IF(WWWW[[#This Row],['#_students at TLS_CFS]]="","No","Yes")</f>
        <v>Yes</v>
      </c>
      <c r="CR64" s="534">
        <f>WWWW[[#This Row],['#_of_affected_people_surveyed_who_report_feeling_informed_about_the_different_WASH_services_available_to_them]]/WWWW[[#This Row],[Total PoP ]]</f>
        <v>1</v>
      </c>
      <c r="CS64" s="886" t="str">
        <f>VLOOKUP(WWWW[[#This Row],[Site Name]],SiteDB6[[Site Name]:[CCCM Management]],6,FALSE)</f>
        <v>Yes</v>
      </c>
      <c r="CT64" s="886">
        <f>VLOOKUP(WWWW[[#This Row],[Site Name]],SiteDB6[[Site Name]:[CCCM Focal Agency]],7,FALSE)</f>
        <v>0</v>
      </c>
      <c r="CU64" s="886" t="str">
        <f>VLOOKUP(WWWW[[#This Row],[Site Name]],SiteDB6[[Site Name]:[Location Type 1]],9,FALSE)</f>
        <v>Camp</v>
      </c>
      <c r="CV64" s="886" t="str">
        <f>VLOOKUP(WWWW[[#This Row],[Site Name]],SiteDB6[[Site Name]:[Type of Accommodation]],10,FALSE)</f>
        <v>Planned Camp</v>
      </c>
      <c r="CW64" s="886" t="str">
        <f>VLOOKUP(WWWW[[#This Row],[Site Name]],SiteDB6[[Site Name]:[Ethnic or GCA/NGCA]],11,FALSE)</f>
        <v>Muslim</v>
      </c>
      <c r="CX64" s="886">
        <f>VLOOKUP(WWWW[[#This Row],[Site Name]],SiteDB6[[Site Name]:[Lat]],12,FALSE)</f>
        <v>20.181778000000001</v>
      </c>
      <c r="CY64" s="886">
        <f>VLOOKUP(WWWW[[#This Row],[Site Name]],SiteDB6[[Site Name]:[Long]],13,FALSE)</f>
        <v>92.823166999999998</v>
      </c>
      <c r="CZ64" s="886" t="str">
        <f>VLOOKUP(WWWW[[#This Row],[Site Name]],SiteDB6[[Site Name]:[Pcode]],3,FALSE)</f>
        <v>MMR012CMP042</v>
      </c>
      <c r="DA64" s="887" t="str">
        <f t="shared" si="2"/>
        <v>Covered</v>
      </c>
      <c r="DB64" s="564">
        <f>VLOOKUP(WWWW[[#This Row],[Site Name]],SiteDB6[[Site Name]:[PWD_Total]],22,FALSE)</f>
        <v>47</v>
      </c>
      <c r="DC64" s="564">
        <f>VLOOKUP(WWWW[[#This Row],[Site Name]],SiteDB6[[Site Name]:[PWD_Total]],23,FALSE)</f>
        <v>312</v>
      </c>
      <c r="DD64" s="564">
        <f>VLOOKUP(WWWW[[#This Row],[Site Name]],SiteDB6[[Site Name]:[PWD_Total]],24,FALSE)</f>
        <v>359</v>
      </c>
      <c r="DE64" s="886"/>
      <c r="DF64" s="887"/>
      <c r="DG64" s="887"/>
      <c r="DH64" s="887"/>
    </row>
    <row r="65" spans="1:112">
      <c r="A65" s="873" t="s">
        <v>2389</v>
      </c>
      <c r="B65" s="873" t="s">
        <v>2308</v>
      </c>
      <c r="C65" s="944" t="s">
        <v>2308</v>
      </c>
      <c r="D65" s="944" t="s">
        <v>41</v>
      </c>
      <c r="E65" s="945" t="s">
        <v>2706</v>
      </c>
      <c r="F65" s="944" t="s">
        <v>299</v>
      </c>
      <c r="G65" s="874" t="str">
        <f>VLOOKUP(WWWW[[#This Row],[Site Name]],SiteDB6[[Site Name]:[Location Type]],8,FALSE)</f>
        <v>Camp</v>
      </c>
      <c r="H65" s="944" t="s">
        <v>2310</v>
      </c>
      <c r="I65" s="875">
        <v>400</v>
      </c>
      <c r="J65" s="875">
        <v>2186</v>
      </c>
      <c r="K65" s="876">
        <v>43009</v>
      </c>
      <c r="L65" s="877">
        <v>44104</v>
      </c>
      <c r="M65" s="875">
        <v>357</v>
      </c>
      <c r="N65" s="875">
        <v>49</v>
      </c>
      <c r="O65" s="875">
        <v>169</v>
      </c>
      <c r="P65" s="875">
        <v>0</v>
      </c>
      <c r="Q65" s="878" t="s">
        <v>130</v>
      </c>
      <c r="R65" s="875">
        <v>4</v>
      </c>
      <c r="S65" s="875">
        <v>2</v>
      </c>
      <c r="T65" s="589">
        <v>26</v>
      </c>
      <c r="U65" s="875">
        <v>29</v>
      </c>
      <c r="V65" s="875"/>
      <c r="W65" s="875"/>
      <c r="X65" s="875">
        <v>1</v>
      </c>
      <c r="Y65" s="875">
        <v>1</v>
      </c>
      <c r="Z65" s="875"/>
      <c r="AA65" s="875"/>
      <c r="AB65" s="875">
        <v>400</v>
      </c>
      <c r="AC65" s="875">
        <v>30</v>
      </c>
      <c r="AD65" s="875">
        <v>8</v>
      </c>
      <c r="AE65" s="879"/>
      <c r="AF65" s="507">
        <v>104</v>
      </c>
      <c r="AG65" s="875">
        <v>104</v>
      </c>
      <c r="AH65" s="875">
        <v>71</v>
      </c>
      <c r="AI65" s="880">
        <v>0.37</v>
      </c>
      <c r="AJ65" s="875">
        <v>98</v>
      </c>
      <c r="AK65" s="534">
        <v>1</v>
      </c>
      <c r="AL65" s="534">
        <v>0.81</v>
      </c>
      <c r="AM65" s="534">
        <v>1</v>
      </c>
      <c r="AN65" s="534">
        <v>1</v>
      </c>
      <c r="AO65" s="875">
        <v>4</v>
      </c>
      <c r="AP65" s="875"/>
      <c r="AQ65" s="875">
        <v>9</v>
      </c>
      <c r="AR65" s="875" t="s">
        <v>42</v>
      </c>
      <c r="AS65" s="881"/>
      <c r="AT65" s="875">
        <v>159</v>
      </c>
      <c r="AU65" s="875">
        <v>407</v>
      </c>
      <c r="AV65" s="875">
        <v>423</v>
      </c>
      <c r="AW65" s="875">
        <v>520</v>
      </c>
      <c r="AX65" s="875">
        <v>400</v>
      </c>
      <c r="AY65" s="875"/>
      <c r="AZ65" s="589"/>
      <c r="BA65" s="875"/>
      <c r="BB65" s="589"/>
      <c r="BC65" s="888">
        <v>0</v>
      </c>
      <c r="BD65" s="882"/>
      <c r="BE65" s="534"/>
      <c r="BF65" s="534"/>
      <c r="BG65" s="507">
        <f>23%*WWWW[[#This Row],[Total PoP ]]</f>
        <v>502.78000000000003</v>
      </c>
      <c r="BH65" s="534">
        <v>0.67</v>
      </c>
      <c r="BI65" s="589" t="e">
        <f>WWWW[[#This Row],[Cases of Acute watery diarrhea]]/WWWW[[#This Row],[Total consultations]]</f>
        <v>#DIV/0!</v>
      </c>
      <c r="BJ65" s="535"/>
      <c r="BK65" s="881"/>
      <c r="BL65" s="881"/>
      <c r="BM65" s="883">
        <f>IFERROR(WWWW[[#This Row],['#_Water samples _passed_at_water source]]/WWWW[[#This Row],['#_Water samples_Tested_at_water_source]],"no test")</f>
        <v>1</v>
      </c>
      <c r="BN65" s="880" t="str">
        <f>IFERROR(WWWW[[#This Row],['#_Water samples _passed_at_HH]]/WWWW[[#This Row],['#_Water samples_Tested_at_HH]],"no test")</f>
        <v>no test</v>
      </c>
      <c r="BO65" s="884" t="str">
        <f>IF(AND(WWWW[[#This Row],[%of Water samples which passed at water source]]="no test",WWWW[[#This Row],[%Water samples which passed at HH]]="no test"),"No Test","Tested")</f>
        <v>Tested</v>
      </c>
      <c r="BP65" s="883">
        <f>IF(WWWW[[#This Row],[Total PoP ]]="","",IF(((WWWW[[#This Row],['#_Functional_improved_water_source]]*500)+(WWWW[[#This Row],['#_litres_of_water_supplied_by_existing_water_boating/trucking ]]/90/15)+(WWWW[[#This Row],['#_Functional_water_point_at_TLS/CFS]]*500))/WWWW[[#This Row],[Total PoP ]]&gt;1,1,((WWWW[[#This Row],['#_Functional_improved_water_source]]*500)+(WWWW[[#This Row],['#_litres_of_water_supplied_by_existing_water_boating/trucking ]]/90/15)+(WWWW[[#This Row],['#_Functional_water_point_at_TLS/CFS]]*500))/WWWW[[#This Row],[Total PoP ]]))</f>
        <v>1</v>
      </c>
      <c r="BQ65" s="878">
        <f>WWWW[[#This Row],[Access to safe/improved water through improved water sources]]*WWWW[[#This Row],[Total PoP ]]</f>
        <v>2186</v>
      </c>
      <c r="BR65" s="883">
        <f>IF((WWWW[[#This Row],['#_litres_of_water_stored_in_ponds]]/90/15)/WWWW[[#This Row],[Total PoP ]]&gt;1,1,(WWWW[[#This Row],['#_litres_of_water_stored_in_ponds]]/90/15)/WWWW[[#This Row],[Total PoP ]])</f>
        <v>0</v>
      </c>
      <c r="BS65" s="878">
        <f>WWWW[[#This Row],[% Access to unimproved water points]]*WWWW[[#This Row],[Total PoP ]]</f>
        <v>0</v>
      </c>
      <c r="BT65" s="883">
        <f>IF(WWWW[[#This Row],[Access to safe/improved water through improved water sources]]+WWWW[[#This Row],[% Access to unimproved water points]]&gt;1,1,WWWW[[#This Row],[Access to safe/improved water through improved water sources]]+WWWW[[#This Row],[% Access to unimproved water points]])</f>
        <v>1</v>
      </c>
      <c r="BU65" s="878">
        <f>IF(WWWW[[#This Row],['# people with equitable and continuous access to sufficient quantity of safe drinking water]]+WWWW[[#This Row],['#People access to unimproved water sources]]&gt;WWWW[[#This Row],[Total PoP ]],WWWW[[#This Row],[Total PoP ]],WWWW[[#This Row],['# people with equitable and continuous access to sufficient quantity of safe drinking water]]+WWWW[[#This Row],['#People access to unimproved water sources]])</f>
        <v>2186</v>
      </c>
      <c r="BV65" s="878">
        <f>WWWW[[#This Row],[HRP1]]/500</f>
        <v>4.3719999999999999</v>
      </c>
      <c r="BW65" s="885">
        <f>1-WWWW[[#This Row],[% HRP1]]</f>
        <v>0</v>
      </c>
      <c r="BX65" s="878">
        <f>WWWW[[#This Row],[%equitable and continuous access to sufficient quantity of safe drinking and domestic water''s GAP]]*WWWW[[#This Row],[Total PoP ]]</f>
        <v>0</v>
      </c>
      <c r="BY65" s="535">
        <f>ROUND(IF(WWWW[[#This Row],[Total PoP ]]&lt;500,1,WWWW[[#This Row],[Total PoP ]]/500),0)</f>
        <v>4</v>
      </c>
      <c r="BZ65" s="884">
        <f>IF(WWWW[[#This Row],[Total required water points]]-WWWW[[#This Row],['#Water points coverage]]&lt;0,0,WWWW[[#This Row],[Total required water points]]-WWWW[[#This Row],['#Water points coverage]])</f>
        <v>0</v>
      </c>
      <c r="CA65" s="536">
        <f>WWWW[[#This Row],[HRP2]]/WWWW[[#This Row],[Total PoP ]]</f>
        <v>1</v>
      </c>
      <c r="CB65" s="878">
        <f>IF(WWWW[[#This Row],[Total PoP ]]="",0,IF(((WWWW[[#This Row],['#_Functional_adult_latrines]]*20)+(WWWW[[#This Row],['#_of_functional_children_latrines]]*20)+WWWW[[#This Row],['#_of_PWD_with_adapted_sanitation_option]]+(WWWW[[#This Row],['#_of_latrines_in_TLS/CFS]]*50))&gt;WWWW[[#This Row],[Total PoP ]],WWWW[[#This Row],[Total PoP ]],((WWWW[[#This Row],['#_Functional_adult_latrines]]*20)+(WWWW[[#This Row],['#_of_functional_children_latrines]]*20)+WWWW[[#This Row],['#_of_PWD_with_adapted_sanitation_option]]+(WWWW[[#This Row],['#_of_latrines_in_TLS/CFS]]*50))))</f>
        <v>2186</v>
      </c>
      <c r="CC65" s="884">
        <f>IF(WWWW[[#This Row],['#_of_latrines_in_TLS/CFS]]*50&gt;WWWW[[#This Row],['#_students at TLS_CFS]],WWWW[[#This Row],['#_students at TLS_CFS]],WWWW[[#This Row],['#_of_latrines_in_TLS/CFS]]*50)</f>
        <v>357</v>
      </c>
      <c r="CD65" s="884">
        <f>ROUND(IF(WWWW[[#This Row],[Location Type 1]]="camp",WWWW[[#This Row],[Total PoP ]]/20),0)</f>
        <v>109</v>
      </c>
      <c r="CE65" s="884">
        <f>IF(WWWW[[#This Row],[Total required Latrines]]-WWWW[[#This Row],['#_Existing_latrines]]&lt;0,0,WWWW[[#This Row],[Total required Latrines]]-WWWW[[#This Row],['#_Existing_latrines]])</f>
        <v>5</v>
      </c>
      <c r="CF65" s="885">
        <f>1-WWWW[[#This Row],[% HRP2]]</f>
        <v>0</v>
      </c>
      <c r="CG65" s="883">
        <f>IF(WWWW[[#This Row],['#_Existing_latrines]]="","NA",(WWWW[[#This Row],['#_Existing_latrines]]-WWWW[[#This Row],['#_Functional_adult_latrines]])/WWWW[[#This Row],['#_Existing_latrines]])</f>
        <v>0</v>
      </c>
      <c r="CH65" s="878">
        <f>IF(WWWW[[#This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Row],[_'#_of_Girls_receiving_consultation_hygiene_promotion_messages_and_sessions]]&gt;WWWW[[#This Row],[Total PoP ]],WWWW[[#This Row],[Total PoP ]],WWWW[[#This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f>
        <v>1509</v>
      </c>
      <c r="CI65" s="884">
        <f>IF(WWWW[[#This Row],['#_of_affected_households_receiving_a_sufficient_quantity_of_soap]]=0,0,IF(WWWW[[#This Row],['#_of_affected_households_receiving_a_sufficient_quantity_of_soap]]&gt;=WWWW[[#This Row],[Total HH]],WWWW[[#This Row],[Total PoP ]],IF(WWWW[[#This Row],['#_of_affected_households_receiving_a_sufficient_quantity_of_soap]]*5&gt;WWWW[[#This Row],[Total PoP ]],WWWW[[#This Row],[Total PoP ]],WWWW[[#This Row],['#_of_affected_households_receiving_a_sufficient_quantity_of_soap]]*5)))</f>
        <v>2186</v>
      </c>
      <c r="CJ65" s="884">
        <f>IF(WWWW[[#This Row],['#_of_affected_women_and_girls_receiving_a_sufficient_quantity_of_sanitary_pads]]&gt;WWWW[[#This Row],[Total PoP ]],WWWW[[#This Row],[Total PoP ]],WWWW[[#This Row],['#_of_affected_women_and_girls_receiving_a_sufficient_quantity_of_sanitary_pads]])</f>
        <v>0</v>
      </c>
      <c r="CK65" s="884">
        <f>IF(WWWW[[#This Row],['# People with access to soap]]&gt;WWWW[[#This Row],['# People with access to Sanity Pads]],WWWW[[#This Row],['# People with access to soap]],WWWW[[#This Row],['# People with access to Sanity Pads]])</f>
        <v>2186</v>
      </c>
      <c r="CL65" s="884">
        <f>IF(WWWW[[#This Row],['# people reached by regular dedicated hygiene promotion_5]]&gt;WWWW[[#This Row],['# People received regular supply of hygiene items_6]],WWWW[[#This Row],['# people reached by regular dedicated hygiene promotion_5]],WWWW[[#This Row],['# People received regular supply of hygiene items_6]])</f>
        <v>2186</v>
      </c>
      <c r="CM65" s="885">
        <f>IF(WWWW[[#This Row],[HRP3]]/WWWW[[#This Row],[Total PoP ]]&gt;100%,100%,WWWW[[#This Row],[HRP3]]/WWWW[[#This Row],[Total PoP ]])</f>
        <v>1</v>
      </c>
      <c r="CN65" s="883">
        <f>1-WWWW[[#This Row],[Hygiene Coverage%]]</f>
        <v>0</v>
      </c>
      <c r="CO65" s="880">
        <f>WWWW[[#This Row],['# people reached by regular dedicated hygiene promotion_5]]/WWWW[[#This Row],[Total PoP ]]</f>
        <v>0.69030192131747481</v>
      </c>
      <c r="CP65" s="883">
        <f>IF(WWWW[[#This Row],['#_of_affected_households_receiving_a_sufficient_quantity_of_soap]]/WWWW[[#This Row],[Total HH]]&gt;1,1,WWWW[[#This Row],['#_of_affected_households_receiving_a_sufficient_quantity_of_soap]]/WWWW[[#This Row],[Total HH]])</f>
        <v>1</v>
      </c>
      <c r="CQ65" s="542" t="str">
        <f>IF(WWWW[[#This Row],['#_students at TLS_CFS]]="","No","Yes")</f>
        <v>Yes</v>
      </c>
      <c r="CR65" s="534">
        <f>WWWW[[#This Row],['#_of_affected_people_surveyed_who_report_feeling_informed_about_the_different_WASH_services_available_to_them]]/WWWW[[#This Row],[Total PoP ]]</f>
        <v>0.23</v>
      </c>
      <c r="CS65" s="886">
        <f>VLOOKUP(WWWW[[#This Row],[Site Name]],SiteDB6[[Site Name]:[CCCM Management]],6,FALSE)</f>
        <v>0</v>
      </c>
      <c r="CT65" s="886">
        <f>VLOOKUP(WWWW[[#This Row],[Site Name]],SiteDB6[[Site Name]:[CCCM Focal Agency]],7,FALSE)</f>
        <v>0</v>
      </c>
      <c r="CU65" s="886" t="str">
        <f>VLOOKUP(WWWW[[#This Row],[Site Name]],SiteDB6[[Site Name]:[Location Type 1]],9,FALSE)</f>
        <v>Camp</v>
      </c>
      <c r="CV65" s="886" t="str">
        <f>VLOOKUP(WWWW[[#This Row],[Site Name]],SiteDB6[[Site Name]:[Type of Accommodation]],10,FALSE)</f>
        <v>Planned Camp</v>
      </c>
      <c r="CW65" s="886" t="str">
        <f>VLOOKUP(WWWW[[#This Row],[Site Name]],SiteDB6[[Site Name]:[Ethnic or GCA/NGCA]],11,FALSE)</f>
        <v>Muslim</v>
      </c>
      <c r="CX65" s="886">
        <f>VLOOKUP(WWWW[[#This Row],[Site Name]],SiteDB6[[Site Name]:[Lat]],12,FALSE)</f>
        <v>20.180194</v>
      </c>
      <c r="CY65" s="886">
        <f>VLOOKUP(WWWW[[#This Row],[Site Name]],SiteDB6[[Site Name]:[Long]],13,FALSE)</f>
        <v>92.816638999999995</v>
      </c>
      <c r="CZ65" s="886" t="str">
        <f>VLOOKUP(WWWW[[#This Row],[Site Name]],SiteDB6[[Site Name]:[Pcode]],3,FALSE)</f>
        <v>MMR012CMP042</v>
      </c>
      <c r="DA65" s="887" t="str">
        <f t="shared" si="2"/>
        <v>Covered</v>
      </c>
      <c r="DB65" s="564">
        <f>VLOOKUP(WWWW[[#This Row],[Site Name]],SiteDB6[[Site Name]:[PWD_Total]],22,FALSE)</f>
        <v>68</v>
      </c>
      <c r="DC65" s="564">
        <f>VLOOKUP(WWWW[[#This Row],[Site Name]],SiteDB6[[Site Name]:[PWD_Total]],23,FALSE)</f>
        <v>265</v>
      </c>
      <c r="DD65" s="564">
        <f>VLOOKUP(WWWW[[#This Row],[Site Name]],SiteDB6[[Site Name]:[PWD_Total]],24,FALSE)</f>
        <v>333</v>
      </c>
      <c r="DE65" s="886"/>
      <c r="DF65" s="887"/>
      <c r="DG65" s="887"/>
      <c r="DH65" s="887"/>
    </row>
    <row r="66" spans="1:112">
      <c r="A66" s="873" t="s">
        <v>2389</v>
      </c>
      <c r="B66" s="873" t="s">
        <v>2294</v>
      </c>
      <c r="C66" s="944" t="s">
        <v>2294</v>
      </c>
      <c r="D66" s="944" t="s">
        <v>235</v>
      </c>
      <c r="E66" s="945" t="s">
        <v>2706</v>
      </c>
      <c r="F66" s="944" t="s">
        <v>361</v>
      </c>
      <c r="G66" s="874" t="str">
        <f>VLOOKUP(WWWW[[#This Row],[Site Name]],SiteDB6[[Site Name]:[Location Type]],8,FALSE)</f>
        <v>Camp</v>
      </c>
      <c r="H66" s="944" t="s">
        <v>372</v>
      </c>
      <c r="I66" s="875">
        <v>351</v>
      </c>
      <c r="J66" s="875">
        <v>974</v>
      </c>
      <c r="K66" s="876">
        <v>43540</v>
      </c>
      <c r="L66" s="877">
        <v>43906</v>
      </c>
      <c r="M66" s="875">
        <v>244</v>
      </c>
      <c r="N66" s="875">
        <v>6</v>
      </c>
      <c r="O66" s="875">
        <v>23</v>
      </c>
      <c r="P66" s="875"/>
      <c r="Q66" s="878" t="s">
        <v>130</v>
      </c>
      <c r="R66" s="875">
        <v>24</v>
      </c>
      <c r="S66" s="875">
        <v>5</v>
      </c>
      <c r="T66" s="589">
        <v>10</v>
      </c>
      <c r="U66" s="875">
        <v>22</v>
      </c>
      <c r="V66" s="875">
        <v>0</v>
      </c>
      <c r="W66" s="875">
        <v>0</v>
      </c>
      <c r="X66" s="875">
        <v>20</v>
      </c>
      <c r="Y66" s="875">
        <v>19</v>
      </c>
      <c r="Z66" s="875">
        <v>21</v>
      </c>
      <c r="AA66" s="875">
        <v>21</v>
      </c>
      <c r="AB66" s="875"/>
      <c r="AC66" s="875">
        <v>30</v>
      </c>
      <c r="AD66" s="875">
        <v>1</v>
      </c>
      <c r="AE66" s="879" t="s">
        <v>3207</v>
      </c>
      <c r="AF66" s="875">
        <v>94</v>
      </c>
      <c r="AG66" s="875">
        <v>94</v>
      </c>
      <c r="AH66" s="875">
        <v>30</v>
      </c>
      <c r="AI66" s="880">
        <v>0</v>
      </c>
      <c r="AJ66" s="875">
        <v>3</v>
      </c>
      <c r="AK66" s="880">
        <v>1</v>
      </c>
      <c r="AL66" s="880">
        <v>1</v>
      </c>
      <c r="AM66" s="880">
        <v>1</v>
      </c>
      <c r="AN66" s="880">
        <v>1</v>
      </c>
      <c r="AO66" s="875">
        <v>0</v>
      </c>
      <c r="AP66" s="875">
        <v>0</v>
      </c>
      <c r="AQ66" s="875">
        <v>10</v>
      </c>
      <c r="AR66" s="875" t="s">
        <v>42</v>
      </c>
      <c r="AS66" s="881" t="s">
        <v>3186</v>
      </c>
      <c r="AT66" s="875">
        <v>550</v>
      </c>
      <c r="AU66" s="875">
        <v>502</v>
      </c>
      <c r="AV66" s="875"/>
      <c r="AW66" s="875"/>
      <c r="AX66" s="875">
        <v>1053</v>
      </c>
      <c r="AY66" s="875">
        <v>1161</v>
      </c>
      <c r="AZ66" s="589">
        <v>0</v>
      </c>
      <c r="BA66" s="875"/>
      <c r="BB66" s="534">
        <v>0.8</v>
      </c>
      <c r="BC66" s="880">
        <v>0.95</v>
      </c>
      <c r="BD66" s="882"/>
      <c r="BE66" s="534"/>
      <c r="BF66" s="534"/>
      <c r="BG66" s="589"/>
      <c r="BH66" s="534"/>
      <c r="BI66" s="589" t="e">
        <f>WWWW[[#This Row],[Cases of Acute watery diarrhea]]/WWWW[[#This Row],[Total consultations]]</f>
        <v>#DIV/0!</v>
      </c>
      <c r="BJ66" s="535" t="s">
        <v>42</v>
      </c>
      <c r="BK66" s="881" t="s">
        <v>3095</v>
      </c>
      <c r="BL66" s="881" t="s">
        <v>3187</v>
      </c>
      <c r="BM66" s="883">
        <f>IFERROR(WWWW[[#This Row],['#_Water samples _passed_at_water source]]/WWWW[[#This Row],['#_Water samples_Tested_at_water_source]],"no test")</f>
        <v>0.95</v>
      </c>
      <c r="BN66" s="880">
        <f>IFERROR(WWWW[[#This Row],['#_Water samples _passed_at_HH]]/WWWW[[#This Row],['#_Water samples_Tested_at_HH]],"no test")</f>
        <v>1</v>
      </c>
      <c r="BO66" s="884" t="str">
        <f>IF(AND(WWWW[[#This Row],[%of Water samples which passed at water source]]="no test",WWWW[[#This Row],[%Water samples which passed at HH]]="no test"),"No Test","Tested")</f>
        <v>Tested</v>
      </c>
      <c r="BP66" s="883">
        <f>IF(WWWW[[#This Row],[Total PoP ]]="","",IF(((WWWW[[#This Row],['#_Functional_improved_water_source]]*500)+(WWWW[[#This Row],['#_litres_of_water_supplied_by_existing_water_boating/trucking ]]/90/15)+(WWWW[[#This Row],['#_Functional_water_point_at_TLS/CFS]]*500))/WWWW[[#This Row],[Total PoP ]]&gt;1,1,((WWWW[[#This Row],['#_Functional_improved_water_source]]*500)+(WWWW[[#This Row],['#_litres_of_water_supplied_by_existing_water_boating/trucking ]]/90/15)+(WWWW[[#This Row],['#_Functional_water_point_at_TLS/CFS]]*500))/WWWW[[#This Row],[Total PoP ]]))</f>
        <v>1</v>
      </c>
      <c r="BQ66" s="878">
        <f>WWWW[[#This Row],[Access to safe/improved water through improved water sources]]*WWWW[[#This Row],[Total PoP ]]</f>
        <v>974</v>
      </c>
      <c r="BR66" s="883">
        <f>IF((WWWW[[#This Row],['#_litres_of_water_stored_in_ponds]]/90/15)/WWWW[[#This Row],[Total PoP ]]&gt;1,1,(WWWW[[#This Row],['#_litres_of_water_stored_in_ponds]]/90/15)/WWWW[[#This Row],[Total PoP ]])</f>
        <v>0</v>
      </c>
      <c r="BS66" s="878">
        <f>WWWW[[#This Row],[% Access to unimproved water points]]*WWWW[[#This Row],[Total PoP ]]</f>
        <v>0</v>
      </c>
      <c r="BT66" s="883">
        <f>IF(WWWW[[#This Row],[Access to safe/improved water through improved water sources]]+WWWW[[#This Row],[% Access to unimproved water points]]&gt;1,1,WWWW[[#This Row],[Access to safe/improved water through improved water sources]]+WWWW[[#This Row],[% Access to unimproved water points]])</f>
        <v>1</v>
      </c>
      <c r="BU66" s="878">
        <f>IF(WWWW[[#This Row],['# people with equitable and continuous access to sufficient quantity of safe drinking water]]+WWWW[[#This Row],['#People access to unimproved water sources]]&gt;WWWW[[#This Row],[Total PoP ]],WWWW[[#This Row],[Total PoP ]],WWWW[[#This Row],['# people with equitable and continuous access to sufficient quantity of safe drinking water]]+WWWW[[#This Row],['#People access to unimproved water sources]])</f>
        <v>974</v>
      </c>
      <c r="BV66" s="878">
        <f>WWWW[[#This Row],[HRP1]]/500</f>
        <v>1.948</v>
      </c>
      <c r="BW66" s="885">
        <f>1-WWWW[[#This Row],[% HRP1]]</f>
        <v>0</v>
      </c>
      <c r="BX66" s="878">
        <f>WWWW[[#This Row],[%equitable and continuous access to sufficient quantity of safe drinking and domestic water''s GAP]]*WWWW[[#This Row],[Total PoP ]]</f>
        <v>0</v>
      </c>
      <c r="BY66" s="535">
        <f>ROUND(IF(WWWW[[#This Row],[Total PoP ]]&lt;500,1,WWWW[[#This Row],[Total PoP ]]/500),0)</f>
        <v>2</v>
      </c>
      <c r="BZ66" s="884">
        <f>IF(WWWW[[#This Row],[Total required water points]]-WWWW[[#This Row],['#Water points coverage]]&lt;0,0,WWWW[[#This Row],[Total required water points]]-WWWW[[#This Row],['#Water points coverage]])</f>
        <v>5.2000000000000046E-2</v>
      </c>
      <c r="CA66" s="536">
        <f>WWWW[[#This Row],[HRP2]]/WWWW[[#This Row],[Total PoP ]]</f>
        <v>1</v>
      </c>
      <c r="CB66" s="878">
        <f>IF(WWWW[[#This Row],[Total PoP ]]="",0,IF(((WWWW[[#This Row],['#_Functional_adult_latrines]]*20)+(WWWW[[#This Row],['#_of_functional_children_latrines]]*20)+WWWW[[#This Row],['#_of_PWD_with_adapted_sanitation_option]]+(WWWW[[#This Row],['#_of_latrines_in_TLS/CFS]]*50))&gt;WWWW[[#This Row],[Total PoP ]],WWWW[[#This Row],[Total PoP ]],((WWWW[[#This Row],['#_Functional_adult_latrines]]*20)+(WWWW[[#This Row],['#_of_functional_children_latrines]]*20)+WWWW[[#This Row],['#_of_PWD_with_adapted_sanitation_option]]+(WWWW[[#This Row],['#_of_latrines_in_TLS/CFS]]*50))))</f>
        <v>974</v>
      </c>
      <c r="CC66" s="884">
        <f>IF(WWWW[[#This Row],['#_of_latrines_in_TLS/CFS]]*50&gt;WWWW[[#This Row],['#_students at TLS_CFS]],WWWW[[#This Row],['#_students at TLS_CFS]],WWWW[[#This Row],['#_of_latrines_in_TLS/CFS]]*50)</f>
        <v>244</v>
      </c>
      <c r="CD66" s="884">
        <f>ROUND(IF(WWWW[[#This Row],[Location Type 1]]="camp",WWWW[[#This Row],[Total PoP ]]/20),0)</f>
        <v>49</v>
      </c>
      <c r="CE66" s="884">
        <f>IF(WWWW[[#This Row],[Total required Latrines]]-WWWW[[#This Row],['#_Existing_latrines]]&lt;0,0,WWWW[[#This Row],[Total required Latrines]]-WWWW[[#This Row],['#_Existing_latrines]])</f>
        <v>0</v>
      </c>
      <c r="CF66" s="885">
        <f>1-WWWW[[#This Row],[% HRP2]]</f>
        <v>0</v>
      </c>
      <c r="CG66" s="883">
        <f>IF(WWWW[[#This Row],['#_Existing_latrines]]="","NA",(WWWW[[#This Row],['#_Existing_latrines]]-WWWW[[#This Row],['#_Functional_adult_latrines]])/WWWW[[#This Row],['#_Existing_latrines]])</f>
        <v>0</v>
      </c>
      <c r="CH66" s="878">
        <f>IF(WWWW[[#This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Row],[_'#_of_Girls_receiving_consultation_hygiene_promotion_messages_and_sessions]]&gt;WWWW[[#This Row],[Total PoP ]],WWWW[[#This Row],[Total PoP ]],WWWW[[#This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f>
        <v>974</v>
      </c>
      <c r="CI66" s="884">
        <f>IF(WWWW[[#This Row],['#_of_affected_households_receiving_a_sufficient_quantity_of_soap]]=0,0,IF(WWWW[[#This Row],['#_of_affected_households_receiving_a_sufficient_quantity_of_soap]]&gt;=WWWW[[#This Row],[Total HH]],WWWW[[#This Row],[Total PoP ]],IF(WWWW[[#This Row],['#_of_affected_households_receiving_a_sufficient_quantity_of_soap]]*5&gt;WWWW[[#This Row],[Total PoP ]],WWWW[[#This Row],[Total PoP ]],WWWW[[#This Row],['#_of_affected_households_receiving_a_sufficient_quantity_of_soap]]*5)))</f>
        <v>974</v>
      </c>
      <c r="CJ66" s="884">
        <f>IF(WWWW[[#This Row],['#_of_affected_women_and_girls_receiving_a_sufficient_quantity_of_sanitary_pads]]&gt;WWWW[[#This Row],[Total PoP ]],WWWW[[#This Row],[Total PoP ]],WWWW[[#This Row],['#_of_affected_women_and_girls_receiving_a_sufficient_quantity_of_sanitary_pads]])</f>
        <v>974</v>
      </c>
      <c r="CK66" s="884">
        <f>IF(WWWW[[#This Row],['# People with access to soap]]&gt;WWWW[[#This Row],['# People with access to Sanity Pads]],WWWW[[#This Row],['# People with access to soap]],WWWW[[#This Row],['# People with access to Sanity Pads]])</f>
        <v>974</v>
      </c>
      <c r="CL66" s="884">
        <f>IF(WWWW[[#This Row],['# people reached by regular dedicated hygiene promotion_5]]&gt;WWWW[[#This Row],['# People received regular supply of hygiene items_6]],WWWW[[#This Row],['# people reached by regular dedicated hygiene promotion_5]],WWWW[[#This Row],['# People received regular supply of hygiene items_6]])</f>
        <v>974</v>
      </c>
      <c r="CM66" s="885">
        <f>IF(WWWW[[#This Row],[HRP3]]/WWWW[[#This Row],[Total PoP ]]&gt;100%,100%,WWWW[[#This Row],[HRP3]]/WWWW[[#This Row],[Total PoP ]])</f>
        <v>1</v>
      </c>
      <c r="CN66" s="883">
        <f>1-WWWW[[#This Row],[Hygiene Coverage%]]</f>
        <v>0</v>
      </c>
      <c r="CO66" s="880">
        <f>WWWW[[#This Row],['# people reached by regular dedicated hygiene promotion_5]]/WWWW[[#This Row],[Total PoP ]]</f>
        <v>1</v>
      </c>
      <c r="CP66" s="883">
        <f>IF(WWWW[[#This Row],['#_of_affected_households_receiving_a_sufficient_quantity_of_soap]]/WWWW[[#This Row],[Total HH]]&gt;1,1,WWWW[[#This Row],['#_of_affected_households_receiving_a_sufficient_quantity_of_soap]]/WWWW[[#This Row],[Total HH]])</f>
        <v>1</v>
      </c>
      <c r="CQ66" s="542" t="str">
        <f>IF(WWWW[[#This Row],['#_students at TLS_CFS]]="","No","Yes")</f>
        <v>Yes</v>
      </c>
      <c r="CR66" s="534"/>
      <c r="CS66" s="886" t="str">
        <f>VLOOKUP(WWWW[[#This Row],[Site Name]],SiteDB6[[Site Name]:[CCCM Management]],6,FALSE)</f>
        <v>Yes</v>
      </c>
      <c r="CT66" s="886" t="str">
        <f>VLOOKUP(WWWW[[#This Row],[Site Name]],SiteDB6[[Site Name]:[CCCM Focal Agency]],7,FALSE)</f>
        <v>UNHCR</v>
      </c>
      <c r="CU66" s="886" t="str">
        <f>VLOOKUP(WWWW[[#This Row],[Site Name]],SiteDB6[[Site Name]:[Location Type 1]],9,FALSE)</f>
        <v>Camp</v>
      </c>
      <c r="CV66" s="886" t="str">
        <f>VLOOKUP(WWWW[[#This Row],[Site Name]],SiteDB6[[Site Name]:[Type of Accommodation]],10,FALSE)</f>
        <v>Planned Camp</v>
      </c>
      <c r="CW66" s="886" t="str">
        <f>VLOOKUP(WWWW[[#This Row],[Site Name]],SiteDB6[[Site Name]:[Ethnic or GCA/NGCA]],11,FALSE)</f>
        <v>Muslim</v>
      </c>
      <c r="CX66" s="886">
        <f>VLOOKUP(WWWW[[#This Row],[Site Name]],SiteDB6[[Site Name]:[Lat]],12,FALSE)</f>
        <v>19.424576999999999</v>
      </c>
      <c r="CY66" s="886">
        <f>VLOOKUP(WWWW[[#This Row],[Site Name]],SiteDB6[[Site Name]:[Long]],13,FALSE)</f>
        <v>93.512326000000002</v>
      </c>
      <c r="CZ66" s="886" t="str">
        <f>VLOOKUP(WWWW[[#This Row],[Site Name]],SiteDB6[[Site Name]:[Pcode]],3,FALSE)</f>
        <v>MMR012CMP035</v>
      </c>
      <c r="DA66" s="887" t="str">
        <f t="shared" si="2"/>
        <v>Covered</v>
      </c>
      <c r="DB66" s="564">
        <f>VLOOKUP(WWWW[[#This Row],[Site Name]],SiteDB6[[Site Name]:[PWD_Total]],22,FALSE)</f>
        <v>0</v>
      </c>
      <c r="DC66" s="564">
        <f>VLOOKUP(WWWW[[#This Row],[Site Name]],SiteDB6[[Site Name]:[PWD_Total]],23,FALSE)</f>
        <v>0</v>
      </c>
      <c r="DD66" s="564">
        <f>VLOOKUP(WWWW[[#This Row],[Site Name]],SiteDB6[[Site Name]:[PWD_Total]],24,FALSE)</f>
        <v>0</v>
      </c>
      <c r="DE66" s="886"/>
      <c r="DF66" s="887"/>
      <c r="DG66" s="887"/>
      <c r="DH66" s="887"/>
    </row>
    <row r="67" spans="1:112" ht="38.25">
      <c r="A67" s="873" t="s">
        <v>2389</v>
      </c>
      <c r="B67" s="873" t="s">
        <v>270</v>
      </c>
      <c r="C67" s="944" t="s">
        <v>270</v>
      </c>
      <c r="D67" s="450" t="s">
        <v>3211</v>
      </c>
      <c r="E67" s="945" t="s">
        <v>2706</v>
      </c>
      <c r="F67" s="944" t="s">
        <v>406</v>
      </c>
      <c r="G67" s="874" t="str">
        <f>VLOOKUP(WWWW[[#This Row],[Site Name]],SiteDB6[[Site Name]:[Location Type]],8,FALSE)</f>
        <v>Camp</v>
      </c>
      <c r="H67" s="944" t="s">
        <v>414</v>
      </c>
      <c r="I67" s="589">
        <v>1309</v>
      </c>
      <c r="J67" s="589">
        <v>6037</v>
      </c>
      <c r="K67" s="453">
        <v>43445</v>
      </c>
      <c r="L67" s="854">
        <v>44012</v>
      </c>
      <c r="M67" s="875">
        <v>1412</v>
      </c>
      <c r="N67" s="875"/>
      <c r="O67" s="875"/>
      <c r="P67" s="875">
        <v>45</v>
      </c>
      <c r="Q67" s="878" t="s">
        <v>42</v>
      </c>
      <c r="R67" s="589">
        <v>13</v>
      </c>
      <c r="S67" s="589">
        <v>2</v>
      </c>
      <c r="T67" s="589">
        <v>3</v>
      </c>
      <c r="U67" s="875">
        <v>3</v>
      </c>
      <c r="V67" s="875">
        <v>0</v>
      </c>
      <c r="W67" s="589">
        <v>117396437.8</v>
      </c>
      <c r="X67" s="589">
        <v>419</v>
      </c>
      <c r="Y67" s="589">
        <v>419</v>
      </c>
      <c r="Z67" s="589">
        <v>24</v>
      </c>
      <c r="AA67" s="589">
        <v>16</v>
      </c>
      <c r="AB67" s="875"/>
      <c r="AC67" s="875"/>
      <c r="AD67" s="875"/>
      <c r="AE67" s="879"/>
      <c r="AF67" s="589">
        <v>156</v>
      </c>
      <c r="AG67" s="589">
        <v>184</v>
      </c>
      <c r="AH67" s="875"/>
      <c r="AI67" s="880"/>
      <c r="AJ67" s="875"/>
      <c r="AK67" s="880"/>
      <c r="AL67" s="880"/>
      <c r="AM67" s="880"/>
      <c r="AN67" s="880"/>
      <c r="AO67" s="875">
        <v>0</v>
      </c>
      <c r="AP67" s="875">
        <v>0</v>
      </c>
      <c r="AQ67" s="875">
        <v>5</v>
      </c>
      <c r="AR67" s="875" t="s">
        <v>42</v>
      </c>
      <c r="AS67" s="881"/>
      <c r="AT67" s="589">
        <v>1219</v>
      </c>
      <c r="AU67" s="589">
        <v>1398</v>
      </c>
      <c r="AV67" s="589">
        <v>1765</v>
      </c>
      <c r="AW67" s="589">
        <v>1655</v>
      </c>
      <c r="AX67" s="589">
        <v>1309</v>
      </c>
      <c r="AY67" s="589">
        <v>1309</v>
      </c>
      <c r="AZ67" s="589"/>
      <c r="BA67" s="534">
        <v>0.88</v>
      </c>
      <c r="BB67" s="589">
        <v>0</v>
      </c>
      <c r="BC67" s="534">
        <v>0</v>
      </c>
      <c r="BD67" s="889" t="s">
        <v>3212</v>
      </c>
      <c r="BE67" s="534"/>
      <c r="BF67" s="534"/>
      <c r="BG67" s="589"/>
      <c r="BH67" s="534"/>
      <c r="BI67" s="589" t="e">
        <f>WWWW[[#This Row],[Cases of Acute watery diarrhea]]/WWWW[[#This Row],[Total consultations]]</f>
        <v>#DIV/0!</v>
      </c>
      <c r="BJ67" s="535" t="s">
        <v>130</v>
      </c>
      <c r="BK67" s="648" t="s">
        <v>134</v>
      </c>
      <c r="BL67" s="648" t="s">
        <v>3213</v>
      </c>
      <c r="BM67" s="883">
        <f>IFERROR(WWWW[[#This Row],['#_Water samples _passed_at_water source]]/WWWW[[#This Row],['#_Water samples_Tested_at_water_source]],"no test")</f>
        <v>1</v>
      </c>
      <c r="BN67" s="880">
        <f>IFERROR(WWWW[[#This Row],['#_Water samples _passed_at_HH]]/WWWW[[#This Row],['#_Water samples_Tested_at_HH]],"no test")</f>
        <v>0.66666666666666663</v>
      </c>
      <c r="BO67" s="884" t="str">
        <f>IF(AND(WWWW[[#This Row],[%of Water samples which passed at water source]]="no test",WWWW[[#This Row],[%Water samples which passed at HH]]="no test"),"No Test","Tested")</f>
        <v>Tested</v>
      </c>
      <c r="BP67" s="883">
        <f>IF(WWWW[[#This Row],[Total PoP ]]="","",IF(((WWWW[[#This Row],['#_Functional_improved_water_source]]*500)+(WWWW[[#This Row],['#_litres_of_water_supplied_by_existing_water_boating/trucking ]]/90/15)+(WWWW[[#This Row],['#_Functional_water_point_at_TLS/CFS]]*500))/WWWW[[#This Row],[Total PoP ]]&gt;1,1,((WWWW[[#This Row],['#_Functional_improved_water_source]]*500)+(WWWW[[#This Row],['#_litres_of_water_supplied_by_existing_water_boating/trucking ]]/90/15)+(WWWW[[#This Row],['#_Functional_water_point_at_TLS/CFS]]*500))/WWWW[[#This Row],[Total PoP ]]))</f>
        <v>0.24846778201093259</v>
      </c>
      <c r="BQ67" s="878">
        <f>WWWW[[#This Row],[Access to safe/improved water through improved water sources]]*WWWW[[#This Row],[Total PoP ]]</f>
        <v>1500</v>
      </c>
      <c r="BR67" s="883">
        <f>IF((WWWW[[#This Row],['#_litres_of_water_stored_in_ponds]]/90/15)/WWWW[[#This Row],[Total PoP ]]&gt;1,1,(WWWW[[#This Row],['#_litres_of_water_stored_in_ponds]]/90/15)/WWWW[[#This Row],[Total PoP ]])</f>
        <v>1</v>
      </c>
      <c r="BS67" s="878">
        <f>WWWW[[#This Row],[% Access to unimproved water points]]*WWWW[[#This Row],[Total PoP ]]</f>
        <v>6037</v>
      </c>
      <c r="BT67" s="883">
        <f>IF(WWWW[[#This Row],[Access to safe/improved water through improved water sources]]+WWWW[[#This Row],[% Access to unimproved water points]]&gt;1,1,WWWW[[#This Row],[Access to safe/improved water through improved water sources]]+WWWW[[#This Row],[% Access to unimproved water points]])</f>
        <v>1</v>
      </c>
      <c r="BU67" s="878">
        <f>IF(WWWW[[#This Row],['# people with equitable and continuous access to sufficient quantity of safe drinking water]]+WWWW[[#This Row],['#People access to unimproved water sources]]&gt;WWWW[[#This Row],[Total PoP ]],WWWW[[#This Row],[Total PoP ]],WWWW[[#This Row],['# people with equitable and continuous access to sufficient quantity of safe drinking water]]+WWWW[[#This Row],['#People access to unimproved water sources]])</f>
        <v>6037</v>
      </c>
      <c r="BV67" s="878">
        <f>WWWW[[#This Row],[HRP1]]/500</f>
        <v>12.074</v>
      </c>
      <c r="BW67" s="885">
        <f>1-WWWW[[#This Row],[% HRP1]]</f>
        <v>0</v>
      </c>
      <c r="BX67" s="878">
        <f>WWWW[[#This Row],[%equitable and continuous access to sufficient quantity of safe drinking and domestic water''s GAP]]*WWWW[[#This Row],[Total PoP ]]</f>
        <v>0</v>
      </c>
      <c r="BY67" s="535">
        <f>ROUND(IF(WWWW[[#This Row],[Total PoP ]]&lt;500,1,WWWW[[#This Row],[Total PoP ]]/500),0)</f>
        <v>12</v>
      </c>
      <c r="BZ67" s="884">
        <f>IF(WWWW[[#This Row],[Total required water points]]-WWWW[[#This Row],['#Water points coverage]]&lt;0,0,WWWW[[#This Row],[Total required water points]]-WWWW[[#This Row],['#Water points coverage]])</f>
        <v>0</v>
      </c>
      <c r="CA67" s="536">
        <f>WWWW[[#This Row],[HRP2]]/WWWW[[#This Row],[Total PoP ]]</f>
        <v>0.55822428358456189</v>
      </c>
      <c r="CB67" s="878">
        <f>IF(WWWW[[#This Row],[Total PoP ]]="",0,IF(((WWWW[[#This Row],['#_Functional_adult_latrines]]*20)+(WWWW[[#This Row],['#_of_functional_children_latrines]]*20)+WWWW[[#This Row],['#_of_PWD_with_adapted_sanitation_option]]+(WWWW[[#This Row],['#_of_latrines_in_TLS/CFS]]*50))&gt;WWWW[[#This Row],[Total PoP ]],WWWW[[#This Row],[Total PoP ]],((WWWW[[#This Row],['#_Functional_adult_latrines]]*20)+(WWWW[[#This Row],['#_of_functional_children_latrines]]*20)+WWWW[[#This Row],['#_of_PWD_with_adapted_sanitation_option]]+(WWWW[[#This Row],['#_of_latrines_in_TLS/CFS]]*50))))</f>
        <v>3370</v>
      </c>
      <c r="CC67" s="884">
        <f>IF(WWWW[[#This Row],['#_of_latrines_in_TLS/CFS]]*50&gt;WWWW[[#This Row],['#_students at TLS_CFS]],WWWW[[#This Row],['#_students at TLS_CFS]],WWWW[[#This Row],['#_of_latrines_in_TLS/CFS]]*50)</f>
        <v>250</v>
      </c>
      <c r="CD67" s="884">
        <f>ROUND(IF(WWWW[[#This Row],[Location Type 1]]="camp",WWWW[[#This Row],[Total PoP ]]/20),0)</f>
        <v>302</v>
      </c>
      <c r="CE67" s="884">
        <f>IF(WWWW[[#This Row],[Total required Latrines]]-WWWW[[#This Row],['#_Existing_latrines]]&lt;0,0,WWWW[[#This Row],[Total required Latrines]]-WWWW[[#This Row],['#_Existing_latrines]])</f>
        <v>118</v>
      </c>
      <c r="CF67" s="885">
        <f>1-WWWW[[#This Row],[% HRP2]]</f>
        <v>0.44177571641543811</v>
      </c>
      <c r="CG67" s="883">
        <f>IF(WWWW[[#This Row],['#_Existing_latrines]]="","NA",(WWWW[[#This Row],['#_Existing_latrines]]-WWWW[[#This Row],['#_Functional_adult_latrines]])/WWWW[[#This Row],['#_Existing_latrines]])</f>
        <v>0.15217391304347827</v>
      </c>
      <c r="CH67" s="878">
        <f>IF(WWWW[[#This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Row],[_'#_of_Girls_receiving_consultation_hygiene_promotion_messages_and_sessions]]&gt;WWWW[[#This Row],[Total PoP ]],WWWW[[#This Row],[Total PoP ]],WWWW[[#This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f>
        <v>6037</v>
      </c>
      <c r="CI67" s="884">
        <f>IF(WWWW[[#This Row],['#_of_affected_households_receiving_a_sufficient_quantity_of_soap]]=0,0,IF(WWWW[[#This Row],['#_of_affected_households_receiving_a_sufficient_quantity_of_soap]]&gt;=WWWW[[#This Row],[Total HH]],WWWW[[#This Row],[Total PoP ]],IF(WWWW[[#This Row],['#_of_affected_households_receiving_a_sufficient_quantity_of_soap]]*5&gt;WWWW[[#This Row],[Total PoP ]],WWWW[[#This Row],[Total PoP ]],WWWW[[#This Row],['#_of_affected_households_receiving_a_sufficient_quantity_of_soap]]*5)))</f>
        <v>6037</v>
      </c>
      <c r="CJ67" s="884">
        <f>IF(WWWW[[#This Row],['#_of_affected_women_and_girls_receiving_a_sufficient_quantity_of_sanitary_pads]]&gt;WWWW[[#This Row],[Total PoP ]],WWWW[[#This Row],[Total PoP ]],WWWW[[#This Row],['#_of_affected_women_and_girls_receiving_a_sufficient_quantity_of_sanitary_pads]])</f>
        <v>1309</v>
      </c>
      <c r="CK67" s="884">
        <f>IF(WWWW[[#This Row],['# People with access to soap]]&gt;WWWW[[#This Row],['# People with access to Sanity Pads]],WWWW[[#This Row],['# People with access to soap]],WWWW[[#This Row],['# People with access to Sanity Pads]])</f>
        <v>6037</v>
      </c>
      <c r="CL67" s="884">
        <f>IF(WWWW[[#This Row],['# people reached by regular dedicated hygiene promotion_5]]&gt;WWWW[[#This Row],['# People received regular supply of hygiene items_6]],WWWW[[#This Row],['# people reached by regular dedicated hygiene promotion_5]],WWWW[[#This Row],['# People received regular supply of hygiene items_6]])</f>
        <v>6037</v>
      </c>
      <c r="CM67" s="885">
        <f>IF(WWWW[[#This Row],[HRP3]]/WWWW[[#This Row],[Total PoP ]]&gt;100%,100%,WWWW[[#This Row],[HRP3]]/WWWW[[#This Row],[Total PoP ]])</f>
        <v>1</v>
      </c>
      <c r="CN67" s="883">
        <f>1-WWWW[[#This Row],[Hygiene Coverage%]]</f>
        <v>0</v>
      </c>
      <c r="CO67" s="880">
        <f>WWWW[[#This Row],['# people reached by regular dedicated hygiene promotion_5]]/WWWW[[#This Row],[Total PoP ]]</f>
        <v>1</v>
      </c>
      <c r="CP67" s="883">
        <f>IF(WWWW[[#This Row],['#_of_affected_households_receiving_a_sufficient_quantity_of_soap]]/WWWW[[#This Row],[Total HH]]&gt;1,1,WWWW[[#This Row],['#_of_affected_households_receiving_a_sufficient_quantity_of_soap]]/WWWW[[#This Row],[Total HH]])</f>
        <v>1</v>
      </c>
      <c r="CQ67" s="542" t="str">
        <f>IF(WWWW[[#This Row],['#_students at TLS_CFS]]="","No","Yes")</f>
        <v>Yes</v>
      </c>
      <c r="CR67" s="534"/>
      <c r="CS67" s="886" t="str">
        <f>VLOOKUP(WWWW[[#This Row],[Site Name]],SiteDB6[[Site Name]:[CCCM Management]],6,FALSE)</f>
        <v>Yes</v>
      </c>
      <c r="CT67" s="886" t="str">
        <f>VLOOKUP(WWWW[[#This Row],[Site Name]],SiteDB6[[Site Name]:[CCCM Focal Agency]],7,FALSE)</f>
        <v>DRC</v>
      </c>
      <c r="CU67" s="886" t="str">
        <f>VLOOKUP(WWWW[[#This Row],[Site Name]],SiteDB6[[Site Name]:[Location Type 1]],9,FALSE)</f>
        <v>Camp</v>
      </c>
      <c r="CV67" s="886" t="str">
        <f>VLOOKUP(WWWW[[#This Row],[Site Name]],SiteDB6[[Site Name]:[Type of Accommodation]],10,FALSE)</f>
        <v>Planned Camp</v>
      </c>
      <c r="CW67" s="886" t="str">
        <f>VLOOKUP(WWWW[[#This Row],[Site Name]],SiteDB6[[Site Name]:[Ethnic or GCA/NGCA]],11,FALSE)</f>
        <v>Muslim</v>
      </c>
      <c r="CX67" s="886">
        <f>VLOOKUP(WWWW[[#This Row],[Site Name]],SiteDB6[[Site Name]:[Lat]],12,FALSE)</f>
        <v>20.090183</v>
      </c>
      <c r="CY67" s="886">
        <f>VLOOKUP(WWWW[[#This Row],[Site Name]],SiteDB6[[Site Name]:[Long]],13,FALSE)</f>
        <v>93.010368999999997</v>
      </c>
      <c r="CZ67" s="886" t="str">
        <f>VLOOKUP(WWWW[[#This Row],[Site Name]],SiteDB6[[Site Name]:[Pcode]],3,FALSE)</f>
        <v>MMR012CMP018</v>
      </c>
      <c r="DA67" s="887" t="str">
        <f t="shared" si="2"/>
        <v>Covered</v>
      </c>
      <c r="DB67" s="564">
        <f>VLOOKUP(WWWW[[#This Row],[Site Name]],SiteDB6[[Site Name]:[PWD_Total]],22,FALSE)</f>
        <v>116</v>
      </c>
      <c r="DC67" s="564">
        <f>VLOOKUP(WWWW[[#This Row],[Site Name]],SiteDB6[[Site Name]:[PWD_Total]],23,FALSE)</f>
        <v>1129</v>
      </c>
      <c r="DD67" s="564">
        <f>VLOOKUP(WWWW[[#This Row],[Site Name]],SiteDB6[[Site Name]:[PWD_Total]],24,FALSE)</f>
        <v>1245</v>
      </c>
      <c r="DE67" s="886"/>
      <c r="DF67" s="887"/>
      <c r="DG67" s="887"/>
      <c r="DH67" s="887"/>
    </row>
    <row r="68" spans="1:112">
      <c r="A68" s="873" t="s">
        <v>2389</v>
      </c>
      <c r="B68" s="873" t="s">
        <v>2702</v>
      </c>
      <c r="C68" s="944" t="s">
        <v>2307</v>
      </c>
      <c r="D68" s="944" t="s">
        <v>41</v>
      </c>
      <c r="E68" s="945" t="s">
        <v>2706</v>
      </c>
      <c r="F68" s="944" t="s">
        <v>299</v>
      </c>
      <c r="G68" s="874" t="str">
        <f>VLOOKUP(WWWW[[#This Row],[Site Name]],SiteDB6[[Site Name]:[Location Type]],8,FALSE)</f>
        <v>Camp</v>
      </c>
      <c r="H68" s="944" t="s">
        <v>435</v>
      </c>
      <c r="I68" s="875">
        <v>656</v>
      </c>
      <c r="J68" s="875">
        <v>3486</v>
      </c>
      <c r="K68" s="876">
        <v>43009</v>
      </c>
      <c r="L68" s="877">
        <v>44104</v>
      </c>
      <c r="M68" s="875">
        <v>1142</v>
      </c>
      <c r="N68" s="875">
        <v>49</v>
      </c>
      <c r="O68" s="875">
        <v>139</v>
      </c>
      <c r="P68" s="875">
        <v>0</v>
      </c>
      <c r="Q68" s="878" t="s">
        <v>130</v>
      </c>
      <c r="R68" s="875">
        <v>18</v>
      </c>
      <c r="S68" s="875">
        <v>12</v>
      </c>
      <c r="T68" s="589">
        <v>33</v>
      </c>
      <c r="U68" s="875">
        <v>39</v>
      </c>
      <c r="V68" s="875"/>
      <c r="W68" s="875"/>
      <c r="X68" s="875"/>
      <c r="Y68" s="875"/>
      <c r="Z68" s="875"/>
      <c r="AA68" s="875"/>
      <c r="AB68" s="875">
        <v>0</v>
      </c>
      <c r="AC68" s="875"/>
      <c r="AD68" s="875">
        <v>2</v>
      </c>
      <c r="AE68" s="879"/>
      <c r="AF68" s="875">
        <v>212</v>
      </c>
      <c r="AG68" s="875">
        <v>241</v>
      </c>
      <c r="AH68" s="875">
        <v>93</v>
      </c>
      <c r="AI68" s="880"/>
      <c r="AJ68" s="875"/>
      <c r="AK68" s="880"/>
      <c r="AL68" s="880"/>
      <c r="AM68" s="880"/>
      <c r="AN68" s="880"/>
      <c r="AO68" s="875">
        <v>8</v>
      </c>
      <c r="AP68" s="875"/>
      <c r="AQ68" s="875">
        <v>5</v>
      </c>
      <c r="AR68" s="875" t="s">
        <v>42</v>
      </c>
      <c r="AS68" s="881"/>
      <c r="AT68" s="875"/>
      <c r="AU68" s="875"/>
      <c r="AV68" s="875"/>
      <c r="AW68" s="875"/>
      <c r="AX68" s="875"/>
      <c r="AY68" s="875"/>
      <c r="AZ68" s="589"/>
      <c r="BA68" s="875"/>
      <c r="BB68" s="589"/>
      <c r="BC68" s="880"/>
      <c r="BD68" s="882"/>
      <c r="BE68" s="534"/>
      <c r="BF68" s="534"/>
      <c r="BG68" s="589"/>
      <c r="BH68" s="534"/>
      <c r="BI68" s="589" t="e">
        <f>WWWW[[#This Row],[Cases of Acute watery diarrhea]]/WWWW[[#This Row],[Total consultations]]</f>
        <v>#DIV/0!</v>
      </c>
      <c r="BJ68" s="535"/>
      <c r="BK68" s="881"/>
      <c r="BL68" s="881"/>
      <c r="BM68" s="883" t="str">
        <f>IFERROR(WWWW[[#This Row],['#_Water samples _passed_at_water source]]/WWWW[[#This Row],['#_Water samples_Tested_at_water_source]],"no test")</f>
        <v>no test</v>
      </c>
      <c r="BN68" s="880" t="str">
        <f>IFERROR(WWWW[[#This Row],['#_Water samples _passed_at_HH]]/WWWW[[#This Row],['#_Water samples_Tested_at_HH]],"no test")</f>
        <v>no test</v>
      </c>
      <c r="BO68" s="884" t="str">
        <f>IF(AND(WWWW[[#This Row],[%of Water samples which passed at water source]]="no test",WWWW[[#This Row],[%Water samples which passed at HH]]="no test"),"No Test","Tested")</f>
        <v>No Test</v>
      </c>
      <c r="BP68" s="883">
        <f>IF(WWWW[[#This Row],[Total PoP ]]="","",IF(((WWWW[[#This Row],['#_Functional_improved_water_source]]*500)+(WWWW[[#This Row],['#_litres_of_water_supplied_by_existing_water_boating/trucking ]]/90/15)+(WWWW[[#This Row],['#_Functional_water_point_at_TLS/CFS]]*500))/WWWW[[#This Row],[Total PoP ]]&gt;1,1,((WWWW[[#This Row],['#_Functional_improved_water_source]]*500)+(WWWW[[#This Row],['#_litres_of_water_supplied_by_existing_water_boating/trucking ]]/90/15)+(WWWW[[#This Row],['#_Functional_water_point_at_TLS/CFS]]*500))/WWWW[[#This Row],[Total PoP ]]))</f>
        <v>1</v>
      </c>
      <c r="BQ68" s="878">
        <f>WWWW[[#This Row],[Access to safe/improved water through improved water sources]]*WWWW[[#This Row],[Total PoP ]]</f>
        <v>3486</v>
      </c>
      <c r="BR68" s="883">
        <f>IF((WWWW[[#This Row],['#_litres_of_water_stored_in_ponds]]/90/15)/WWWW[[#This Row],[Total PoP ]]&gt;1,1,(WWWW[[#This Row],['#_litres_of_water_stored_in_ponds]]/90/15)/WWWW[[#This Row],[Total PoP ]])</f>
        <v>0</v>
      </c>
      <c r="BS68" s="878">
        <f>WWWW[[#This Row],[% Access to unimproved water points]]*WWWW[[#This Row],[Total PoP ]]</f>
        <v>0</v>
      </c>
      <c r="BT68" s="883">
        <f>IF(WWWW[[#This Row],[Access to safe/improved water through improved water sources]]+WWWW[[#This Row],[% Access to unimproved water points]]&gt;1,1,WWWW[[#This Row],[Access to safe/improved water through improved water sources]]+WWWW[[#This Row],[% Access to unimproved water points]])</f>
        <v>1</v>
      </c>
      <c r="BU68" s="878">
        <f>IF(WWWW[[#This Row],['# people with equitable and continuous access to sufficient quantity of safe drinking water]]+WWWW[[#This Row],['#People access to unimproved water sources]]&gt;WWWW[[#This Row],[Total PoP ]],WWWW[[#This Row],[Total PoP ]],WWWW[[#This Row],['# people with equitable and continuous access to sufficient quantity of safe drinking water]]+WWWW[[#This Row],['#People access to unimproved water sources]])</f>
        <v>3486</v>
      </c>
      <c r="BV68" s="878">
        <f>WWWW[[#This Row],[HRP1]]/500</f>
        <v>6.9720000000000004</v>
      </c>
      <c r="BW68" s="885">
        <f>1-WWWW[[#This Row],[% HRP1]]</f>
        <v>0</v>
      </c>
      <c r="BX68" s="878">
        <f>WWWW[[#This Row],[%equitable and continuous access to sufficient quantity of safe drinking and domestic water''s GAP]]*WWWW[[#This Row],[Total PoP ]]</f>
        <v>0</v>
      </c>
      <c r="BY68" s="535">
        <f>ROUND(IF(WWWW[[#This Row],[Total PoP ]]&lt;500,1,WWWW[[#This Row],[Total PoP ]]/500),0)</f>
        <v>7</v>
      </c>
      <c r="BZ68" s="884">
        <f>IF(WWWW[[#This Row],[Total required water points]]-WWWW[[#This Row],['#Water points coverage]]&lt;0,0,WWWW[[#This Row],[Total required water points]]-WWWW[[#This Row],['#Water points coverage]])</f>
        <v>2.7999999999999581E-2</v>
      </c>
      <c r="CA68" s="536">
        <f>WWWW[[#This Row],[HRP2]]/WWWW[[#This Row],[Total PoP ]]</f>
        <v>1</v>
      </c>
      <c r="CB68" s="878">
        <f>IF(WWWW[[#This Row],[Total PoP ]]="",0,IF(((WWWW[[#This Row],['#_Functional_adult_latrines]]*20)+(WWWW[[#This Row],['#_of_functional_children_latrines]]*20)+WWWW[[#This Row],['#_of_PWD_with_adapted_sanitation_option]]+(WWWW[[#This Row],['#_of_latrines_in_TLS/CFS]]*50))&gt;WWWW[[#This Row],[Total PoP ]],WWWW[[#This Row],[Total PoP ]],((WWWW[[#This Row],['#_Functional_adult_latrines]]*20)+(WWWW[[#This Row],['#_of_functional_children_latrines]]*20)+WWWW[[#This Row],['#_of_PWD_with_adapted_sanitation_option]]+(WWWW[[#This Row],['#_of_latrines_in_TLS/CFS]]*50))))</f>
        <v>3486</v>
      </c>
      <c r="CC68" s="884">
        <f>IF(WWWW[[#This Row],['#_of_latrines_in_TLS/CFS]]*50&gt;WWWW[[#This Row],['#_students at TLS_CFS]],WWWW[[#This Row],['#_students at TLS_CFS]],WWWW[[#This Row],['#_of_latrines_in_TLS/CFS]]*50)</f>
        <v>250</v>
      </c>
      <c r="CD68" s="884">
        <f>ROUND(IF(WWWW[[#This Row],[Location Type 1]]="camp",WWWW[[#This Row],[Total PoP ]]/20),0)</f>
        <v>174</v>
      </c>
      <c r="CE68" s="884">
        <f>IF(WWWW[[#This Row],[Total required Latrines]]-WWWW[[#This Row],['#_Existing_latrines]]&lt;0,0,WWWW[[#This Row],[Total required Latrines]]-WWWW[[#This Row],['#_Existing_latrines]])</f>
        <v>0</v>
      </c>
      <c r="CF68" s="885">
        <f>1-WWWW[[#This Row],[% HRP2]]</f>
        <v>0</v>
      </c>
      <c r="CG68" s="883">
        <f>IF(WWWW[[#This Row],['#_Existing_latrines]]="","NA",(WWWW[[#This Row],['#_Existing_latrines]]-WWWW[[#This Row],['#_Functional_adult_latrines]])/WWWW[[#This Row],['#_Existing_latrines]])</f>
        <v>0.12033195020746888</v>
      </c>
      <c r="CH68" s="878">
        <f>IF(WWWW[[#This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Row],[_'#_of_Girls_receiving_consultation_hygiene_promotion_messages_and_sessions]]&gt;WWWW[[#This Row],[Total PoP ]],WWWW[[#This Row],[Total PoP ]],WWWW[[#This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f>
        <v>0</v>
      </c>
      <c r="CI68" s="884">
        <f>IF(WWWW[[#This Row],['#_of_affected_households_receiving_a_sufficient_quantity_of_soap]]=0,0,IF(WWWW[[#This Row],['#_of_affected_households_receiving_a_sufficient_quantity_of_soap]]&gt;=WWWW[[#This Row],[Total HH]],WWWW[[#This Row],[Total PoP ]],IF(WWWW[[#This Row],['#_of_affected_households_receiving_a_sufficient_quantity_of_soap]]*5&gt;WWWW[[#This Row],[Total PoP ]],WWWW[[#This Row],[Total PoP ]],WWWW[[#This Row],['#_of_affected_households_receiving_a_sufficient_quantity_of_soap]]*5)))</f>
        <v>0</v>
      </c>
      <c r="CJ68" s="884">
        <f>IF(WWWW[[#This Row],['#_of_affected_women_and_girls_receiving_a_sufficient_quantity_of_sanitary_pads]]&gt;WWWW[[#This Row],[Total PoP ]],WWWW[[#This Row],[Total PoP ]],WWWW[[#This Row],['#_of_affected_women_and_girls_receiving_a_sufficient_quantity_of_sanitary_pads]])</f>
        <v>0</v>
      </c>
      <c r="CK68" s="884">
        <f>IF(WWWW[[#This Row],['# People with access to soap]]&gt;WWWW[[#This Row],['# People with access to Sanity Pads]],WWWW[[#This Row],['# People with access to soap]],WWWW[[#This Row],['# People with access to Sanity Pads]])</f>
        <v>0</v>
      </c>
      <c r="CL68" s="884">
        <f>IF(WWWW[[#This Row],['# people reached by regular dedicated hygiene promotion_5]]&gt;WWWW[[#This Row],['# People received regular supply of hygiene items_6]],WWWW[[#This Row],['# people reached by regular dedicated hygiene promotion_5]],WWWW[[#This Row],['# People received regular supply of hygiene items_6]])</f>
        <v>0</v>
      </c>
      <c r="CM68" s="885">
        <f>IF(WWWW[[#This Row],[HRP3]]/WWWW[[#This Row],[Total PoP ]]&gt;100%,100%,WWWW[[#This Row],[HRP3]]/WWWW[[#This Row],[Total PoP ]])</f>
        <v>0</v>
      </c>
      <c r="CN68" s="883">
        <f>1-WWWW[[#This Row],[Hygiene Coverage%]]</f>
        <v>1</v>
      </c>
      <c r="CO68" s="880">
        <f>WWWW[[#This Row],['# people reached by regular dedicated hygiene promotion_5]]/WWWW[[#This Row],[Total PoP ]]</f>
        <v>0</v>
      </c>
      <c r="CP68" s="883">
        <f>IF(WWWW[[#This Row],['#_of_affected_households_receiving_a_sufficient_quantity_of_soap]]/WWWW[[#This Row],[Total HH]]&gt;1,1,WWWW[[#This Row],['#_of_affected_households_receiving_a_sufficient_quantity_of_soap]]/WWWW[[#This Row],[Total HH]])</f>
        <v>0</v>
      </c>
      <c r="CQ68" s="542" t="str">
        <f>IF(WWWW[[#This Row],['#_students at TLS_CFS]]="","No","Yes")</f>
        <v>Yes</v>
      </c>
      <c r="CR68" s="534"/>
      <c r="CS68" s="886" t="str">
        <f>VLOOKUP(WWWW[[#This Row],[Site Name]],SiteDB6[[Site Name]:[CCCM Management]],6,FALSE)</f>
        <v>Yes</v>
      </c>
      <c r="CT68" s="886">
        <f>VLOOKUP(WWWW[[#This Row],[Site Name]],SiteDB6[[Site Name]:[CCCM Focal Agency]],7,FALSE)</f>
        <v>0</v>
      </c>
      <c r="CU68" s="886" t="str">
        <f>VLOOKUP(WWWW[[#This Row],[Site Name]],SiteDB6[[Site Name]:[Location Type 1]],9,FALSE)</f>
        <v>Camp</v>
      </c>
      <c r="CV68" s="886" t="str">
        <f>VLOOKUP(WWWW[[#This Row],[Site Name]],SiteDB6[[Site Name]:[Type of Accommodation]],10,FALSE)</f>
        <v>Planned Camp</v>
      </c>
      <c r="CW68" s="886" t="str">
        <f>VLOOKUP(WWWW[[#This Row],[Site Name]],SiteDB6[[Site Name]:[Ethnic or GCA/NGCA]],11,FALSE)</f>
        <v>Muslim</v>
      </c>
      <c r="CX68" s="886">
        <f>VLOOKUP(WWWW[[#This Row],[Site Name]],SiteDB6[[Site Name]:[Lat]],12,FALSE)</f>
        <v>20.185917</v>
      </c>
      <c r="CY68" s="886">
        <f>VLOOKUP(WWWW[[#This Row],[Site Name]],SiteDB6[[Site Name]:[Long]],13,FALSE)</f>
        <v>92.831000000000003</v>
      </c>
      <c r="CZ68" s="886" t="str">
        <f>VLOOKUP(WWWW[[#This Row],[Site Name]],SiteDB6[[Site Name]:[Pcode]],3,FALSE)</f>
        <v>MMR012CMP092</v>
      </c>
      <c r="DA68" s="887" t="str">
        <f t="shared" si="2"/>
        <v>Covered</v>
      </c>
      <c r="DB68" s="564">
        <f>VLOOKUP(WWWW[[#This Row],[Site Name]],SiteDB6[[Site Name]:[PWD_Total]],22,FALSE)</f>
        <v>62</v>
      </c>
      <c r="DC68" s="564">
        <f>VLOOKUP(WWWW[[#This Row],[Site Name]],SiteDB6[[Site Name]:[PWD_Total]],23,FALSE)</f>
        <v>335</v>
      </c>
      <c r="DD68" s="564">
        <f>VLOOKUP(WWWW[[#This Row],[Site Name]],SiteDB6[[Site Name]:[PWD_Total]],24,FALSE)</f>
        <v>397</v>
      </c>
      <c r="DE68" s="886"/>
      <c r="DF68" s="887"/>
      <c r="DG68" s="887"/>
      <c r="DH68" s="887"/>
    </row>
    <row r="69" spans="1:112" ht="38.25">
      <c r="A69" s="873" t="s">
        <v>2389</v>
      </c>
      <c r="B69" s="873" t="s">
        <v>270</v>
      </c>
      <c r="C69" s="944" t="s">
        <v>270</v>
      </c>
      <c r="D69" s="944" t="s">
        <v>2293</v>
      </c>
      <c r="E69" s="945" t="s">
        <v>2706</v>
      </c>
      <c r="F69" s="944" t="s">
        <v>406</v>
      </c>
      <c r="G69" s="874" t="str">
        <f>VLOOKUP(WWWW[[#This Row],[Site Name]],SiteDB6[[Site Name]:[Location Type]],8,FALSE)</f>
        <v>Camp</v>
      </c>
      <c r="H69" s="944" t="s">
        <v>410</v>
      </c>
      <c r="I69" s="589">
        <v>1027</v>
      </c>
      <c r="J69" s="589">
        <v>4671</v>
      </c>
      <c r="K69" s="453">
        <v>43374</v>
      </c>
      <c r="L69" s="854">
        <v>44012</v>
      </c>
      <c r="M69" s="875">
        <v>968</v>
      </c>
      <c r="N69" s="875"/>
      <c r="O69" s="875"/>
      <c r="P69" s="875">
        <v>45</v>
      </c>
      <c r="Q69" s="878" t="s">
        <v>42</v>
      </c>
      <c r="R69" s="875">
        <v>8</v>
      </c>
      <c r="S69" s="875">
        <v>3</v>
      </c>
      <c r="T69" s="589"/>
      <c r="U69" s="875"/>
      <c r="V69" s="875">
        <v>0</v>
      </c>
      <c r="W69" s="589">
        <v>72770313</v>
      </c>
      <c r="X69" s="589">
        <v>0</v>
      </c>
      <c r="Y69" s="589">
        <v>0</v>
      </c>
      <c r="Z69" s="589">
        <v>16</v>
      </c>
      <c r="AA69" s="589">
        <v>4</v>
      </c>
      <c r="AB69" s="875"/>
      <c r="AC69" s="875"/>
      <c r="AD69" s="875"/>
      <c r="AE69" s="879"/>
      <c r="AF69" s="589">
        <v>125</v>
      </c>
      <c r="AG69" s="589">
        <v>132</v>
      </c>
      <c r="AH69" s="875"/>
      <c r="AI69" s="880"/>
      <c r="AJ69" s="875"/>
      <c r="AK69" s="880"/>
      <c r="AL69" s="880"/>
      <c r="AM69" s="880"/>
      <c r="AN69" s="880"/>
      <c r="AO69" s="875">
        <v>14</v>
      </c>
      <c r="AP69" s="875">
        <v>54</v>
      </c>
      <c r="AQ69" s="875">
        <v>6</v>
      </c>
      <c r="AR69" s="875" t="s">
        <v>42</v>
      </c>
      <c r="AS69" s="881"/>
      <c r="AT69" s="589">
        <v>900</v>
      </c>
      <c r="AU69" s="589">
        <v>1014</v>
      </c>
      <c r="AV69" s="589">
        <v>1444</v>
      </c>
      <c r="AW69" s="589">
        <v>1313</v>
      </c>
      <c r="AX69" s="589">
        <v>1027</v>
      </c>
      <c r="AY69" s="589">
        <v>1027</v>
      </c>
      <c r="AZ69" s="589"/>
      <c r="BA69" s="534">
        <v>0.84</v>
      </c>
      <c r="BB69" s="589">
        <v>0</v>
      </c>
      <c r="BC69" s="534">
        <v>0</v>
      </c>
      <c r="BD69" s="889" t="s">
        <v>3212</v>
      </c>
      <c r="BE69" s="534"/>
      <c r="BF69" s="534"/>
      <c r="BG69" s="589"/>
      <c r="BH69" s="534"/>
      <c r="BI69" s="589" t="e">
        <f>WWWW[[#This Row],[Cases of Acute watery diarrhea]]/WWWW[[#This Row],[Total consultations]]</f>
        <v>#DIV/0!</v>
      </c>
      <c r="BJ69" s="535" t="s">
        <v>130</v>
      </c>
      <c r="BK69" s="648" t="s">
        <v>134</v>
      </c>
      <c r="BL69" s="648" t="s">
        <v>3213</v>
      </c>
      <c r="BM69" s="883" t="str">
        <f>IFERROR(WWWW[[#This Row],['#_Water samples _passed_at_water source]]/WWWW[[#This Row],['#_Water samples_Tested_at_water_source]],"no test")</f>
        <v>no test</v>
      </c>
      <c r="BN69" s="880">
        <f>IFERROR(WWWW[[#This Row],['#_Water samples _passed_at_HH]]/WWWW[[#This Row],['#_Water samples_Tested_at_HH]],"no test")</f>
        <v>0.25</v>
      </c>
      <c r="BO69" s="884" t="str">
        <f>IF(AND(WWWW[[#This Row],[%of Water samples which passed at water source]]="no test",WWWW[[#This Row],[%Water samples which passed at HH]]="no test"),"No Test","Tested")</f>
        <v>Tested</v>
      </c>
      <c r="BP69" s="883">
        <f>IF(WWWW[[#This Row],[Total PoP ]]="","",IF(((WWWW[[#This Row],['#_Functional_improved_water_source]]*500)+(WWWW[[#This Row],['#_litres_of_water_supplied_by_existing_water_boating/trucking ]]/90/15)+(WWWW[[#This Row],['#_Functional_water_point_at_TLS/CFS]]*500))/WWWW[[#This Row],[Total PoP ]]&gt;1,1,((WWWW[[#This Row],['#_Functional_improved_water_source]]*500)+(WWWW[[#This Row],['#_litres_of_water_supplied_by_existing_water_boating/trucking ]]/90/15)+(WWWW[[#This Row],['#_Functional_water_point_at_TLS/CFS]]*500))/WWWW[[#This Row],[Total PoP ]]))</f>
        <v>0</v>
      </c>
      <c r="BQ69" s="878">
        <f>WWWW[[#This Row],[Access to safe/improved water through improved water sources]]*WWWW[[#This Row],[Total PoP ]]</f>
        <v>0</v>
      </c>
      <c r="BR69" s="883">
        <f>IF((WWWW[[#This Row],['#_litres_of_water_stored_in_ponds]]/90/15)/WWWW[[#This Row],[Total PoP ]]&gt;1,1,(WWWW[[#This Row],['#_litres_of_water_stored_in_ponds]]/90/15)/WWWW[[#This Row],[Total PoP ]])</f>
        <v>1</v>
      </c>
      <c r="BS69" s="878">
        <f>WWWW[[#This Row],[% Access to unimproved water points]]*WWWW[[#This Row],[Total PoP ]]</f>
        <v>4671</v>
      </c>
      <c r="BT69" s="883">
        <f>IF(WWWW[[#This Row],[Access to safe/improved water through improved water sources]]+WWWW[[#This Row],[% Access to unimproved water points]]&gt;1,1,WWWW[[#This Row],[Access to safe/improved water through improved water sources]]+WWWW[[#This Row],[% Access to unimproved water points]])</f>
        <v>1</v>
      </c>
      <c r="BU69" s="878">
        <f>IF(WWWW[[#This Row],['# people with equitable and continuous access to sufficient quantity of safe drinking water]]+WWWW[[#This Row],['#People access to unimproved water sources]]&gt;WWWW[[#This Row],[Total PoP ]],WWWW[[#This Row],[Total PoP ]],WWWW[[#This Row],['# people with equitable and continuous access to sufficient quantity of safe drinking water]]+WWWW[[#This Row],['#People access to unimproved water sources]])</f>
        <v>4671</v>
      </c>
      <c r="BV69" s="878">
        <f>WWWW[[#This Row],[HRP1]]/500</f>
        <v>9.3420000000000005</v>
      </c>
      <c r="BW69" s="885">
        <f>1-WWWW[[#This Row],[% HRP1]]</f>
        <v>0</v>
      </c>
      <c r="BX69" s="878">
        <f>WWWW[[#This Row],[%equitable and continuous access to sufficient quantity of safe drinking and domestic water''s GAP]]*WWWW[[#This Row],[Total PoP ]]</f>
        <v>0</v>
      </c>
      <c r="BY69" s="535">
        <f>ROUND(IF(WWWW[[#This Row],[Total PoP ]]&lt;500,1,WWWW[[#This Row],[Total PoP ]]/500),0)</f>
        <v>9</v>
      </c>
      <c r="BZ69" s="884">
        <f>IF(WWWW[[#This Row],[Total required water points]]-WWWW[[#This Row],['#Water points coverage]]&lt;0,0,WWWW[[#This Row],[Total required water points]]-WWWW[[#This Row],['#Water points coverage]])</f>
        <v>0</v>
      </c>
      <c r="CA69" s="536">
        <f>WWWW[[#This Row],[HRP2]]/WWWW[[#This Row],[Total PoP ]]</f>
        <v>0.67094840505245135</v>
      </c>
      <c r="CB69" s="878">
        <f>IF(WWWW[[#This Row],[Total PoP ]]="",0,IF(((WWWW[[#This Row],['#_Functional_adult_latrines]]*20)+(WWWW[[#This Row],['#_of_functional_children_latrines]]*20)+WWWW[[#This Row],['#_of_PWD_with_adapted_sanitation_option]]+(WWWW[[#This Row],['#_of_latrines_in_TLS/CFS]]*50))&gt;WWWW[[#This Row],[Total PoP ]],WWWW[[#This Row],[Total PoP ]],((WWWW[[#This Row],['#_Functional_adult_latrines]]*20)+(WWWW[[#This Row],['#_of_functional_children_latrines]]*20)+WWWW[[#This Row],['#_of_PWD_with_adapted_sanitation_option]]+(WWWW[[#This Row],['#_of_latrines_in_TLS/CFS]]*50))))</f>
        <v>3134</v>
      </c>
      <c r="CC69" s="884">
        <f>IF(WWWW[[#This Row],['#_of_latrines_in_TLS/CFS]]*50&gt;WWWW[[#This Row],['#_students at TLS_CFS]],WWWW[[#This Row],['#_students at TLS_CFS]],WWWW[[#This Row],['#_of_latrines_in_TLS/CFS]]*50)</f>
        <v>300</v>
      </c>
      <c r="CD69" s="884">
        <f>ROUND(IF(WWWW[[#This Row],[Location Type 1]]="camp",WWWW[[#This Row],[Total PoP ]]/20),0)</f>
        <v>234</v>
      </c>
      <c r="CE69" s="884">
        <f>IF(WWWW[[#This Row],[Total required Latrines]]-WWWW[[#This Row],['#_Existing_latrines]]&lt;0,0,WWWW[[#This Row],[Total required Latrines]]-WWWW[[#This Row],['#_Existing_latrines]])</f>
        <v>102</v>
      </c>
      <c r="CF69" s="885">
        <f>1-WWWW[[#This Row],[% HRP2]]</f>
        <v>0.32905159494754865</v>
      </c>
      <c r="CG69" s="883">
        <f>IF(WWWW[[#This Row],['#_Existing_latrines]]="","NA",(WWWW[[#This Row],['#_Existing_latrines]]-WWWW[[#This Row],['#_Functional_adult_latrines]])/WWWW[[#This Row],['#_Existing_latrines]])</f>
        <v>5.3030303030303032E-2</v>
      </c>
      <c r="CH69" s="878">
        <f>IF(WWWW[[#This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Row],[_'#_of_Girls_receiving_consultation_hygiene_promotion_messages_and_sessions]]&gt;WWWW[[#This Row],[Total PoP ]],WWWW[[#This Row],[Total PoP ]],WWWW[[#This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f>
        <v>4671</v>
      </c>
      <c r="CI69" s="884">
        <f>IF(WWWW[[#This Row],['#_of_affected_households_receiving_a_sufficient_quantity_of_soap]]=0,0,IF(WWWW[[#This Row],['#_of_affected_households_receiving_a_sufficient_quantity_of_soap]]&gt;=WWWW[[#This Row],[Total HH]],WWWW[[#This Row],[Total PoP ]],IF(WWWW[[#This Row],['#_of_affected_households_receiving_a_sufficient_quantity_of_soap]]*5&gt;WWWW[[#This Row],[Total PoP ]],WWWW[[#This Row],[Total PoP ]],WWWW[[#This Row],['#_of_affected_households_receiving_a_sufficient_quantity_of_soap]]*5)))</f>
        <v>4671</v>
      </c>
      <c r="CJ69" s="884">
        <f>IF(WWWW[[#This Row],['#_of_affected_women_and_girls_receiving_a_sufficient_quantity_of_sanitary_pads]]&gt;WWWW[[#This Row],[Total PoP ]],WWWW[[#This Row],[Total PoP ]],WWWW[[#This Row],['#_of_affected_women_and_girls_receiving_a_sufficient_quantity_of_sanitary_pads]])</f>
        <v>1027</v>
      </c>
      <c r="CK69" s="884">
        <f>IF(WWWW[[#This Row],['# People with access to soap]]&gt;WWWW[[#This Row],['# People with access to Sanity Pads]],WWWW[[#This Row],['# People with access to soap]],WWWW[[#This Row],['# People with access to Sanity Pads]])</f>
        <v>4671</v>
      </c>
      <c r="CL69" s="884">
        <f>IF(WWWW[[#This Row],['# people reached by regular dedicated hygiene promotion_5]]&gt;WWWW[[#This Row],['# People received regular supply of hygiene items_6]],WWWW[[#This Row],['# people reached by regular dedicated hygiene promotion_5]],WWWW[[#This Row],['# People received regular supply of hygiene items_6]])</f>
        <v>4671</v>
      </c>
      <c r="CM69" s="885">
        <f>IF(WWWW[[#This Row],[HRP3]]/WWWW[[#This Row],[Total PoP ]]&gt;100%,100%,WWWW[[#This Row],[HRP3]]/WWWW[[#This Row],[Total PoP ]])</f>
        <v>1</v>
      </c>
      <c r="CN69" s="883">
        <f>1-WWWW[[#This Row],[Hygiene Coverage%]]</f>
        <v>0</v>
      </c>
      <c r="CO69" s="880">
        <f>WWWW[[#This Row],['# people reached by regular dedicated hygiene promotion_5]]/WWWW[[#This Row],[Total PoP ]]</f>
        <v>1</v>
      </c>
      <c r="CP69" s="883">
        <f>IF(WWWW[[#This Row],['#_of_affected_households_receiving_a_sufficient_quantity_of_soap]]/WWWW[[#This Row],[Total HH]]&gt;1,1,WWWW[[#This Row],['#_of_affected_households_receiving_a_sufficient_quantity_of_soap]]/WWWW[[#This Row],[Total HH]])</f>
        <v>1</v>
      </c>
      <c r="CQ69" s="542" t="str">
        <f>IF(WWWW[[#This Row],['#_students at TLS_CFS]]="","No","Yes")</f>
        <v>Yes</v>
      </c>
      <c r="CR69" s="534"/>
      <c r="CS69" s="886" t="str">
        <f>VLOOKUP(WWWW[[#This Row],[Site Name]],SiteDB6[[Site Name]:[CCCM Management]],6,FALSE)</f>
        <v>Yes</v>
      </c>
      <c r="CT69" s="886" t="str">
        <f>VLOOKUP(WWWW[[#This Row],[Site Name]],SiteDB6[[Site Name]:[CCCM Focal Agency]],7,FALSE)</f>
        <v>LWF</v>
      </c>
      <c r="CU69" s="886" t="str">
        <f>VLOOKUP(WWWW[[#This Row],[Site Name]],SiteDB6[[Site Name]:[Location Type 1]],9,FALSE)</f>
        <v>Camp</v>
      </c>
      <c r="CV69" s="886" t="str">
        <f>VLOOKUP(WWWW[[#This Row],[Site Name]],SiteDB6[[Site Name]:[Type of Accommodation]],10,FALSE)</f>
        <v>Individual House</v>
      </c>
      <c r="CW69" s="886" t="str">
        <f>VLOOKUP(WWWW[[#This Row],[Site Name]],SiteDB6[[Site Name]:[Ethnic or GCA/NGCA]],11,FALSE)</f>
        <v>Muslim</v>
      </c>
      <c r="CX69" s="886">
        <f>VLOOKUP(WWWW[[#This Row],[Site Name]],SiteDB6[[Site Name]:[Lat]],12,FALSE)</f>
        <v>20.073437999999999</v>
      </c>
      <c r="CY69" s="886">
        <f>VLOOKUP(WWWW[[#This Row],[Site Name]],SiteDB6[[Site Name]:[Long]],13,FALSE)</f>
        <v>93.154551999999995</v>
      </c>
      <c r="CZ69" s="886" t="str">
        <f>VLOOKUP(WWWW[[#This Row],[Site Name]],SiteDB6[[Site Name]:[Pcode]],3,FALSE)</f>
        <v>MMR012CMP017</v>
      </c>
      <c r="DA69" s="887" t="str">
        <f t="shared" si="2"/>
        <v>Covered</v>
      </c>
      <c r="DB69" s="564">
        <f>VLOOKUP(WWWW[[#This Row],[Site Name]],SiteDB6[[Site Name]:[PWD_Total]],22,FALSE)</f>
        <v>194</v>
      </c>
      <c r="DC69" s="564">
        <f>VLOOKUP(WWWW[[#This Row],[Site Name]],SiteDB6[[Site Name]:[PWD_Total]],23,FALSE)</f>
        <v>735</v>
      </c>
      <c r="DD69" s="564">
        <f>VLOOKUP(WWWW[[#This Row],[Site Name]],SiteDB6[[Site Name]:[PWD_Total]],24,FALSE)</f>
        <v>929</v>
      </c>
      <c r="DE69" s="886"/>
      <c r="DF69" s="887"/>
      <c r="DG69" s="887"/>
      <c r="DH69" s="887"/>
    </row>
    <row r="70" spans="1:112" ht="38.25">
      <c r="A70" s="873" t="s">
        <v>2389</v>
      </c>
      <c r="B70" s="873" t="s">
        <v>270</v>
      </c>
      <c r="C70" s="944" t="s">
        <v>270</v>
      </c>
      <c r="D70" s="944" t="s">
        <v>2293</v>
      </c>
      <c r="E70" s="945" t="s">
        <v>2706</v>
      </c>
      <c r="F70" s="944" t="s">
        <v>406</v>
      </c>
      <c r="G70" s="874" t="str">
        <f>VLOOKUP(WWWW[[#This Row],[Site Name]],SiteDB6[[Site Name]:[Location Type]],8,FALSE)</f>
        <v>Camp</v>
      </c>
      <c r="H70" s="944" t="s">
        <v>411</v>
      </c>
      <c r="I70" s="589">
        <v>984</v>
      </c>
      <c r="J70" s="589">
        <v>4676</v>
      </c>
      <c r="K70" s="453">
        <v>43374</v>
      </c>
      <c r="L70" s="854">
        <v>44012</v>
      </c>
      <c r="M70" s="875">
        <v>1261</v>
      </c>
      <c r="N70" s="875"/>
      <c r="O70" s="875"/>
      <c r="P70" s="875">
        <v>45</v>
      </c>
      <c r="Q70" s="878" t="s">
        <v>42</v>
      </c>
      <c r="R70" s="589">
        <v>10</v>
      </c>
      <c r="S70" s="589">
        <v>2</v>
      </c>
      <c r="T70" s="589">
        <v>0</v>
      </c>
      <c r="U70" s="875">
        <v>0</v>
      </c>
      <c r="V70" s="875">
        <v>0</v>
      </c>
      <c r="W70" s="589">
        <v>32544368</v>
      </c>
      <c r="X70" s="589">
        <v>0</v>
      </c>
      <c r="Y70" s="589">
        <v>0</v>
      </c>
      <c r="Z70" s="589">
        <v>20</v>
      </c>
      <c r="AA70" s="589">
        <v>5</v>
      </c>
      <c r="AB70" s="875"/>
      <c r="AC70" s="875"/>
      <c r="AD70" s="875"/>
      <c r="AE70" s="879"/>
      <c r="AF70" s="589">
        <v>128</v>
      </c>
      <c r="AG70" s="589">
        <v>145</v>
      </c>
      <c r="AH70" s="875"/>
      <c r="AI70" s="880"/>
      <c r="AJ70" s="875"/>
      <c r="AK70" s="880"/>
      <c r="AL70" s="880"/>
      <c r="AM70" s="880"/>
      <c r="AN70" s="880"/>
      <c r="AO70" s="875">
        <v>21</v>
      </c>
      <c r="AP70" s="875">
        <v>103</v>
      </c>
      <c r="AQ70" s="875">
        <v>8</v>
      </c>
      <c r="AR70" s="875" t="s">
        <v>42</v>
      </c>
      <c r="AS70" s="881"/>
      <c r="AT70" s="589">
        <v>995</v>
      </c>
      <c r="AU70" s="589">
        <v>1054</v>
      </c>
      <c r="AV70" s="589">
        <v>1374</v>
      </c>
      <c r="AW70" s="589">
        <v>1253</v>
      </c>
      <c r="AX70" s="589">
        <v>984</v>
      </c>
      <c r="AY70" s="589">
        <v>984</v>
      </c>
      <c r="AZ70" s="589"/>
      <c r="BA70" s="534">
        <v>0.74</v>
      </c>
      <c r="BB70" s="589">
        <v>0</v>
      </c>
      <c r="BC70" s="534">
        <v>0</v>
      </c>
      <c r="BD70" s="889" t="s">
        <v>3212</v>
      </c>
      <c r="BE70" s="534"/>
      <c r="BF70" s="534"/>
      <c r="BG70" s="589"/>
      <c r="BH70" s="534"/>
      <c r="BI70" s="589" t="e">
        <f>WWWW[[#This Row],[Cases of Acute watery diarrhea]]/WWWW[[#This Row],[Total consultations]]</f>
        <v>#DIV/0!</v>
      </c>
      <c r="BJ70" s="535" t="s">
        <v>130</v>
      </c>
      <c r="BK70" s="648" t="s">
        <v>134</v>
      </c>
      <c r="BL70" s="648" t="s">
        <v>3213</v>
      </c>
      <c r="BM70" s="883" t="str">
        <f>IFERROR(WWWW[[#This Row],['#_Water samples _passed_at_water source]]/WWWW[[#This Row],['#_Water samples_Tested_at_water_source]],"no test")</f>
        <v>no test</v>
      </c>
      <c r="BN70" s="880">
        <f>IFERROR(WWWW[[#This Row],['#_Water samples _passed_at_HH]]/WWWW[[#This Row],['#_Water samples_Tested_at_HH]],"no test")</f>
        <v>0.25</v>
      </c>
      <c r="BO70" s="884" t="str">
        <f>IF(AND(WWWW[[#This Row],[%of Water samples which passed at water source]]="no test",WWWW[[#This Row],[%Water samples which passed at HH]]="no test"),"No Test","Tested")</f>
        <v>Tested</v>
      </c>
      <c r="BP70" s="883">
        <f>IF(WWWW[[#This Row],[Total PoP ]]="","",IF(((WWWW[[#This Row],['#_Functional_improved_water_source]]*500)+(WWWW[[#This Row],['#_litres_of_water_supplied_by_existing_water_boating/trucking ]]/90/15)+(WWWW[[#This Row],['#_Functional_water_point_at_TLS/CFS]]*500))/WWWW[[#This Row],[Total PoP ]]&gt;1,1,((WWWW[[#This Row],['#_Functional_improved_water_source]]*500)+(WWWW[[#This Row],['#_litres_of_water_supplied_by_existing_water_boating/trucking ]]/90/15)+(WWWW[[#This Row],['#_Functional_water_point_at_TLS/CFS]]*500))/WWWW[[#This Row],[Total PoP ]]))</f>
        <v>0</v>
      </c>
      <c r="BQ70" s="878">
        <f>WWWW[[#This Row],[Access to safe/improved water through improved water sources]]*WWWW[[#This Row],[Total PoP ]]</f>
        <v>0</v>
      </c>
      <c r="BR70" s="883">
        <f>IF((WWWW[[#This Row],['#_litres_of_water_stored_in_ponds]]/90/15)/WWWW[[#This Row],[Total PoP ]]&gt;1,1,(WWWW[[#This Row],['#_litres_of_water_stored_in_ponds]]/90/15)/WWWW[[#This Row],[Total PoP ]])</f>
        <v>1</v>
      </c>
      <c r="BS70" s="878">
        <f>WWWW[[#This Row],[% Access to unimproved water points]]*WWWW[[#This Row],[Total PoP ]]</f>
        <v>4676</v>
      </c>
      <c r="BT70" s="883">
        <f>IF(WWWW[[#This Row],[Access to safe/improved water through improved water sources]]+WWWW[[#This Row],[% Access to unimproved water points]]&gt;1,1,WWWW[[#This Row],[Access to safe/improved water through improved water sources]]+WWWW[[#This Row],[% Access to unimproved water points]])</f>
        <v>1</v>
      </c>
      <c r="BU70" s="878">
        <f>IF(WWWW[[#This Row],['# people with equitable and continuous access to sufficient quantity of safe drinking water]]+WWWW[[#This Row],['#People access to unimproved water sources]]&gt;WWWW[[#This Row],[Total PoP ]],WWWW[[#This Row],[Total PoP ]],WWWW[[#This Row],['# people with equitable and continuous access to sufficient quantity of safe drinking water]]+WWWW[[#This Row],['#People access to unimproved water sources]])</f>
        <v>4676</v>
      </c>
      <c r="BV70" s="878">
        <f>WWWW[[#This Row],[HRP1]]/500</f>
        <v>9.3520000000000003</v>
      </c>
      <c r="BW70" s="885">
        <f>1-WWWW[[#This Row],[% HRP1]]</f>
        <v>0</v>
      </c>
      <c r="BX70" s="878">
        <f>WWWW[[#This Row],[%equitable and continuous access to sufficient quantity of safe drinking and domestic water''s GAP]]*WWWW[[#This Row],[Total PoP ]]</f>
        <v>0</v>
      </c>
      <c r="BY70" s="535">
        <f>ROUND(IF(WWWW[[#This Row],[Total PoP ]]&lt;500,1,WWWW[[#This Row],[Total PoP ]]/500),0)</f>
        <v>9</v>
      </c>
      <c r="BZ70" s="884">
        <f>IF(WWWW[[#This Row],[Total required water points]]-WWWW[[#This Row],['#Water points coverage]]&lt;0,0,WWWW[[#This Row],[Total required water points]]-WWWW[[#This Row],['#Water points coverage]])</f>
        <v>0</v>
      </c>
      <c r="CA70" s="536">
        <f>WWWW[[#This Row],[HRP2]]/WWWW[[#This Row],[Total PoP ]]</f>
        <v>0.74486740804106077</v>
      </c>
      <c r="CB70" s="878">
        <f>IF(WWWW[[#This Row],[Total PoP ]]="",0,IF(((WWWW[[#This Row],['#_Functional_adult_latrines]]*20)+(WWWW[[#This Row],['#_of_functional_children_latrines]]*20)+WWWW[[#This Row],['#_of_PWD_with_adapted_sanitation_option]]+(WWWW[[#This Row],['#_of_latrines_in_TLS/CFS]]*50))&gt;WWWW[[#This Row],[Total PoP ]],WWWW[[#This Row],[Total PoP ]],((WWWW[[#This Row],['#_Functional_adult_latrines]]*20)+(WWWW[[#This Row],['#_of_functional_children_latrines]]*20)+WWWW[[#This Row],['#_of_PWD_with_adapted_sanitation_option]]+(WWWW[[#This Row],['#_of_latrines_in_TLS/CFS]]*50))))</f>
        <v>3483</v>
      </c>
      <c r="CC70" s="884">
        <f>IF(WWWW[[#This Row],['#_of_latrines_in_TLS/CFS]]*50&gt;WWWW[[#This Row],['#_students at TLS_CFS]],WWWW[[#This Row],['#_students at TLS_CFS]],WWWW[[#This Row],['#_of_latrines_in_TLS/CFS]]*50)</f>
        <v>400</v>
      </c>
      <c r="CD70" s="884">
        <f>ROUND(IF(WWWW[[#This Row],[Location Type 1]]="camp",WWWW[[#This Row],[Total PoP ]]/20),0)</f>
        <v>234</v>
      </c>
      <c r="CE70" s="884">
        <f>IF(WWWW[[#This Row],[Total required Latrines]]-WWWW[[#This Row],['#_Existing_latrines]]&lt;0,0,WWWW[[#This Row],[Total required Latrines]]-WWWW[[#This Row],['#_Existing_latrines]])</f>
        <v>89</v>
      </c>
      <c r="CF70" s="885">
        <f>1-WWWW[[#This Row],[% HRP2]]</f>
        <v>0.25513259195893923</v>
      </c>
      <c r="CG70" s="883">
        <f>IF(WWWW[[#This Row],['#_Existing_latrines]]="","NA",(WWWW[[#This Row],['#_Existing_latrines]]-WWWW[[#This Row],['#_Functional_adult_latrines]])/WWWW[[#This Row],['#_Existing_latrines]])</f>
        <v>0.11724137931034483</v>
      </c>
      <c r="CH70" s="878">
        <f>IF(WWWW[[#This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Row],[_'#_of_Girls_receiving_consultation_hygiene_promotion_messages_and_sessions]]&gt;WWWW[[#This Row],[Total PoP ]],WWWW[[#This Row],[Total PoP ]],WWWW[[#This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f>
        <v>4676</v>
      </c>
      <c r="CI70" s="884">
        <f>IF(WWWW[[#This Row],['#_of_affected_households_receiving_a_sufficient_quantity_of_soap]]=0,0,IF(WWWW[[#This Row],['#_of_affected_households_receiving_a_sufficient_quantity_of_soap]]&gt;=WWWW[[#This Row],[Total HH]],WWWW[[#This Row],[Total PoP ]],IF(WWWW[[#This Row],['#_of_affected_households_receiving_a_sufficient_quantity_of_soap]]*5&gt;WWWW[[#This Row],[Total PoP ]],WWWW[[#This Row],[Total PoP ]],WWWW[[#This Row],['#_of_affected_households_receiving_a_sufficient_quantity_of_soap]]*5)))</f>
        <v>4676</v>
      </c>
      <c r="CJ70" s="884">
        <f>IF(WWWW[[#This Row],['#_of_affected_women_and_girls_receiving_a_sufficient_quantity_of_sanitary_pads]]&gt;WWWW[[#This Row],[Total PoP ]],WWWW[[#This Row],[Total PoP ]],WWWW[[#This Row],['#_of_affected_women_and_girls_receiving_a_sufficient_quantity_of_sanitary_pads]])</f>
        <v>984</v>
      </c>
      <c r="CK70" s="884">
        <f>IF(WWWW[[#This Row],['# People with access to soap]]&gt;WWWW[[#This Row],['# People with access to Sanity Pads]],WWWW[[#This Row],['# People with access to soap]],WWWW[[#This Row],['# People with access to Sanity Pads]])</f>
        <v>4676</v>
      </c>
      <c r="CL70" s="884">
        <f>IF(WWWW[[#This Row],['# people reached by regular dedicated hygiene promotion_5]]&gt;WWWW[[#This Row],['# People received regular supply of hygiene items_6]],WWWW[[#This Row],['# people reached by regular dedicated hygiene promotion_5]],WWWW[[#This Row],['# People received regular supply of hygiene items_6]])</f>
        <v>4676</v>
      </c>
      <c r="CM70" s="885">
        <f>IF(WWWW[[#This Row],[HRP3]]/WWWW[[#This Row],[Total PoP ]]&gt;100%,100%,WWWW[[#This Row],[HRP3]]/WWWW[[#This Row],[Total PoP ]])</f>
        <v>1</v>
      </c>
      <c r="CN70" s="883">
        <f>1-WWWW[[#This Row],[Hygiene Coverage%]]</f>
        <v>0</v>
      </c>
      <c r="CO70" s="880">
        <f>WWWW[[#This Row],['# people reached by regular dedicated hygiene promotion_5]]/WWWW[[#This Row],[Total PoP ]]</f>
        <v>1</v>
      </c>
      <c r="CP70" s="883">
        <f>IF(WWWW[[#This Row],['#_of_affected_households_receiving_a_sufficient_quantity_of_soap]]/WWWW[[#This Row],[Total HH]]&gt;1,1,WWWW[[#This Row],['#_of_affected_households_receiving_a_sufficient_quantity_of_soap]]/WWWW[[#This Row],[Total HH]])</f>
        <v>1</v>
      </c>
      <c r="CQ70" s="542" t="str">
        <f>IF(WWWW[[#This Row],['#_students at TLS_CFS]]="","No","Yes")</f>
        <v>Yes</v>
      </c>
      <c r="CR70" s="534"/>
      <c r="CS70" s="886" t="str">
        <f>VLOOKUP(WWWW[[#This Row],[Site Name]],SiteDB6[[Site Name]:[CCCM Management]],6,FALSE)</f>
        <v>Yes</v>
      </c>
      <c r="CT70" s="886" t="str">
        <f>VLOOKUP(WWWW[[#This Row],[Site Name]],SiteDB6[[Site Name]:[CCCM Focal Agency]],7,FALSE)</f>
        <v>LWF</v>
      </c>
      <c r="CU70" s="886" t="str">
        <f>VLOOKUP(WWWW[[#This Row],[Site Name]],SiteDB6[[Site Name]:[Location Type 1]],9,FALSE)</f>
        <v>Camp</v>
      </c>
      <c r="CV70" s="886" t="str">
        <f>VLOOKUP(WWWW[[#This Row],[Site Name]],SiteDB6[[Site Name]:[Type of Accommodation]],10,FALSE)</f>
        <v>Planned Camp</v>
      </c>
      <c r="CW70" s="886" t="str">
        <f>VLOOKUP(WWWW[[#This Row],[Site Name]],SiteDB6[[Site Name]:[Ethnic or GCA/NGCA]],11,FALSE)</f>
        <v>Muslim</v>
      </c>
      <c r="CX70" s="886">
        <f>VLOOKUP(WWWW[[#This Row],[Site Name]],SiteDB6[[Site Name]:[Lat]],12,FALSE)</f>
        <v>20.073437999999999</v>
      </c>
      <c r="CY70" s="886">
        <f>VLOOKUP(WWWW[[#This Row],[Site Name]],SiteDB6[[Site Name]:[Long]],13,FALSE)</f>
        <v>93.154551999999995</v>
      </c>
      <c r="CZ70" s="886" t="str">
        <f>VLOOKUP(WWWW[[#This Row],[Site Name]],SiteDB6[[Site Name]:[Pcode]],3,FALSE)</f>
        <v>MMR012CMP017</v>
      </c>
      <c r="DA70" s="887" t="str">
        <f t="shared" si="2"/>
        <v>Covered</v>
      </c>
      <c r="DB70" s="564">
        <f>VLOOKUP(WWWW[[#This Row],[Site Name]],SiteDB6[[Site Name]:[PWD_Total]],22,FALSE)</f>
        <v>112</v>
      </c>
      <c r="DC70" s="564">
        <f>VLOOKUP(WWWW[[#This Row],[Site Name]],SiteDB6[[Site Name]:[PWD_Total]],23,FALSE)</f>
        <v>643</v>
      </c>
      <c r="DD70" s="564">
        <f>VLOOKUP(WWWW[[#This Row],[Site Name]],SiteDB6[[Site Name]:[PWD_Total]],24,FALSE)</f>
        <v>755</v>
      </c>
      <c r="DE70" s="886"/>
      <c r="DF70" s="887"/>
      <c r="DG70" s="887"/>
      <c r="DH70" s="887"/>
    </row>
    <row r="71" spans="1:112">
      <c r="A71" s="873" t="s">
        <v>2389</v>
      </c>
      <c r="B71" s="873" t="s">
        <v>303</v>
      </c>
      <c r="C71" s="873" t="s">
        <v>303</v>
      </c>
      <c r="D71" s="944"/>
      <c r="E71" s="945" t="s">
        <v>2706</v>
      </c>
      <c r="F71" s="944" t="s">
        <v>306</v>
      </c>
      <c r="G71" s="874" t="str">
        <f>VLOOKUP(WWWW[[#This Row],[Site Name]],SiteDB6[[Site Name]:[Location Type]],8,FALSE)</f>
        <v>Camp</v>
      </c>
      <c r="H71" s="944" t="s">
        <v>2701</v>
      </c>
      <c r="I71" s="875">
        <v>91</v>
      </c>
      <c r="J71" s="875">
        <v>581</v>
      </c>
      <c r="K71" s="876"/>
      <c r="L71" s="877"/>
      <c r="M71" s="875"/>
      <c r="N71" s="875"/>
      <c r="O71" s="875"/>
      <c r="P71" s="875"/>
      <c r="Q71" s="878"/>
      <c r="R71" s="875"/>
      <c r="S71" s="875"/>
      <c r="T71" s="589"/>
      <c r="U71" s="875"/>
      <c r="V71" s="875"/>
      <c r="W71" s="875"/>
      <c r="X71" s="875"/>
      <c r="Y71" s="875"/>
      <c r="Z71" s="875"/>
      <c r="AA71" s="875"/>
      <c r="AB71" s="875"/>
      <c r="AC71" s="875"/>
      <c r="AD71" s="875"/>
      <c r="AE71" s="879"/>
      <c r="AF71" s="875">
        <v>91</v>
      </c>
      <c r="AG71" s="875">
        <v>91</v>
      </c>
      <c r="AH71" s="875"/>
      <c r="AI71" s="880"/>
      <c r="AJ71" s="875"/>
      <c r="AK71" s="880"/>
      <c r="AL71" s="880"/>
      <c r="AM71" s="880"/>
      <c r="AN71" s="880"/>
      <c r="AO71" s="875"/>
      <c r="AP71" s="875"/>
      <c r="AQ71" s="875"/>
      <c r="AR71" s="875" t="s">
        <v>130</v>
      </c>
      <c r="AS71" s="881"/>
      <c r="AT71" s="875"/>
      <c r="AU71" s="875"/>
      <c r="AV71" s="875"/>
      <c r="AW71" s="875"/>
      <c r="AX71" s="875"/>
      <c r="AY71" s="875"/>
      <c r="AZ71" s="589"/>
      <c r="BA71" s="875"/>
      <c r="BB71" s="589"/>
      <c r="BC71" s="880"/>
      <c r="BD71" s="882"/>
      <c r="BE71" s="534"/>
      <c r="BF71" s="534"/>
      <c r="BG71" s="589"/>
      <c r="BH71" s="534"/>
      <c r="BI71" s="589" t="e">
        <f>WWWW[[#This Row],[Cases of Acute watery diarrhea]]/WWWW[[#This Row],[Total consultations]]</f>
        <v>#DIV/0!</v>
      </c>
      <c r="BJ71" s="535"/>
      <c r="BK71" s="881"/>
      <c r="BL71" s="881"/>
      <c r="BM71" s="883" t="str">
        <f>IFERROR(WWWW[[#This Row],['#_Water samples _passed_at_water source]]/WWWW[[#This Row],['#_Water samples_Tested_at_water_source]],"no test")</f>
        <v>no test</v>
      </c>
      <c r="BN71" s="880" t="str">
        <f>IFERROR(WWWW[[#This Row],['#_Water samples _passed_at_HH]]/WWWW[[#This Row],['#_Water samples_Tested_at_HH]],"no test")</f>
        <v>no test</v>
      </c>
      <c r="BO71" s="884" t="str">
        <f>IF(AND(WWWW[[#This Row],[%of Water samples which passed at water source]]="no test",WWWW[[#This Row],[%Water samples which passed at HH]]="no test"),"No Test","Tested")</f>
        <v>No Test</v>
      </c>
      <c r="BP71" s="883">
        <f>IF(WWWW[[#This Row],[Total PoP ]]="","",IF(((WWWW[[#This Row],['#_Functional_improved_water_source]]*500)+(WWWW[[#This Row],['#_litres_of_water_supplied_by_existing_water_boating/trucking ]]/90/15)+(WWWW[[#This Row],['#_Functional_water_point_at_TLS/CFS]]*500))/WWWW[[#This Row],[Total PoP ]]&gt;1,1,((WWWW[[#This Row],['#_Functional_improved_water_source]]*500)+(WWWW[[#This Row],['#_litres_of_water_supplied_by_existing_water_boating/trucking ]]/90/15)+(WWWW[[#This Row],['#_Functional_water_point_at_TLS/CFS]]*500))/WWWW[[#This Row],[Total PoP ]]))</f>
        <v>0</v>
      </c>
      <c r="BQ71" s="878">
        <f>WWWW[[#This Row],[Access to safe/improved water through improved water sources]]*WWWW[[#This Row],[Total PoP ]]</f>
        <v>0</v>
      </c>
      <c r="BR71" s="883">
        <f>IF((WWWW[[#This Row],['#_litres_of_water_stored_in_ponds]]/90/15)/WWWW[[#This Row],[Total PoP ]]&gt;1,1,(WWWW[[#This Row],['#_litres_of_water_stored_in_ponds]]/90/15)/WWWW[[#This Row],[Total PoP ]])</f>
        <v>0</v>
      </c>
      <c r="BS71" s="878">
        <f>WWWW[[#This Row],[% Access to unimproved water points]]*WWWW[[#This Row],[Total PoP ]]</f>
        <v>0</v>
      </c>
      <c r="BT71" s="883">
        <f>IF(WWWW[[#This Row],[Access to safe/improved water through improved water sources]]+WWWW[[#This Row],[% Access to unimproved water points]]&gt;1,1,WWWW[[#This Row],[Access to safe/improved water through improved water sources]]+WWWW[[#This Row],[% Access to unimproved water points]])</f>
        <v>0</v>
      </c>
      <c r="BU71" s="878">
        <f>IF(WWWW[[#This Row],['# people with equitable and continuous access to sufficient quantity of safe drinking water]]+WWWW[[#This Row],['#People access to unimproved water sources]]&gt;WWWW[[#This Row],[Total PoP ]],WWWW[[#This Row],[Total PoP ]],WWWW[[#This Row],['# people with equitable and continuous access to sufficient quantity of safe drinking water]]+WWWW[[#This Row],['#People access to unimproved water sources]])</f>
        <v>0</v>
      </c>
      <c r="BV71" s="878">
        <f>WWWW[[#This Row],[HRP1]]/500</f>
        <v>0</v>
      </c>
      <c r="BW71" s="885">
        <f>1-WWWW[[#This Row],[% HRP1]]</f>
        <v>1</v>
      </c>
      <c r="BX71" s="878">
        <f>WWWW[[#This Row],[%equitable and continuous access to sufficient quantity of safe drinking and domestic water''s GAP]]*WWWW[[#This Row],[Total PoP ]]</f>
        <v>581</v>
      </c>
      <c r="BY71" s="535">
        <f>ROUND(IF(WWWW[[#This Row],[Total PoP ]]&lt;500,1,WWWW[[#This Row],[Total PoP ]]/500),0)</f>
        <v>1</v>
      </c>
      <c r="BZ71" s="884">
        <f>IF(WWWW[[#This Row],[Total required water points]]-WWWW[[#This Row],['#Water points coverage]]&lt;0,0,WWWW[[#This Row],[Total required water points]]-WWWW[[#This Row],['#Water points coverage]])</f>
        <v>1</v>
      </c>
      <c r="CA71" s="536">
        <f>WWWW[[#This Row],[HRP2]]/WWWW[[#This Row],[Total PoP ]]</f>
        <v>1</v>
      </c>
      <c r="CB71" s="878">
        <f>IF(WWWW[[#This Row],[Total PoP ]]="",0,IF(((WWWW[[#This Row],['#_Functional_adult_latrines]]*20)+(WWWW[[#This Row],['#_of_functional_children_latrines]]*20)+WWWW[[#This Row],['#_of_PWD_with_adapted_sanitation_option]]+(WWWW[[#This Row],['#_of_latrines_in_TLS/CFS]]*50))&gt;WWWW[[#This Row],[Total PoP ]],WWWW[[#This Row],[Total PoP ]],((WWWW[[#This Row],['#_Functional_adult_latrines]]*20)+(WWWW[[#This Row],['#_of_functional_children_latrines]]*20)+WWWW[[#This Row],['#_of_PWD_with_adapted_sanitation_option]]+(WWWW[[#This Row],['#_of_latrines_in_TLS/CFS]]*50))))</f>
        <v>581</v>
      </c>
      <c r="CC71" s="884">
        <f>IF(WWWW[[#This Row],['#_of_latrines_in_TLS/CFS]]*50&gt;WWWW[[#This Row],['#_students at TLS_CFS]],WWWW[[#This Row],['#_students at TLS_CFS]],WWWW[[#This Row],['#_of_latrines_in_TLS/CFS]]*50)</f>
        <v>0</v>
      </c>
      <c r="CD71" s="884">
        <f>ROUND(IF(WWWW[[#This Row],[Location Type 1]]="camp",WWWW[[#This Row],[Total PoP ]]/20),0)</f>
        <v>29</v>
      </c>
      <c r="CE71" s="884">
        <f>IF(WWWW[[#This Row],[Total required Latrines]]-WWWW[[#This Row],['#_Existing_latrines]]&lt;0,0,WWWW[[#This Row],[Total required Latrines]]-WWWW[[#This Row],['#_Existing_latrines]])</f>
        <v>0</v>
      </c>
      <c r="CF71" s="885">
        <f>1-WWWW[[#This Row],[% HRP2]]</f>
        <v>0</v>
      </c>
      <c r="CG71" s="883">
        <f>IF(WWWW[[#This Row],['#_Existing_latrines]]="","NA",(WWWW[[#This Row],['#_Existing_latrines]]-WWWW[[#This Row],['#_Functional_adult_latrines]])/WWWW[[#This Row],['#_Existing_latrines]])</f>
        <v>0</v>
      </c>
      <c r="CH71" s="878">
        <f>IF(WWWW[[#This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Row],[_'#_of_Girls_receiving_consultation_hygiene_promotion_messages_and_sessions]]&gt;WWWW[[#This Row],[Total PoP ]],WWWW[[#This Row],[Total PoP ]],WWWW[[#This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f>
        <v>0</v>
      </c>
      <c r="CI71" s="884">
        <f>IF(WWWW[[#This Row],['#_of_affected_households_receiving_a_sufficient_quantity_of_soap]]=0,0,IF(WWWW[[#This Row],['#_of_affected_households_receiving_a_sufficient_quantity_of_soap]]&gt;=WWWW[[#This Row],[Total HH]],WWWW[[#This Row],[Total PoP ]],IF(WWWW[[#This Row],['#_of_affected_households_receiving_a_sufficient_quantity_of_soap]]*5&gt;WWWW[[#This Row],[Total PoP ]],WWWW[[#This Row],[Total PoP ]],WWWW[[#This Row],['#_of_affected_households_receiving_a_sufficient_quantity_of_soap]]*5)))</f>
        <v>0</v>
      </c>
      <c r="CJ71" s="884">
        <f>IF(WWWW[[#This Row],['#_of_affected_women_and_girls_receiving_a_sufficient_quantity_of_sanitary_pads]]&gt;WWWW[[#This Row],[Total PoP ]],WWWW[[#This Row],[Total PoP ]],WWWW[[#This Row],['#_of_affected_women_and_girls_receiving_a_sufficient_quantity_of_sanitary_pads]])</f>
        <v>0</v>
      </c>
      <c r="CK71" s="884">
        <f>IF(WWWW[[#This Row],['# People with access to soap]]&gt;WWWW[[#This Row],['# People with access to Sanity Pads]],WWWW[[#This Row],['# People with access to soap]],WWWW[[#This Row],['# People with access to Sanity Pads]])</f>
        <v>0</v>
      </c>
      <c r="CL71" s="884">
        <f>IF(WWWW[[#This Row],['# people reached by regular dedicated hygiene promotion_5]]&gt;WWWW[[#This Row],['# People received regular supply of hygiene items_6]],WWWW[[#This Row],['# people reached by regular dedicated hygiene promotion_5]],WWWW[[#This Row],['# People received regular supply of hygiene items_6]])</f>
        <v>0</v>
      </c>
      <c r="CM71" s="885">
        <f>IF(WWWW[[#This Row],[HRP3]]/WWWW[[#This Row],[Total PoP ]]&gt;100%,100%,WWWW[[#This Row],[HRP3]]/WWWW[[#This Row],[Total PoP ]])</f>
        <v>0</v>
      </c>
      <c r="CN71" s="883">
        <f>1-WWWW[[#This Row],[Hygiene Coverage%]]</f>
        <v>1</v>
      </c>
      <c r="CO71" s="880">
        <f>WWWW[[#This Row],['# people reached by regular dedicated hygiene promotion_5]]/WWWW[[#This Row],[Total PoP ]]</f>
        <v>0</v>
      </c>
      <c r="CP71" s="883">
        <f>IF(WWWW[[#This Row],['#_of_affected_households_receiving_a_sufficient_quantity_of_soap]]/WWWW[[#This Row],[Total HH]]&gt;1,1,WWWW[[#This Row],['#_of_affected_households_receiving_a_sufficient_quantity_of_soap]]/WWWW[[#This Row],[Total HH]])</f>
        <v>0</v>
      </c>
      <c r="CQ71" s="542" t="str">
        <f>IF(WWWW[[#This Row],['#_students at TLS_CFS]]="","No","Yes")</f>
        <v>No</v>
      </c>
      <c r="CR71" s="534"/>
      <c r="CS71" s="886" t="str">
        <f>VLOOKUP(WWWW[[#This Row],[Site Name]],SiteDB6[[Site Name]:[CCCM Management]],6,FALSE)</f>
        <v>Yes</v>
      </c>
      <c r="CT71" s="886">
        <f>VLOOKUP(WWWW[[#This Row],[Site Name]],SiteDB6[[Site Name]:[CCCM Focal Agency]],7,FALSE)</f>
        <v>0</v>
      </c>
      <c r="CU71" s="886" t="str">
        <f>VLOOKUP(WWWW[[#This Row],[Site Name]],SiteDB6[[Site Name]:[Location Type 1]],9,FALSE)</f>
        <v>Camp</v>
      </c>
      <c r="CV71" s="886" t="str">
        <f>VLOOKUP(WWWW[[#This Row],[Site Name]],SiteDB6[[Site Name]:[Type of Accommodation]],10,FALSE)</f>
        <v>Self Settled Camp</v>
      </c>
      <c r="CW71" s="886" t="str">
        <f>VLOOKUP(WWWW[[#This Row],[Site Name]],SiteDB6[[Site Name]:[Ethnic or GCA/NGCA]],11,FALSE)</f>
        <v>Muslim</v>
      </c>
      <c r="CX71" s="886">
        <f>VLOOKUP(WWWW[[#This Row],[Site Name]],SiteDB6[[Site Name]:[Lat]],12,FALSE)</f>
        <v>20.865687000000001</v>
      </c>
      <c r="CY71" s="886">
        <f>VLOOKUP(WWWW[[#This Row],[Site Name]],SiteDB6[[Site Name]:[Long]],13,FALSE)</f>
        <v>92.965980999999999</v>
      </c>
      <c r="CZ71" s="886" t="str">
        <f>VLOOKUP(WWWW[[#This Row],[Site Name]],SiteDB6[[Site Name]:[Pcode]],3,FALSE)</f>
        <v>MMR012CMP023</v>
      </c>
      <c r="DA71" s="887" t="str">
        <f t="shared" si="2"/>
        <v>Notcovered</v>
      </c>
      <c r="DB71" s="564">
        <f>VLOOKUP(WWWW[[#This Row],[Site Name]],SiteDB6[[Site Name]:[PWD_Total]],22,FALSE)</f>
        <v>0</v>
      </c>
      <c r="DC71" s="564">
        <f>VLOOKUP(WWWW[[#This Row],[Site Name]],SiteDB6[[Site Name]:[PWD_Total]],23,FALSE)</f>
        <v>0</v>
      </c>
      <c r="DD71" s="564">
        <f>VLOOKUP(WWWW[[#This Row],[Site Name]],SiteDB6[[Site Name]:[PWD_Total]],24,FALSE)</f>
        <v>0</v>
      </c>
      <c r="DE71" s="886"/>
      <c r="DF71" s="887"/>
      <c r="DG71" s="887"/>
      <c r="DH71" s="887"/>
    </row>
    <row r="72" spans="1:112">
      <c r="A72" s="873" t="s">
        <v>2389</v>
      </c>
      <c r="B72" s="873" t="s">
        <v>2702</v>
      </c>
      <c r="C72" s="944" t="s">
        <v>2307</v>
      </c>
      <c r="D72" s="944" t="s">
        <v>41</v>
      </c>
      <c r="E72" s="945" t="s">
        <v>2706</v>
      </c>
      <c r="F72" s="944" t="s">
        <v>299</v>
      </c>
      <c r="G72" s="874" t="str">
        <f>VLOOKUP(WWWW[[#This Row],[Site Name]],SiteDB6[[Site Name]:[Location Type]],8,FALSE)</f>
        <v>Camp</v>
      </c>
      <c r="H72" s="944" t="s">
        <v>445</v>
      </c>
      <c r="I72" s="875">
        <v>673</v>
      </c>
      <c r="J72" s="875">
        <v>3095</v>
      </c>
      <c r="K72" s="876">
        <v>43009</v>
      </c>
      <c r="L72" s="877">
        <v>44104</v>
      </c>
      <c r="M72" s="875">
        <v>681</v>
      </c>
      <c r="N72" s="875">
        <v>20</v>
      </c>
      <c r="O72" s="875">
        <v>65</v>
      </c>
      <c r="P72" s="875">
        <v>0</v>
      </c>
      <c r="Q72" s="878" t="s">
        <v>130</v>
      </c>
      <c r="R72" s="875">
        <v>8</v>
      </c>
      <c r="S72" s="875">
        <v>4</v>
      </c>
      <c r="T72" s="589">
        <v>70</v>
      </c>
      <c r="U72" s="875">
        <v>76</v>
      </c>
      <c r="V72" s="875"/>
      <c r="W72" s="875"/>
      <c r="X72" s="875"/>
      <c r="Y72" s="875"/>
      <c r="Z72" s="875"/>
      <c r="AA72" s="875"/>
      <c r="AB72" s="875">
        <v>673</v>
      </c>
      <c r="AC72" s="875">
        <v>30</v>
      </c>
      <c r="AD72" s="875">
        <v>2</v>
      </c>
      <c r="AE72" s="879"/>
      <c r="AF72" s="875">
        <v>161</v>
      </c>
      <c r="AG72" s="875">
        <v>173</v>
      </c>
      <c r="AH72" s="875">
        <v>52</v>
      </c>
      <c r="AI72" s="880">
        <v>0.54</v>
      </c>
      <c r="AJ72" s="875">
        <v>88</v>
      </c>
      <c r="AK72" s="534">
        <v>1</v>
      </c>
      <c r="AL72" s="534">
        <v>0.86</v>
      </c>
      <c r="AM72" s="534">
        <v>0.2</v>
      </c>
      <c r="AN72" s="534">
        <v>0.2</v>
      </c>
      <c r="AO72" s="875">
        <v>0</v>
      </c>
      <c r="AP72" s="875"/>
      <c r="AQ72" s="875">
        <v>6</v>
      </c>
      <c r="AR72" s="875" t="s">
        <v>42</v>
      </c>
      <c r="AS72" s="881"/>
      <c r="AT72" s="875">
        <v>632</v>
      </c>
      <c r="AU72" s="875">
        <v>1074</v>
      </c>
      <c r="AV72" s="875">
        <v>211</v>
      </c>
      <c r="AW72" s="875">
        <v>845</v>
      </c>
      <c r="AX72" s="875">
        <v>774</v>
      </c>
      <c r="AY72" s="875"/>
      <c r="AZ72" s="589"/>
      <c r="BA72" s="875"/>
      <c r="BB72" s="589"/>
      <c r="BC72" s="888">
        <v>1</v>
      </c>
      <c r="BD72" s="882"/>
      <c r="BE72" s="534"/>
      <c r="BF72" s="534"/>
      <c r="BG72" s="507">
        <f>100%*WWWW[[#This Row],[Total PoP ]]</f>
        <v>3095</v>
      </c>
      <c r="BH72" s="534"/>
      <c r="BI72" s="589" t="e">
        <f>WWWW[[#This Row],[Cases of Acute watery diarrhea]]/WWWW[[#This Row],[Total consultations]]</f>
        <v>#DIV/0!</v>
      </c>
      <c r="BJ72" s="535"/>
      <c r="BK72" s="881"/>
      <c r="BL72" s="881"/>
      <c r="BM72" s="883" t="str">
        <f>IFERROR(WWWW[[#This Row],['#_Water samples _passed_at_water source]]/WWWW[[#This Row],['#_Water samples_Tested_at_water_source]],"no test")</f>
        <v>no test</v>
      </c>
      <c r="BN72" s="880" t="str">
        <f>IFERROR(WWWW[[#This Row],['#_Water samples _passed_at_HH]]/WWWW[[#This Row],['#_Water samples_Tested_at_HH]],"no test")</f>
        <v>no test</v>
      </c>
      <c r="BO72" s="884" t="str">
        <f>IF(AND(WWWW[[#This Row],[%of Water samples which passed at water source]]="no test",WWWW[[#This Row],[%Water samples which passed at HH]]="no test"),"No Test","Tested")</f>
        <v>No Test</v>
      </c>
      <c r="BP72" s="883">
        <f>IF(WWWW[[#This Row],[Total PoP ]]="","",IF(((WWWW[[#This Row],['#_Functional_improved_water_source]]*500)+(WWWW[[#This Row],['#_litres_of_water_supplied_by_existing_water_boating/trucking ]]/90/15)+(WWWW[[#This Row],['#_Functional_water_point_at_TLS/CFS]]*500))/WWWW[[#This Row],[Total PoP ]]&gt;1,1,((WWWW[[#This Row],['#_Functional_improved_water_source]]*500)+(WWWW[[#This Row],['#_litres_of_water_supplied_by_existing_water_boating/trucking ]]/90/15)+(WWWW[[#This Row],['#_Functional_water_point_at_TLS/CFS]]*500))/WWWW[[#This Row],[Total PoP ]]))</f>
        <v>1</v>
      </c>
      <c r="BQ72" s="878">
        <f>WWWW[[#This Row],[Access to safe/improved water through improved water sources]]*WWWW[[#This Row],[Total PoP ]]</f>
        <v>3095</v>
      </c>
      <c r="BR72" s="883">
        <f>IF((WWWW[[#This Row],['#_litres_of_water_stored_in_ponds]]/90/15)/WWWW[[#This Row],[Total PoP ]]&gt;1,1,(WWWW[[#This Row],['#_litres_of_water_stored_in_ponds]]/90/15)/WWWW[[#This Row],[Total PoP ]])</f>
        <v>0</v>
      </c>
      <c r="BS72" s="878">
        <f>WWWW[[#This Row],[% Access to unimproved water points]]*WWWW[[#This Row],[Total PoP ]]</f>
        <v>0</v>
      </c>
      <c r="BT72" s="883">
        <f>IF(WWWW[[#This Row],[Access to safe/improved water through improved water sources]]+WWWW[[#This Row],[% Access to unimproved water points]]&gt;1,1,WWWW[[#This Row],[Access to safe/improved water through improved water sources]]+WWWW[[#This Row],[% Access to unimproved water points]])</f>
        <v>1</v>
      </c>
      <c r="BU72" s="878">
        <f>IF(WWWW[[#This Row],['# people with equitable and continuous access to sufficient quantity of safe drinking water]]+WWWW[[#This Row],['#People access to unimproved water sources]]&gt;WWWW[[#This Row],[Total PoP ]],WWWW[[#This Row],[Total PoP ]],WWWW[[#This Row],['# people with equitable and continuous access to sufficient quantity of safe drinking water]]+WWWW[[#This Row],['#People access to unimproved water sources]])</f>
        <v>3095</v>
      </c>
      <c r="BV72" s="878">
        <f>WWWW[[#This Row],[HRP1]]/500</f>
        <v>6.19</v>
      </c>
      <c r="BW72" s="885">
        <f>1-WWWW[[#This Row],[% HRP1]]</f>
        <v>0</v>
      </c>
      <c r="BX72" s="878">
        <f>WWWW[[#This Row],[%equitable and continuous access to sufficient quantity of safe drinking and domestic water''s GAP]]*WWWW[[#This Row],[Total PoP ]]</f>
        <v>0</v>
      </c>
      <c r="BY72" s="535">
        <f>ROUND(IF(WWWW[[#This Row],[Total PoP ]]&lt;500,1,WWWW[[#This Row],[Total PoP ]]/500),0)</f>
        <v>6</v>
      </c>
      <c r="BZ72" s="884">
        <f>IF(WWWW[[#This Row],[Total required water points]]-WWWW[[#This Row],['#Water points coverage]]&lt;0,0,WWWW[[#This Row],[Total required water points]]-WWWW[[#This Row],['#Water points coverage]])</f>
        <v>0</v>
      </c>
      <c r="CA72" s="536">
        <f>WWWW[[#This Row],[HRP2]]/WWWW[[#This Row],[Total PoP ]]</f>
        <v>1</v>
      </c>
      <c r="CB72" s="878">
        <f>IF(WWWW[[#This Row],[Total PoP ]]="",0,IF(((WWWW[[#This Row],['#_Functional_adult_latrines]]*20)+(WWWW[[#This Row],['#_of_functional_children_latrines]]*20)+WWWW[[#This Row],['#_of_PWD_with_adapted_sanitation_option]]+(WWWW[[#This Row],['#_of_latrines_in_TLS/CFS]]*50))&gt;WWWW[[#This Row],[Total PoP ]],WWWW[[#This Row],[Total PoP ]],((WWWW[[#This Row],['#_Functional_adult_latrines]]*20)+(WWWW[[#This Row],['#_of_functional_children_latrines]]*20)+WWWW[[#This Row],['#_of_PWD_with_adapted_sanitation_option]]+(WWWW[[#This Row],['#_of_latrines_in_TLS/CFS]]*50))))</f>
        <v>3095</v>
      </c>
      <c r="CC72" s="884">
        <f>IF(WWWW[[#This Row],['#_of_latrines_in_TLS/CFS]]*50&gt;WWWW[[#This Row],['#_students at TLS_CFS]],WWWW[[#This Row],['#_students at TLS_CFS]],WWWW[[#This Row],['#_of_latrines_in_TLS/CFS]]*50)</f>
        <v>300</v>
      </c>
      <c r="CD72" s="884">
        <f>ROUND(IF(WWWW[[#This Row],[Location Type 1]]="camp",WWWW[[#This Row],[Total PoP ]]/20),0)</f>
        <v>155</v>
      </c>
      <c r="CE72" s="884">
        <f>IF(WWWW[[#This Row],[Total required Latrines]]-WWWW[[#This Row],['#_Existing_latrines]]&lt;0,0,WWWW[[#This Row],[Total required Latrines]]-WWWW[[#This Row],['#_Existing_latrines]])</f>
        <v>0</v>
      </c>
      <c r="CF72" s="885">
        <f>1-WWWW[[#This Row],[% HRP2]]</f>
        <v>0</v>
      </c>
      <c r="CG72" s="883">
        <f>IF(WWWW[[#This Row],['#_Existing_latrines]]="","NA",(WWWW[[#This Row],['#_Existing_latrines]]-WWWW[[#This Row],['#_Functional_adult_latrines]])/WWWW[[#This Row],['#_Existing_latrines]])</f>
        <v>6.9364161849710976E-2</v>
      </c>
      <c r="CH72" s="878">
        <f>IF(WWWW[[#This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Row],[_'#_of_Girls_receiving_consultation_hygiene_promotion_messages_and_sessions]]&gt;WWWW[[#This Row],[Total PoP ]],WWWW[[#This Row],[Total PoP ]],WWWW[[#This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f>
        <v>2762</v>
      </c>
      <c r="CI72" s="884">
        <f>IF(WWWW[[#This Row],['#_of_affected_households_receiving_a_sufficient_quantity_of_soap]]=0,0,IF(WWWW[[#This Row],['#_of_affected_households_receiving_a_sufficient_quantity_of_soap]]&gt;=WWWW[[#This Row],[Total HH]],WWWW[[#This Row],[Total PoP ]],IF(WWWW[[#This Row],['#_of_affected_households_receiving_a_sufficient_quantity_of_soap]]*5&gt;WWWW[[#This Row],[Total PoP ]],WWWW[[#This Row],[Total PoP ]],WWWW[[#This Row],['#_of_affected_households_receiving_a_sufficient_quantity_of_soap]]*5)))</f>
        <v>3095</v>
      </c>
      <c r="CJ72" s="884">
        <f>IF(WWWW[[#This Row],['#_of_affected_women_and_girls_receiving_a_sufficient_quantity_of_sanitary_pads]]&gt;WWWW[[#This Row],[Total PoP ]],WWWW[[#This Row],[Total PoP ]],WWWW[[#This Row],['#_of_affected_women_and_girls_receiving_a_sufficient_quantity_of_sanitary_pads]])</f>
        <v>0</v>
      </c>
      <c r="CK72" s="884">
        <f>IF(WWWW[[#This Row],['# People with access to soap]]&gt;WWWW[[#This Row],['# People with access to Sanity Pads]],WWWW[[#This Row],['# People with access to soap]],WWWW[[#This Row],['# People with access to Sanity Pads]])</f>
        <v>3095</v>
      </c>
      <c r="CL72" s="884">
        <f>IF(WWWW[[#This Row],['# people reached by regular dedicated hygiene promotion_5]]&gt;WWWW[[#This Row],['# People received regular supply of hygiene items_6]],WWWW[[#This Row],['# people reached by regular dedicated hygiene promotion_5]],WWWW[[#This Row],['# People received regular supply of hygiene items_6]])</f>
        <v>3095</v>
      </c>
      <c r="CM72" s="885">
        <f>IF(WWWW[[#This Row],[HRP3]]/WWWW[[#This Row],[Total PoP ]]&gt;100%,100%,WWWW[[#This Row],[HRP3]]/WWWW[[#This Row],[Total PoP ]])</f>
        <v>1</v>
      </c>
      <c r="CN72" s="883">
        <f>1-WWWW[[#This Row],[Hygiene Coverage%]]</f>
        <v>0</v>
      </c>
      <c r="CO72" s="880">
        <f>WWWW[[#This Row],['# people reached by regular dedicated hygiene promotion_5]]/WWWW[[#This Row],[Total PoP ]]</f>
        <v>0.8924071082390953</v>
      </c>
      <c r="CP72" s="883">
        <f>IF(WWWW[[#This Row],['#_of_affected_households_receiving_a_sufficient_quantity_of_soap]]/WWWW[[#This Row],[Total HH]]&gt;1,1,WWWW[[#This Row],['#_of_affected_households_receiving_a_sufficient_quantity_of_soap]]/WWWW[[#This Row],[Total HH]])</f>
        <v>1</v>
      </c>
      <c r="CQ72" s="542" t="str">
        <f>IF(WWWW[[#This Row],['#_students at TLS_CFS]]="","No","Yes")</f>
        <v>Yes</v>
      </c>
      <c r="CR72" s="534">
        <f>WWWW[[#This Row],['#_of_affected_people_surveyed_who_report_feeling_informed_about_the_different_WASH_services_available_to_them]]/WWWW[[#This Row],[Total PoP ]]</f>
        <v>1</v>
      </c>
      <c r="CS72" s="886" t="str">
        <f>VLOOKUP(WWWW[[#This Row],[Site Name]],SiteDB6[[Site Name]:[CCCM Management]],6,FALSE)</f>
        <v>Yes</v>
      </c>
      <c r="CT72" s="886">
        <f>VLOOKUP(WWWW[[#This Row],[Site Name]],SiteDB6[[Site Name]:[CCCM Focal Agency]],7,FALSE)</f>
        <v>0</v>
      </c>
      <c r="CU72" s="886" t="str">
        <f>VLOOKUP(WWWW[[#This Row],[Site Name]],SiteDB6[[Site Name]:[Location Type 1]],9,FALSE)</f>
        <v>Camp</v>
      </c>
      <c r="CV72" s="886" t="str">
        <f>VLOOKUP(WWWW[[#This Row],[Site Name]],SiteDB6[[Site Name]:[Type of Accommodation]],10,FALSE)</f>
        <v>Planned Camp</v>
      </c>
      <c r="CW72" s="886" t="str">
        <f>VLOOKUP(WWWW[[#This Row],[Site Name]],SiteDB6[[Site Name]:[Ethnic or GCA/NGCA]],11,FALSE)</f>
        <v>Muslim</v>
      </c>
      <c r="CX72" s="886">
        <f>VLOOKUP(WWWW[[#This Row],[Site Name]],SiteDB6[[Site Name]:[Lat]],12,FALSE)</f>
        <v>20.206778</v>
      </c>
      <c r="CY72" s="886">
        <f>VLOOKUP(WWWW[[#This Row],[Site Name]],SiteDB6[[Site Name]:[Long]],13,FALSE)</f>
        <v>92.774193999999994</v>
      </c>
      <c r="CZ72" s="886" t="str">
        <f>VLOOKUP(WWWW[[#This Row],[Site Name]],SiteDB6[[Site Name]:[Pcode]],3,FALSE)</f>
        <v>MMR012CMP098</v>
      </c>
      <c r="DA72" s="887" t="str">
        <f t="shared" si="2"/>
        <v>Covered</v>
      </c>
      <c r="DB72" s="564">
        <f>VLOOKUP(WWWW[[#This Row],[Site Name]],SiteDB6[[Site Name]:[PWD_Total]],22,FALSE)</f>
        <v>12</v>
      </c>
      <c r="DC72" s="564">
        <f>VLOOKUP(WWWW[[#This Row],[Site Name]],SiteDB6[[Site Name]:[PWD_Total]],23,FALSE)</f>
        <v>359</v>
      </c>
      <c r="DD72" s="564">
        <f>VLOOKUP(WWWW[[#This Row],[Site Name]],SiteDB6[[Site Name]:[PWD_Total]],24,FALSE)</f>
        <v>371</v>
      </c>
      <c r="DE72" s="886"/>
      <c r="DF72" s="887"/>
      <c r="DG72" s="887"/>
      <c r="DH72" s="887"/>
    </row>
    <row r="73" spans="1:112">
      <c r="A73" s="873" t="s">
        <v>2389</v>
      </c>
      <c r="B73" s="873" t="s">
        <v>2702</v>
      </c>
      <c r="C73" s="944" t="s">
        <v>2307</v>
      </c>
      <c r="D73" s="944" t="s">
        <v>41</v>
      </c>
      <c r="E73" s="945" t="s">
        <v>2706</v>
      </c>
      <c r="F73" s="944" t="s">
        <v>299</v>
      </c>
      <c r="G73" s="874" t="str">
        <f>VLOOKUP(WWWW[[#This Row],[Site Name]],SiteDB6[[Site Name]:[Location Type]],8,FALSE)</f>
        <v>Camp</v>
      </c>
      <c r="H73" s="944" t="s">
        <v>436</v>
      </c>
      <c r="I73" s="875">
        <v>2428</v>
      </c>
      <c r="J73" s="875">
        <v>13302</v>
      </c>
      <c r="K73" s="876">
        <v>43009</v>
      </c>
      <c r="L73" s="877">
        <v>44104</v>
      </c>
      <c r="M73" s="875">
        <v>500</v>
      </c>
      <c r="N73" s="875">
        <v>100</v>
      </c>
      <c r="O73" s="875">
        <v>490</v>
      </c>
      <c r="P73" s="875">
        <v>0</v>
      </c>
      <c r="Q73" s="878" t="s">
        <v>130</v>
      </c>
      <c r="R73" s="875">
        <v>24</v>
      </c>
      <c r="S73" s="875">
        <v>5</v>
      </c>
      <c r="T73" s="589">
        <v>217</v>
      </c>
      <c r="U73" s="875">
        <v>196</v>
      </c>
      <c r="V73" s="875"/>
      <c r="W73" s="875"/>
      <c r="X73" s="875"/>
      <c r="Y73" s="875"/>
      <c r="Z73" s="875"/>
      <c r="AA73" s="875"/>
      <c r="AB73" s="875">
        <v>2728</v>
      </c>
      <c r="AC73" s="875">
        <v>30</v>
      </c>
      <c r="AD73" s="875">
        <v>2</v>
      </c>
      <c r="AE73" s="879"/>
      <c r="AF73" s="507">
        <v>477</v>
      </c>
      <c r="AG73" s="875">
        <v>764</v>
      </c>
      <c r="AH73" s="875">
        <v>90</v>
      </c>
      <c r="AI73" s="880">
        <v>0.25</v>
      </c>
      <c r="AJ73" s="875">
        <v>352</v>
      </c>
      <c r="AK73" s="880">
        <v>0.8</v>
      </c>
      <c r="AL73" s="534">
        <v>0.15</v>
      </c>
      <c r="AM73" s="534">
        <v>0.15</v>
      </c>
      <c r="AN73" s="534">
        <v>0.15</v>
      </c>
      <c r="AO73" s="875">
        <v>20</v>
      </c>
      <c r="AP73" s="875"/>
      <c r="AQ73" s="875">
        <v>3</v>
      </c>
      <c r="AR73" s="875" t="s">
        <v>42</v>
      </c>
      <c r="AS73" s="881"/>
      <c r="AT73" s="875">
        <v>2134</v>
      </c>
      <c r="AU73" s="875">
        <v>8082</v>
      </c>
      <c r="AV73" s="875">
        <v>2210</v>
      </c>
      <c r="AW73" s="875">
        <v>4287</v>
      </c>
      <c r="AX73" s="875">
        <v>2728</v>
      </c>
      <c r="AY73" s="875"/>
      <c r="AZ73" s="589"/>
      <c r="BA73" s="875"/>
      <c r="BB73" s="589"/>
      <c r="BC73" s="888">
        <v>0.4</v>
      </c>
      <c r="BD73" s="882"/>
      <c r="BE73" s="534"/>
      <c r="BF73" s="534"/>
      <c r="BG73" s="507">
        <f>23%*WWWW[[#This Row],[Total PoP ]]</f>
        <v>3059.46</v>
      </c>
      <c r="BH73" s="534">
        <v>0.69</v>
      </c>
      <c r="BI73" s="589" t="e">
        <f>WWWW[[#This Row],[Cases of Acute watery diarrhea]]/WWWW[[#This Row],[Total consultations]]</f>
        <v>#DIV/0!</v>
      </c>
      <c r="BJ73" s="535"/>
      <c r="BK73" s="881"/>
      <c r="BL73" s="881"/>
      <c r="BM73" s="883" t="str">
        <f>IFERROR(WWWW[[#This Row],['#_Water samples _passed_at_water source]]/WWWW[[#This Row],['#_Water samples_Tested_at_water_source]],"no test")</f>
        <v>no test</v>
      </c>
      <c r="BN73" s="880" t="str">
        <f>IFERROR(WWWW[[#This Row],['#_Water samples _passed_at_HH]]/WWWW[[#This Row],['#_Water samples_Tested_at_HH]],"no test")</f>
        <v>no test</v>
      </c>
      <c r="BO73" s="884" t="str">
        <f>IF(AND(WWWW[[#This Row],[%of Water samples which passed at water source]]="no test",WWWW[[#This Row],[%Water samples which passed at HH]]="no test"),"No Test","Tested")</f>
        <v>No Test</v>
      </c>
      <c r="BP73" s="883">
        <f>IF(WWWW[[#This Row],[Total PoP ]]="","",IF(((WWWW[[#This Row],['#_Functional_improved_water_source]]*500)+(WWWW[[#This Row],['#_litres_of_water_supplied_by_existing_water_boating/trucking ]]/90/15)+(WWWW[[#This Row],['#_Functional_water_point_at_TLS/CFS]]*500))/WWWW[[#This Row],[Total PoP ]]&gt;1,1,((WWWW[[#This Row],['#_Functional_improved_water_source]]*500)+(WWWW[[#This Row],['#_litres_of_water_supplied_by_existing_water_boating/trucking ]]/90/15)+(WWWW[[#This Row],['#_Functional_water_point_at_TLS/CFS]]*500))/WWWW[[#This Row],[Total PoP ]]))</f>
        <v>1</v>
      </c>
      <c r="BQ73" s="878">
        <f>WWWW[[#This Row],[Access to safe/improved water through improved water sources]]*WWWW[[#This Row],[Total PoP ]]</f>
        <v>13302</v>
      </c>
      <c r="BR73" s="883">
        <f>IF((WWWW[[#This Row],['#_litres_of_water_stored_in_ponds]]/90/15)/WWWW[[#This Row],[Total PoP ]]&gt;1,1,(WWWW[[#This Row],['#_litres_of_water_stored_in_ponds]]/90/15)/WWWW[[#This Row],[Total PoP ]])</f>
        <v>0</v>
      </c>
      <c r="BS73" s="878">
        <f>WWWW[[#This Row],[% Access to unimproved water points]]*WWWW[[#This Row],[Total PoP ]]</f>
        <v>0</v>
      </c>
      <c r="BT73" s="883">
        <f>IF(WWWW[[#This Row],[Access to safe/improved water through improved water sources]]+WWWW[[#This Row],[% Access to unimproved water points]]&gt;1,1,WWWW[[#This Row],[Access to safe/improved water through improved water sources]]+WWWW[[#This Row],[% Access to unimproved water points]])</f>
        <v>1</v>
      </c>
      <c r="BU73" s="878">
        <f>IF(WWWW[[#This Row],['# people with equitable and continuous access to sufficient quantity of safe drinking water]]+WWWW[[#This Row],['#People access to unimproved water sources]]&gt;WWWW[[#This Row],[Total PoP ]],WWWW[[#This Row],[Total PoP ]],WWWW[[#This Row],['# people with equitable and continuous access to sufficient quantity of safe drinking water]]+WWWW[[#This Row],['#People access to unimproved water sources]])</f>
        <v>13302</v>
      </c>
      <c r="BV73" s="878">
        <f>WWWW[[#This Row],[HRP1]]/500</f>
        <v>26.603999999999999</v>
      </c>
      <c r="BW73" s="885">
        <f>1-WWWW[[#This Row],[% HRP1]]</f>
        <v>0</v>
      </c>
      <c r="BX73" s="878">
        <f>WWWW[[#This Row],[%equitable and continuous access to sufficient quantity of safe drinking and domestic water''s GAP]]*WWWW[[#This Row],[Total PoP ]]</f>
        <v>0</v>
      </c>
      <c r="BY73" s="535">
        <f>ROUND(IF(WWWW[[#This Row],[Total PoP ]]&lt;500,1,WWWW[[#This Row],[Total PoP ]]/500),0)</f>
        <v>27</v>
      </c>
      <c r="BZ73" s="884">
        <f>IF(WWWW[[#This Row],[Total required water points]]-WWWW[[#This Row],['#Water points coverage]]&lt;0,0,WWWW[[#This Row],[Total required water points]]-WWWW[[#This Row],['#Water points coverage]])</f>
        <v>0.3960000000000008</v>
      </c>
      <c r="CA73" s="536">
        <f>WWWW[[#This Row],[HRP2]]/WWWW[[#This Row],[Total PoP ]]</f>
        <v>0.75853255149601562</v>
      </c>
      <c r="CB73" s="878">
        <f>IF(WWWW[[#This Row],[Total PoP ]]="",0,IF(((WWWW[[#This Row],['#_Functional_adult_latrines]]*20)+(WWWW[[#This Row],['#_of_functional_children_latrines]]*20)+WWWW[[#This Row],['#_of_PWD_with_adapted_sanitation_option]]+(WWWW[[#This Row],['#_of_latrines_in_TLS/CFS]]*50))&gt;WWWW[[#This Row],[Total PoP ]],WWWW[[#This Row],[Total PoP ]],((WWWW[[#This Row],['#_Functional_adult_latrines]]*20)+(WWWW[[#This Row],['#_of_functional_children_latrines]]*20)+WWWW[[#This Row],['#_of_PWD_with_adapted_sanitation_option]]+(WWWW[[#This Row],['#_of_latrines_in_TLS/CFS]]*50))))</f>
        <v>10090</v>
      </c>
      <c r="CC73" s="884">
        <f>IF(WWWW[[#This Row],['#_of_latrines_in_TLS/CFS]]*50&gt;WWWW[[#This Row],['#_students at TLS_CFS]],WWWW[[#This Row],['#_students at TLS_CFS]],WWWW[[#This Row],['#_of_latrines_in_TLS/CFS]]*50)</f>
        <v>150</v>
      </c>
      <c r="CD73" s="884">
        <f>ROUND(IF(WWWW[[#This Row],[Location Type 1]]="camp",WWWW[[#This Row],[Total PoP ]]/20),0)</f>
        <v>665</v>
      </c>
      <c r="CE73" s="884">
        <f>IF(WWWW[[#This Row],[Total required Latrines]]-WWWW[[#This Row],['#_Existing_latrines]]&lt;0,0,WWWW[[#This Row],[Total required Latrines]]-WWWW[[#This Row],['#_Existing_latrines]])</f>
        <v>0</v>
      </c>
      <c r="CF73" s="885">
        <f>1-WWWW[[#This Row],[% HRP2]]</f>
        <v>0.24146744850398438</v>
      </c>
      <c r="CG73" s="883">
        <f>IF(WWWW[[#This Row],['#_Existing_latrines]]="","NA",(WWWW[[#This Row],['#_Existing_latrines]]-WWWW[[#This Row],['#_Functional_adult_latrines]])/WWWW[[#This Row],['#_Existing_latrines]])</f>
        <v>0.37565445026178013</v>
      </c>
      <c r="CH73" s="878">
        <f>IF(WWWW[[#This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Row],[_'#_of_Girls_receiving_consultation_hygiene_promotion_messages_and_sessions]]&gt;WWWW[[#This Row],[Total PoP ]],WWWW[[#This Row],[Total PoP ]],WWWW[[#This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f>
        <v>13302</v>
      </c>
      <c r="CI73" s="884">
        <f>IF(WWWW[[#This Row],['#_of_affected_households_receiving_a_sufficient_quantity_of_soap]]=0,0,IF(WWWW[[#This Row],['#_of_affected_households_receiving_a_sufficient_quantity_of_soap]]&gt;=WWWW[[#This Row],[Total HH]],WWWW[[#This Row],[Total PoP ]],IF(WWWW[[#This Row],['#_of_affected_households_receiving_a_sufficient_quantity_of_soap]]*5&gt;WWWW[[#This Row],[Total PoP ]],WWWW[[#This Row],[Total PoP ]],WWWW[[#This Row],['#_of_affected_households_receiving_a_sufficient_quantity_of_soap]]*5)))</f>
        <v>13302</v>
      </c>
      <c r="CJ73" s="884">
        <f>IF(WWWW[[#This Row],['#_of_affected_women_and_girls_receiving_a_sufficient_quantity_of_sanitary_pads]]&gt;WWWW[[#This Row],[Total PoP ]],WWWW[[#This Row],[Total PoP ]],WWWW[[#This Row],['#_of_affected_women_and_girls_receiving_a_sufficient_quantity_of_sanitary_pads]])</f>
        <v>0</v>
      </c>
      <c r="CK73" s="884">
        <f>IF(WWWW[[#This Row],['# People with access to soap]]&gt;WWWW[[#This Row],['# People with access to Sanity Pads]],WWWW[[#This Row],['# People with access to soap]],WWWW[[#This Row],['# People with access to Sanity Pads]])</f>
        <v>13302</v>
      </c>
      <c r="CL73" s="884">
        <f>IF(WWWW[[#This Row],['# people reached by regular dedicated hygiene promotion_5]]&gt;WWWW[[#This Row],['# People received regular supply of hygiene items_6]],WWWW[[#This Row],['# people reached by regular dedicated hygiene promotion_5]],WWWW[[#This Row],['# People received regular supply of hygiene items_6]])</f>
        <v>13302</v>
      </c>
      <c r="CM73" s="885">
        <f>IF(WWWW[[#This Row],[HRP3]]/WWWW[[#This Row],[Total PoP ]]&gt;100%,100%,WWWW[[#This Row],[HRP3]]/WWWW[[#This Row],[Total PoP ]])</f>
        <v>1</v>
      </c>
      <c r="CN73" s="883">
        <f>1-WWWW[[#This Row],[Hygiene Coverage%]]</f>
        <v>0</v>
      </c>
      <c r="CO73" s="880">
        <f>WWWW[[#This Row],['# people reached by regular dedicated hygiene promotion_5]]/WWWW[[#This Row],[Total PoP ]]</f>
        <v>1</v>
      </c>
      <c r="CP73" s="883">
        <f>IF(WWWW[[#This Row],['#_of_affected_households_receiving_a_sufficient_quantity_of_soap]]/WWWW[[#This Row],[Total HH]]&gt;1,1,WWWW[[#This Row],['#_of_affected_households_receiving_a_sufficient_quantity_of_soap]]/WWWW[[#This Row],[Total HH]])</f>
        <v>1</v>
      </c>
      <c r="CQ73" s="542" t="str">
        <f>IF(WWWW[[#This Row],['#_students at TLS_CFS]]="","No","Yes")</f>
        <v>Yes</v>
      </c>
      <c r="CR73" s="534">
        <f>WWWW[[#This Row],['#_of_affected_people_surveyed_who_report_feeling_informed_about_the_different_WASH_services_available_to_them]]/WWWW[[#This Row],[Total PoP ]]</f>
        <v>0.23</v>
      </c>
      <c r="CS73" s="886" t="str">
        <f>VLOOKUP(WWWW[[#This Row],[Site Name]],SiteDB6[[Site Name]:[CCCM Management]],6,FALSE)</f>
        <v>Yes</v>
      </c>
      <c r="CT73" s="886">
        <f>VLOOKUP(WWWW[[#This Row],[Site Name]],SiteDB6[[Site Name]:[CCCM Focal Agency]],7,FALSE)</f>
        <v>0</v>
      </c>
      <c r="CU73" s="886" t="str">
        <f>VLOOKUP(WWWW[[#This Row],[Site Name]],SiteDB6[[Site Name]:[Location Type 1]],9,FALSE)</f>
        <v>Camp</v>
      </c>
      <c r="CV73" s="886" t="str">
        <f>VLOOKUP(WWWW[[#This Row],[Site Name]],SiteDB6[[Site Name]:[Type of Accommodation]],10,FALSE)</f>
        <v>Planned Camp</v>
      </c>
      <c r="CW73" s="886" t="str">
        <f>VLOOKUP(WWWW[[#This Row],[Site Name]],SiteDB6[[Site Name]:[Ethnic or GCA/NGCA]],11,FALSE)</f>
        <v>Muslim</v>
      </c>
      <c r="CX73" s="886">
        <f>VLOOKUP(WWWW[[#This Row],[Site Name]],SiteDB6[[Site Name]:[Lat]],12,FALSE)</f>
        <v>20.18994</v>
      </c>
      <c r="CY73" s="886">
        <f>VLOOKUP(WWWW[[#This Row],[Site Name]],SiteDB6[[Site Name]:[Long]],13,FALSE)</f>
        <v>92.798880999999994</v>
      </c>
      <c r="CZ73" s="886" t="str">
        <f>VLOOKUP(WWWW[[#This Row],[Site Name]],SiteDB6[[Site Name]:[Pcode]],3,FALSE)</f>
        <v>MMR012CMP115</v>
      </c>
      <c r="DA73" s="887" t="str">
        <f t="shared" si="2"/>
        <v>Covered</v>
      </c>
      <c r="DB73" s="564">
        <f>VLOOKUP(WWWW[[#This Row],[Site Name]],SiteDB6[[Site Name]:[PWD_Total]],22,FALSE)</f>
        <v>214</v>
      </c>
      <c r="DC73" s="564">
        <f>VLOOKUP(WWWW[[#This Row],[Site Name]],SiteDB6[[Site Name]:[PWD_Total]],23,FALSE)</f>
        <v>1333</v>
      </c>
      <c r="DD73" s="564">
        <f>VLOOKUP(WWWW[[#This Row],[Site Name]],SiteDB6[[Site Name]:[PWD_Total]],24,FALSE)</f>
        <v>1547</v>
      </c>
      <c r="DE73" s="886"/>
      <c r="DF73" s="887"/>
      <c r="DG73" s="887"/>
      <c r="DH73" s="887"/>
    </row>
    <row r="74" spans="1:112">
      <c r="A74" s="873" t="s">
        <v>2389</v>
      </c>
      <c r="B74" s="873" t="s">
        <v>291</v>
      </c>
      <c r="C74" s="944" t="s">
        <v>291</v>
      </c>
      <c r="D74" s="944" t="s">
        <v>238</v>
      </c>
      <c r="E74" s="945" t="s">
        <v>2706</v>
      </c>
      <c r="F74" s="944" t="s">
        <v>299</v>
      </c>
      <c r="G74" s="874" t="str">
        <f>VLOOKUP(WWWW[[#This Row],[Site Name]],SiteDB6[[Site Name]:[Location Type]],8,FALSE)</f>
        <v>Camp</v>
      </c>
      <c r="H74" s="944" t="s">
        <v>434</v>
      </c>
      <c r="I74" s="875">
        <v>2260</v>
      </c>
      <c r="J74" s="875">
        <v>11396</v>
      </c>
      <c r="K74" s="876">
        <v>43739</v>
      </c>
      <c r="L74" s="877">
        <v>43921</v>
      </c>
      <c r="M74" s="875">
        <v>549</v>
      </c>
      <c r="N74" s="875">
        <v>36</v>
      </c>
      <c r="O74" s="875">
        <v>55</v>
      </c>
      <c r="P74" s="875"/>
      <c r="Q74" s="878" t="s">
        <v>42</v>
      </c>
      <c r="R74" s="875">
        <v>23</v>
      </c>
      <c r="S74" s="875">
        <v>13</v>
      </c>
      <c r="T74" s="589">
        <v>155</v>
      </c>
      <c r="U74" s="875">
        <v>206</v>
      </c>
      <c r="V74" s="875"/>
      <c r="W74" s="875"/>
      <c r="X74" s="875"/>
      <c r="Y74" s="875"/>
      <c r="Z74" s="875">
        <v>120</v>
      </c>
      <c r="AA74" s="875">
        <v>63</v>
      </c>
      <c r="AB74" s="875"/>
      <c r="AC74" s="875">
        <v>20</v>
      </c>
      <c r="AD74" s="875">
        <v>4</v>
      </c>
      <c r="AE74" s="879"/>
      <c r="AF74" s="875">
        <v>758</v>
      </c>
      <c r="AG74" s="875">
        <v>758</v>
      </c>
      <c r="AH74" s="875"/>
      <c r="AI74" s="880"/>
      <c r="AJ74" s="875"/>
      <c r="AK74" s="880"/>
      <c r="AL74" s="880"/>
      <c r="AM74" s="880"/>
      <c r="AN74" s="880"/>
      <c r="AO74" s="875">
        <v>1</v>
      </c>
      <c r="AP74" s="875">
        <v>51</v>
      </c>
      <c r="AQ74" s="875">
        <v>7</v>
      </c>
      <c r="AR74" s="875" t="s">
        <v>130</v>
      </c>
      <c r="AS74" s="881"/>
      <c r="AT74" s="875">
        <v>22</v>
      </c>
      <c r="AU74" s="875">
        <v>28</v>
      </c>
      <c r="AV74" s="875">
        <v>40</v>
      </c>
      <c r="AW74" s="875">
        <v>32</v>
      </c>
      <c r="AX74" s="875">
        <v>2260</v>
      </c>
      <c r="AY74" s="875">
        <v>5897</v>
      </c>
      <c r="AZ74" s="589"/>
      <c r="BA74" s="875"/>
      <c r="BB74" s="589"/>
      <c r="BC74" s="880">
        <f>4/19</f>
        <v>0.21052631578947367</v>
      </c>
      <c r="BD74" s="882" t="s">
        <v>3210</v>
      </c>
      <c r="BE74" s="534"/>
      <c r="BF74" s="534"/>
      <c r="BG74" s="875"/>
      <c r="BH74" s="880"/>
      <c r="BI74" s="589" t="e">
        <f>WWWW[[#This Row],[Cases of Acute watery diarrhea]]/WWWW[[#This Row],[Total consultations]]</f>
        <v>#DIV/0!</v>
      </c>
      <c r="BJ74" s="535" t="s">
        <v>130</v>
      </c>
      <c r="BK74" s="881"/>
      <c r="BL74" s="881" t="s">
        <v>3194</v>
      </c>
      <c r="BM74" s="883" t="str">
        <f>IFERROR(WWWW[[#This Row],['#_Water samples _passed_at_water source]]/WWWW[[#This Row],['#_Water samples_Tested_at_water_source]],"no test")</f>
        <v>no test</v>
      </c>
      <c r="BN74" s="880">
        <f>IFERROR(WWWW[[#This Row],['#_Water samples _passed_at_HH]]/WWWW[[#This Row],['#_Water samples_Tested_at_HH]],"no test")</f>
        <v>0.52500000000000002</v>
      </c>
      <c r="BO74" s="884" t="str">
        <f>IF(AND(WWWW[[#This Row],[%of Water samples which passed at water source]]="no test",WWWW[[#This Row],[%Water samples which passed at HH]]="no test"),"No Test","Tested")</f>
        <v>Tested</v>
      </c>
      <c r="BP74" s="883">
        <f>IF(WWWW[[#This Row],[Total PoP ]]="","",IF(((WWWW[[#This Row],['#_Functional_improved_water_source]]*500)+(WWWW[[#This Row],['#_litres_of_water_supplied_by_existing_water_boating/trucking ]]/90/15)+(WWWW[[#This Row],['#_Functional_water_point_at_TLS/CFS]]*500))/WWWW[[#This Row],[Total PoP ]]&gt;1,1,((WWWW[[#This Row],['#_Functional_improved_water_source]]*500)+(WWWW[[#This Row],['#_litres_of_water_supplied_by_existing_water_boating/trucking ]]/90/15)+(WWWW[[#This Row],['#_Functional_water_point_at_TLS/CFS]]*500))/WWWW[[#This Row],[Total PoP ]]))</f>
        <v>1</v>
      </c>
      <c r="BQ74" s="878">
        <f>WWWW[[#This Row],[Access to safe/improved water through improved water sources]]*WWWW[[#This Row],[Total PoP ]]</f>
        <v>11396</v>
      </c>
      <c r="BR74" s="883">
        <f>IF((WWWW[[#This Row],['#_litres_of_water_stored_in_ponds]]/90/15)/WWWW[[#This Row],[Total PoP ]]&gt;1,1,(WWWW[[#This Row],['#_litres_of_water_stored_in_ponds]]/90/15)/WWWW[[#This Row],[Total PoP ]])</f>
        <v>0</v>
      </c>
      <c r="BS74" s="878">
        <f>WWWW[[#This Row],[% Access to unimproved water points]]*WWWW[[#This Row],[Total PoP ]]</f>
        <v>0</v>
      </c>
      <c r="BT74" s="883">
        <f>IF(WWWW[[#This Row],[Access to safe/improved water through improved water sources]]+WWWW[[#This Row],[% Access to unimproved water points]]&gt;1,1,WWWW[[#This Row],[Access to safe/improved water through improved water sources]]+WWWW[[#This Row],[% Access to unimproved water points]])</f>
        <v>1</v>
      </c>
      <c r="BU74" s="878">
        <f>IF(WWWW[[#This Row],['# people with equitable and continuous access to sufficient quantity of safe drinking water]]+WWWW[[#This Row],['#People access to unimproved water sources]]&gt;WWWW[[#This Row],[Total PoP ]],WWWW[[#This Row],[Total PoP ]],WWWW[[#This Row],['# people with equitable and continuous access to sufficient quantity of safe drinking water]]+WWWW[[#This Row],['#People access to unimproved water sources]])</f>
        <v>11396</v>
      </c>
      <c r="BV74" s="878">
        <f>WWWW[[#This Row],[HRP1]]/500</f>
        <v>22.792000000000002</v>
      </c>
      <c r="BW74" s="885">
        <f>1-WWWW[[#This Row],[% HRP1]]</f>
        <v>0</v>
      </c>
      <c r="BX74" s="878">
        <f>WWWW[[#This Row],[%equitable and continuous access to sufficient quantity of safe drinking and domestic water''s GAP]]*WWWW[[#This Row],[Total PoP ]]</f>
        <v>0</v>
      </c>
      <c r="BY74" s="535">
        <f>ROUND(IF(WWWW[[#This Row],[Total PoP ]]&lt;500,1,WWWW[[#This Row],[Total PoP ]]/500),0)</f>
        <v>23</v>
      </c>
      <c r="BZ74" s="884">
        <f>IF(WWWW[[#This Row],[Total required water points]]-WWWW[[#This Row],['#Water points coverage]]&lt;0,0,WWWW[[#This Row],[Total required water points]]-WWWW[[#This Row],['#Water points coverage]])</f>
        <v>0.20799999999999841</v>
      </c>
      <c r="CA74" s="536">
        <f>WWWW[[#This Row],[HRP2]]/WWWW[[#This Row],[Total PoP ]]</f>
        <v>1</v>
      </c>
      <c r="CB74" s="878">
        <f>IF(WWWW[[#This Row],[Total PoP ]]="",0,IF(((WWWW[[#This Row],['#_Functional_adult_latrines]]*20)+(WWWW[[#This Row],['#_of_functional_children_latrines]]*20)+WWWW[[#This Row],['#_of_PWD_with_adapted_sanitation_option]]+(WWWW[[#This Row],['#_of_latrines_in_TLS/CFS]]*50))&gt;WWWW[[#This Row],[Total PoP ]],WWWW[[#This Row],[Total PoP ]],((WWWW[[#This Row],['#_Functional_adult_latrines]]*20)+(WWWW[[#This Row],['#_of_functional_children_latrines]]*20)+WWWW[[#This Row],['#_of_PWD_with_adapted_sanitation_option]]+(WWWW[[#This Row],['#_of_latrines_in_TLS/CFS]]*50))))</f>
        <v>11396</v>
      </c>
      <c r="CC74" s="884">
        <f>IF(WWWW[[#This Row],['#_of_latrines_in_TLS/CFS]]*50&gt;WWWW[[#This Row],['#_students at TLS_CFS]],WWWW[[#This Row],['#_students at TLS_CFS]],WWWW[[#This Row],['#_of_latrines_in_TLS/CFS]]*50)</f>
        <v>350</v>
      </c>
      <c r="CD74" s="884">
        <f>ROUND(IF(WWWW[[#This Row],[Location Type 1]]="camp",WWWW[[#This Row],[Total PoP ]]/20),0)</f>
        <v>570</v>
      </c>
      <c r="CE74" s="884">
        <f>IF(WWWW[[#This Row],[Total required Latrines]]-WWWW[[#This Row],['#_Existing_latrines]]&lt;0,0,WWWW[[#This Row],[Total required Latrines]]-WWWW[[#This Row],['#_Existing_latrines]])</f>
        <v>0</v>
      </c>
      <c r="CF74" s="885">
        <f>1-WWWW[[#This Row],[% HRP2]]</f>
        <v>0</v>
      </c>
      <c r="CG74" s="883">
        <f>IF(WWWW[[#This Row],['#_Existing_latrines]]="","NA",(WWWW[[#This Row],['#_Existing_latrines]]-WWWW[[#This Row],['#_Functional_adult_latrines]])/WWWW[[#This Row],['#_Existing_latrines]])</f>
        <v>0</v>
      </c>
      <c r="CH74" s="878">
        <f>IF(WWWW[[#This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Row],[_'#_of_Girls_receiving_consultation_hygiene_promotion_messages_and_sessions]]&gt;WWWW[[#This Row],[Total PoP ]],WWWW[[#This Row],[Total PoP ]],WWWW[[#This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f>
        <v>122</v>
      </c>
      <c r="CI74" s="884">
        <f>IF(WWWW[[#This Row],['#_of_affected_households_receiving_a_sufficient_quantity_of_soap]]=0,0,IF(WWWW[[#This Row],['#_of_affected_households_receiving_a_sufficient_quantity_of_soap]]&gt;=WWWW[[#This Row],[Total HH]],WWWW[[#This Row],[Total PoP ]],IF(WWWW[[#This Row],['#_of_affected_households_receiving_a_sufficient_quantity_of_soap]]*5&gt;WWWW[[#This Row],[Total PoP ]],WWWW[[#This Row],[Total PoP ]],WWWW[[#This Row],['#_of_affected_households_receiving_a_sufficient_quantity_of_soap]]*5)))</f>
        <v>11396</v>
      </c>
      <c r="CJ74" s="884">
        <f>IF(WWWW[[#This Row],['#_of_affected_women_and_girls_receiving_a_sufficient_quantity_of_sanitary_pads]]&gt;WWWW[[#This Row],[Total PoP ]],WWWW[[#This Row],[Total PoP ]],WWWW[[#This Row],['#_of_affected_women_and_girls_receiving_a_sufficient_quantity_of_sanitary_pads]])</f>
        <v>5897</v>
      </c>
      <c r="CK74" s="884">
        <f>IF(WWWW[[#This Row],['# People with access to soap]]&gt;WWWW[[#This Row],['# People with access to Sanity Pads]],WWWW[[#This Row],['# People with access to soap]],WWWW[[#This Row],['# People with access to Sanity Pads]])</f>
        <v>11396</v>
      </c>
      <c r="CL74" s="884">
        <f>IF(WWWW[[#This Row],['# people reached by regular dedicated hygiene promotion_5]]&gt;WWWW[[#This Row],['# People received regular supply of hygiene items_6]],WWWW[[#This Row],['# people reached by regular dedicated hygiene promotion_5]],WWWW[[#This Row],['# People received regular supply of hygiene items_6]])</f>
        <v>11396</v>
      </c>
      <c r="CM74" s="885">
        <f>IF(WWWW[[#This Row],[HRP3]]/WWWW[[#This Row],[Total PoP ]]&gt;100%,100%,WWWW[[#This Row],[HRP3]]/WWWW[[#This Row],[Total PoP ]])</f>
        <v>1</v>
      </c>
      <c r="CN74" s="883">
        <f>1-WWWW[[#This Row],[Hygiene Coverage%]]</f>
        <v>0</v>
      </c>
      <c r="CO74" s="880">
        <f>WWWW[[#This Row],['# people reached by regular dedicated hygiene promotion_5]]/WWWW[[#This Row],[Total PoP ]]</f>
        <v>1.0705510705510705E-2</v>
      </c>
      <c r="CP74" s="883">
        <f>IF(WWWW[[#This Row],['#_of_affected_households_receiving_a_sufficient_quantity_of_soap]]/WWWW[[#This Row],[Total HH]]&gt;1,1,WWWW[[#This Row],['#_of_affected_households_receiving_a_sufficient_quantity_of_soap]]/WWWW[[#This Row],[Total HH]])</f>
        <v>1</v>
      </c>
      <c r="CQ74" s="542" t="str">
        <f>IF(WWWW[[#This Row],['#_students at TLS_CFS]]="","No","Yes")</f>
        <v>Yes</v>
      </c>
      <c r="CR74" s="534"/>
      <c r="CS74" s="886" t="str">
        <f>VLOOKUP(WWWW[[#This Row],[Site Name]],SiteDB6[[Site Name]:[CCCM Management]],6,FALSE)</f>
        <v>Yes</v>
      </c>
      <c r="CT74" s="886">
        <f>VLOOKUP(WWWW[[#This Row],[Site Name]],SiteDB6[[Site Name]:[CCCM Focal Agency]],7,FALSE)</f>
        <v>0</v>
      </c>
      <c r="CU74" s="886" t="str">
        <f>VLOOKUP(WWWW[[#This Row],[Site Name]],SiteDB6[[Site Name]:[Location Type 1]],9,FALSE)</f>
        <v>Camp</v>
      </c>
      <c r="CV74" s="886" t="str">
        <f>VLOOKUP(WWWW[[#This Row],[Site Name]],SiteDB6[[Site Name]:[Type of Accommodation]],10,FALSE)</f>
        <v>Planned Camp</v>
      </c>
      <c r="CW74" s="886" t="str">
        <f>VLOOKUP(WWWW[[#This Row],[Site Name]],SiteDB6[[Site Name]:[Ethnic or GCA/NGCA]],11,FALSE)</f>
        <v>Muslim</v>
      </c>
      <c r="CX74" s="886">
        <f>VLOOKUP(WWWW[[#This Row],[Site Name]],SiteDB6[[Site Name]:[Lat]],12,FALSE)</f>
        <v>20.185092000000001</v>
      </c>
      <c r="CY74" s="886">
        <f>VLOOKUP(WWWW[[#This Row],[Site Name]],SiteDB6[[Site Name]:[Long]],13,FALSE)</f>
        <v>92.802295999999998</v>
      </c>
      <c r="CZ74" s="886" t="str">
        <f>VLOOKUP(WWWW[[#This Row],[Site Name]],SiteDB6[[Site Name]:[Pcode]],3,FALSE)</f>
        <v>MMR012CMP116</v>
      </c>
      <c r="DA74" s="887" t="str">
        <f t="shared" si="2"/>
        <v>Covered</v>
      </c>
      <c r="DB74" s="564">
        <f>VLOOKUP(WWWW[[#This Row],[Site Name]],SiteDB6[[Site Name]:[PWD_Total]],22,FALSE)</f>
        <v>218</v>
      </c>
      <c r="DC74" s="564">
        <f>VLOOKUP(WWWW[[#This Row],[Site Name]],SiteDB6[[Site Name]:[PWD_Total]],23,FALSE)</f>
        <v>1169</v>
      </c>
      <c r="DD74" s="564">
        <f>VLOOKUP(WWWW[[#This Row],[Site Name]],SiteDB6[[Site Name]:[PWD_Total]],24,FALSE)</f>
        <v>1387</v>
      </c>
      <c r="DE74" s="886"/>
      <c r="DF74" s="887"/>
      <c r="DG74" s="887"/>
      <c r="DH74" s="887"/>
    </row>
    <row r="75" spans="1:112">
      <c r="A75" s="873" t="s">
        <v>2389</v>
      </c>
      <c r="B75" s="873" t="s">
        <v>291</v>
      </c>
      <c r="C75" s="944" t="s">
        <v>291</v>
      </c>
      <c r="D75" s="944" t="s">
        <v>238</v>
      </c>
      <c r="E75" s="945" t="s">
        <v>2706</v>
      </c>
      <c r="F75" s="944" t="s">
        <v>299</v>
      </c>
      <c r="G75" s="874" t="str">
        <f>VLOOKUP(WWWW[[#This Row],[Site Name]],SiteDB6[[Site Name]:[Location Type]],8,FALSE)</f>
        <v>Camp</v>
      </c>
      <c r="H75" s="944" t="s">
        <v>2311</v>
      </c>
      <c r="I75" s="875">
        <v>400</v>
      </c>
      <c r="J75" s="875">
        <v>2285</v>
      </c>
      <c r="K75" s="876">
        <v>43739</v>
      </c>
      <c r="L75" s="877">
        <v>43921</v>
      </c>
      <c r="M75" s="875">
        <v>46</v>
      </c>
      <c r="N75" s="875">
        <v>15</v>
      </c>
      <c r="O75" s="875">
        <v>12</v>
      </c>
      <c r="P75" s="875"/>
      <c r="Q75" s="878" t="s">
        <v>130</v>
      </c>
      <c r="R75" s="875">
        <v>10</v>
      </c>
      <c r="S75" s="875">
        <v>5</v>
      </c>
      <c r="T75" s="875">
        <v>42</v>
      </c>
      <c r="U75" s="875">
        <v>43</v>
      </c>
      <c r="V75" s="875"/>
      <c r="W75" s="875"/>
      <c r="X75" s="875">
        <v>38</v>
      </c>
      <c r="Y75" s="875">
        <v>27</v>
      </c>
      <c r="Z75" s="875">
        <v>40</v>
      </c>
      <c r="AA75" s="875">
        <v>22</v>
      </c>
      <c r="AB75" s="875">
        <v>0</v>
      </c>
      <c r="AC75" s="875"/>
      <c r="AD75" s="875">
        <v>2</v>
      </c>
      <c r="AE75" s="879"/>
      <c r="AF75" s="875">
        <v>123</v>
      </c>
      <c r="AG75" s="875">
        <v>133</v>
      </c>
      <c r="AH75" s="875">
        <v>0</v>
      </c>
      <c r="AI75" s="880"/>
      <c r="AJ75" s="875"/>
      <c r="AK75" s="880"/>
      <c r="AL75" s="880"/>
      <c r="AM75" s="880"/>
      <c r="AN75" s="880"/>
      <c r="AO75" s="875">
        <v>3</v>
      </c>
      <c r="AP75" s="875">
        <v>10</v>
      </c>
      <c r="AQ75" s="875">
        <v>5</v>
      </c>
      <c r="AR75" s="875" t="s">
        <v>130</v>
      </c>
      <c r="AS75" s="881"/>
      <c r="AT75" s="875">
        <v>148</v>
      </c>
      <c r="AU75" s="875">
        <v>441</v>
      </c>
      <c r="AV75" s="875">
        <v>96</v>
      </c>
      <c r="AW75" s="875">
        <v>196</v>
      </c>
      <c r="AX75" s="875">
        <v>400</v>
      </c>
      <c r="AY75" s="875">
        <v>1153</v>
      </c>
      <c r="AZ75" s="589"/>
      <c r="BA75" s="875"/>
      <c r="BB75" s="589"/>
      <c r="BC75" s="880">
        <v>0</v>
      </c>
      <c r="BD75" s="882" t="s">
        <v>3210</v>
      </c>
      <c r="BE75" s="534"/>
      <c r="BF75" s="534"/>
      <c r="BG75" s="589"/>
      <c r="BH75" s="534"/>
      <c r="BI75" s="589" t="e">
        <f>WWWW[[#This Row],[Cases of Acute watery diarrhea]]/WWWW[[#This Row],[Total consultations]]</f>
        <v>#DIV/0!</v>
      </c>
      <c r="BJ75" s="535" t="s">
        <v>130</v>
      </c>
      <c r="BK75" s="881"/>
      <c r="BL75" s="881" t="s">
        <v>3197</v>
      </c>
      <c r="BM75" s="883">
        <f>IFERROR(WWWW[[#This Row],['#_Water samples _passed_at_water source]]/WWWW[[#This Row],['#_Water samples_Tested_at_water_source]],"no test")</f>
        <v>0.71052631578947367</v>
      </c>
      <c r="BN75" s="880">
        <f>IFERROR(WWWW[[#This Row],['#_Water samples _passed_at_HH]]/WWWW[[#This Row],['#_Water samples_Tested_at_HH]],"no test")</f>
        <v>0.55000000000000004</v>
      </c>
      <c r="BO75" s="884" t="str">
        <f>IF(AND(WWWW[[#This Row],[%of Water samples which passed at water source]]="no test",WWWW[[#This Row],[%Water samples which passed at HH]]="no test"),"No Test","Tested")</f>
        <v>Tested</v>
      </c>
      <c r="BP75" s="883">
        <f>IF(WWWW[[#This Row],[Total PoP ]]="","",IF(((WWWW[[#This Row],['#_Functional_improved_water_source]]*500)+(WWWW[[#This Row],['#_litres_of_water_supplied_by_existing_water_boating/trucking ]]/90/15)+(WWWW[[#This Row],['#_Functional_water_point_at_TLS/CFS]]*500))/WWWW[[#This Row],[Total PoP ]]&gt;1,1,((WWWW[[#This Row],['#_Functional_improved_water_source]]*500)+(WWWW[[#This Row],['#_litres_of_water_supplied_by_existing_water_boating/trucking ]]/90/15)+(WWWW[[#This Row],['#_Functional_water_point_at_TLS/CFS]]*500))/WWWW[[#This Row],[Total PoP ]]))</f>
        <v>1</v>
      </c>
      <c r="BQ75" s="878">
        <f>WWWW[[#This Row],[Access to safe/improved water through improved water sources]]*WWWW[[#This Row],[Total PoP ]]</f>
        <v>2285</v>
      </c>
      <c r="BR75" s="883">
        <f>IF((WWWW[[#This Row],['#_litres_of_water_stored_in_ponds]]/90/15)/WWWW[[#This Row],[Total PoP ]]&gt;1,1,(WWWW[[#This Row],['#_litres_of_water_stored_in_ponds]]/90/15)/WWWW[[#This Row],[Total PoP ]])</f>
        <v>0</v>
      </c>
      <c r="BS75" s="878">
        <f>WWWW[[#This Row],[% Access to unimproved water points]]*WWWW[[#This Row],[Total PoP ]]</f>
        <v>0</v>
      </c>
      <c r="BT75" s="883">
        <f>IF(WWWW[[#This Row],[Access to safe/improved water through improved water sources]]+WWWW[[#This Row],[% Access to unimproved water points]]&gt;1,1,WWWW[[#This Row],[Access to safe/improved water through improved water sources]]+WWWW[[#This Row],[% Access to unimproved water points]])</f>
        <v>1</v>
      </c>
      <c r="BU75" s="878">
        <f>IF(WWWW[[#This Row],['# people with equitable and continuous access to sufficient quantity of safe drinking water]]+WWWW[[#This Row],['#People access to unimproved water sources]]&gt;WWWW[[#This Row],[Total PoP ]],WWWW[[#This Row],[Total PoP ]],WWWW[[#This Row],['# people with equitable and continuous access to sufficient quantity of safe drinking water]]+WWWW[[#This Row],['#People access to unimproved water sources]])</f>
        <v>2285</v>
      </c>
      <c r="BV75" s="878">
        <f>WWWW[[#This Row],[HRP1]]/500</f>
        <v>4.57</v>
      </c>
      <c r="BW75" s="885">
        <f>1-WWWW[[#This Row],[% HRP1]]</f>
        <v>0</v>
      </c>
      <c r="BX75" s="878">
        <f>WWWW[[#This Row],[%equitable and continuous access to sufficient quantity of safe drinking and domestic water''s GAP]]*WWWW[[#This Row],[Total PoP ]]</f>
        <v>0</v>
      </c>
      <c r="BY75" s="535">
        <f>ROUND(IF(WWWW[[#This Row],[Total PoP ]]&lt;500,1,WWWW[[#This Row],[Total PoP ]]/500),0)</f>
        <v>5</v>
      </c>
      <c r="BZ75" s="884">
        <f>IF(WWWW[[#This Row],[Total required water points]]-WWWW[[#This Row],['#Water points coverage]]&lt;0,0,WWWW[[#This Row],[Total required water points]]-WWWW[[#This Row],['#Water points coverage]])</f>
        <v>0.42999999999999972</v>
      </c>
      <c r="CA75" s="536">
        <f>WWWW[[#This Row],[HRP2]]/WWWW[[#This Row],[Total PoP ]]</f>
        <v>1</v>
      </c>
      <c r="CB75" s="878">
        <f>IF(WWWW[[#This Row],[Total PoP ]]="",0,IF(((WWWW[[#This Row],['#_Functional_adult_latrines]]*20)+(WWWW[[#This Row],['#_of_functional_children_latrines]]*20)+WWWW[[#This Row],['#_of_PWD_with_adapted_sanitation_option]]+(WWWW[[#This Row],['#_of_latrines_in_TLS/CFS]]*50))&gt;WWWW[[#This Row],[Total PoP ]],WWWW[[#This Row],[Total PoP ]],((WWWW[[#This Row],['#_Functional_adult_latrines]]*20)+(WWWW[[#This Row],['#_of_functional_children_latrines]]*20)+WWWW[[#This Row],['#_of_PWD_with_adapted_sanitation_option]]+(WWWW[[#This Row],['#_of_latrines_in_TLS/CFS]]*50))))</f>
        <v>2285</v>
      </c>
      <c r="CC75" s="884">
        <f>IF(WWWW[[#This Row],['#_of_latrines_in_TLS/CFS]]*50&gt;WWWW[[#This Row],['#_students at TLS_CFS]],WWWW[[#This Row],['#_students at TLS_CFS]],WWWW[[#This Row],['#_of_latrines_in_TLS/CFS]]*50)</f>
        <v>46</v>
      </c>
      <c r="CD75" s="884">
        <f>ROUND(IF(WWWW[[#This Row],[Location Type 1]]="camp",WWWW[[#This Row],[Total PoP ]]/20),0)</f>
        <v>114</v>
      </c>
      <c r="CE75" s="884">
        <f>IF(WWWW[[#This Row],[Total required Latrines]]-WWWW[[#This Row],['#_Existing_latrines]]&lt;0,0,WWWW[[#This Row],[Total required Latrines]]-WWWW[[#This Row],['#_Existing_latrines]])</f>
        <v>0</v>
      </c>
      <c r="CF75" s="885">
        <f>1-WWWW[[#This Row],[% HRP2]]</f>
        <v>0</v>
      </c>
      <c r="CG75" s="883">
        <f>IF(WWWW[[#This Row],['#_Existing_latrines]]="","NA",(WWWW[[#This Row],['#_Existing_latrines]]-WWWW[[#This Row],['#_Functional_adult_latrines]])/WWWW[[#This Row],['#_Existing_latrines]])</f>
        <v>7.5187969924812026E-2</v>
      </c>
      <c r="CH75" s="878">
        <f>IF(WWWW[[#This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Row],[_'#_of_Girls_receiving_consultation_hygiene_promotion_messages_and_sessions]]&gt;WWWW[[#This Row],[Total PoP ]],WWWW[[#This Row],[Total PoP ]],WWWW[[#This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f>
        <v>881</v>
      </c>
      <c r="CI75" s="884">
        <f>IF(WWWW[[#This Row],['#_of_affected_households_receiving_a_sufficient_quantity_of_soap]]=0,0,IF(WWWW[[#This Row],['#_of_affected_households_receiving_a_sufficient_quantity_of_soap]]&gt;=WWWW[[#This Row],[Total HH]],WWWW[[#This Row],[Total PoP ]],IF(WWWW[[#This Row],['#_of_affected_households_receiving_a_sufficient_quantity_of_soap]]*5&gt;WWWW[[#This Row],[Total PoP ]],WWWW[[#This Row],[Total PoP ]],WWWW[[#This Row],['#_of_affected_households_receiving_a_sufficient_quantity_of_soap]]*5)))</f>
        <v>2285</v>
      </c>
      <c r="CJ75" s="884">
        <f>IF(WWWW[[#This Row],['#_of_affected_women_and_girls_receiving_a_sufficient_quantity_of_sanitary_pads]]&gt;WWWW[[#This Row],[Total PoP ]],WWWW[[#This Row],[Total PoP ]],WWWW[[#This Row],['#_of_affected_women_and_girls_receiving_a_sufficient_quantity_of_sanitary_pads]])</f>
        <v>1153</v>
      </c>
      <c r="CK75" s="884">
        <f>IF(WWWW[[#This Row],['# People with access to soap]]&gt;WWWW[[#This Row],['# People with access to Sanity Pads]],WWWW[[#This Row],['# People with access to soap]],WWWW[[#This Row],['# People with access to Sanity Pads]])</f>
        <v>2285</v>
      </c>
      <c r="CL75" s="884">
        <f>IF(WWWW[[#This Row],['# people reached by regular dedicated hygiene promotion_5]]&gt;WWWW[[#This Row],['# People received regular supply of hygiene items_6]],WWWW[[#This Row],['# people reached by regular dedicated hygiene promotion_5]],WWWW[[#This Row],['# People received regular supply of hygiene items_6]])</f>
        <v>2285</v>
      </c>
      <c r="CM75" s="885">
        <f>IF(WWWW[[#This Row],[HRP3]]/WWWW[[#This Row],[Total PoP ]]&gt;100%,100%,WWWW[[#This Row],[HRP3]]/WWWW[[#This Row],[Total PoP ]])</f>
        <v>1</v>
      </c>
      <c r="CN75" s="883">
        <f>1-WWWW[[#This Row],[Hygiene Coverage%]]</f>
        <v>0</v>
      </c>
      <c r="CO75" s="880">
        <f>WWWW[[#This Row],['# people reached by regular dedicated hygiene promotion_5]]/WWWW[[#This Row],[Total PoP ]]</f>
        <v>0.38555798687089715</v>
      </c>
      <c r="CP75" s="883">
        <f>IF(WWWW[[#This Row],['#_of_affected_households_receiving_a_sufficient_quantity_of_soap]]/WWWW[[#This Row],[Total HH]]&gt;1,1,WWWW[[#This Row],['#_of_affected_households_receiving_a_sufficient_quantity_of_soap]]/WWWW[[#This Row],[Total HH]])</f>
        <v>1</v>
      </c>
      <c r="CQ75" s="542" t="str">
        <f>IF(WWWW[[#This Row],['#_students at TLS_CFS]]="","No","Yes")</f>
        <v>Yes</v>
      </c>
      <c r="CR75" s="534"/>
      <c r="CS75" s="886">
        <f>VLOOKUP(WWWW[[#This Row],[Site Name]],SiteDB6[[Site Name]:[CCCM Management]],6,FALSE)</f>
        <v>0</v>
      </c>
      <c r="CT75" s="886">
        <f>VLOOKUP(WWWW[[#This Row],[Site Name]],SiteDB6[[Site Name]:[CCCM Focal Agency]],7,FALSE)</f>
        <v>0</v>
      </c>
      <c r="CU75" s="886" t="str">
        <f>VLOOKUP(WWWW[[#This Row],[Site Name]],SiteDB6[[Site Name]:[Location Type 1]],9,FALSE)</f>
        <v>Camp</v>
      </c>
      <c r="CV75" s="886" t="str">
        <f>VLOOKUP(WWWW[[#This Row],[Site Name]],SiteDB6[[Site Name]:[Type of Accommodation]],10,FALSE)</f>
        <v>Planned Camp</v>
      </c>
      <c r="CW75" s="886" t="str">
        <f>VLOOKUP(WWWW[[#This Row],[Site Name]],SiteDB6[[Site Name]:[Ethnic or GCA/NGCA]],11,FALSE)</f>
        <v>Muslim</v>
      </c>
      <c r="CX75" s="886">
        <f>VLOOKUP(WWWW[[#This Row],[Site Name]],SiteDB6[[Site Name]:[Lat]],12,FALSE)</f>
        <v>20.207284999999999</v>
      </c>
      <c r="CY75" s="886">
        <f>VLOOKUP(WWWW[[#This Row],[Site Name]],SiteDB6[[Site Name]:[Long]],13,FALSE)</f>
        <v>92.788177000000005</v>
      </c>
      <c r="CZ75" s="886" t="str">
        <f>VLOOKUP(WWWW[[#This Row],[Site Name]],SiteDB6[[Site Name]:[Pcode]],3,FALSE)</f>
        <v>MMR012CMP045</v>
      </c>
      <c r="DA75" s="887" t="str">
        <f t="shared" si="2"/>
        <v>Covered</v>
      </c>
      <c r="DB75" s="564">
        <f>VLOOKUP(WWWW[[#This Row],[Site Name]],SiteDB6[[Site Name]:[PWD_Total]],22,FALSE)</f>
        <v>0</v>
      </c>
      <c r="DC75" s="564">
        <f>VLOOKUP(WWWW[[#This Row],[Site Name]],SiteDB6[[Site Name]:[PWD_Total]],23,FALSE)</f>
        <v>0</v>
      </c>
      <c r="DD75" s="564">
        <f>VLOOKUP(WWWW[[#This Row],[Site Name]],SiteDB6[[Site Name]:[PWD_Total]],24,FALSE)</f>
        <v>0</v>
      </c>
      <c r="DE75" s="886"/>
      <c r="DF75" s="887"/>
      <c r="DG75" s="887"/>
      <c r="DH75" s="887"/>
    </row>
    <row r="76" spans="1:112">
      <c r="A76" s="873" t="s">
        <v>2389</v>
      </c>
      <c r="B76" s="873" t="s">
        <v>2702</v>
      </c>
      <c r="C76" s="944" t="s">
        <v>2307</v>
      </c>
      <c r="D76" s="944" t="s">
        <v>41</v>
      </c>
      <c r="E76" s="945" t="s">
        <v>2706</v>
      </c>
      <c r="F76" s="944" t="s">
        <v>299</v>
      </c>
      <c r="G76" s="874" t="str">
        <f>VLOOKUP(WWWW[[#This Row],[Site Name]],SiteDB6[[Site Name]:[Location Type]],8,FALSE)</f>
        <v>Camp</v>
      </c>
      <c r="H76" s="944" t="s">
        <v>443</v>
      </c>
      <c r="I76" s="875">
        <v>2280</v>
      </c>
      <c r="J76" s="875">
        <v>11564</v>
      </c>
      <c r="K76" s="876">
        <v>43009</v>
      </c>
      <c r="L76" s="877">
        <v>44104</v>
      </c>
      <c r="M76" s="875">
        <v>1444</v>
      </c>
      <c r="N76" s="875">
        <v>49</v>
      </c>
      <c r="O76" s="875">
        <v>193</v>
      </c>
      <c r="P76" s="875">
        <v>0</v>
      </c>
      <c r="Q76" s="878" t="s">
        <v>130</v>
      </c>
      <c r="R76" s="875">
        <v>17</v>
      </c>
      <c r="S76" s="875">
        <v>9</v>
      </c>
      <c r="T76" s="507">
        <v>183</v>
      </c>
      <c r="U76" s="507">
        <v>189</v>
      </c>
      <c r="V76" s="875"/>
      <c r="W76" s="875"/>
      <c r="X76" s="875"/>
      <c r="Y76" s="875"/>
      <c r="Z76" s="507"/>
      <c r="AA76" s="507"/>
      <c r="AB76" s="507">
        <v>2280</v>
      </c>
      <c r="AC76" s="875">
        <v>30</v>
      </c>
      <c r="AD76" s="875">
        <v>8</v>
      </c>
      <c r="AE76" s="879"/>
      <c r="AF76" s="875">
        <v>517</v>
      </c>
      <c r="AG76" s="875">
        <v>520</v>
      </c>
      <c r="AH76" s="875">
        <v>97</v>
      </c>
      <c r="AI76" s="880">
        <v>0.46</v>
      </c>
      <c r="AJ76" s="875">
        <v>473</v>
      </c>
      <c r="AK76" s="534">
        <v>0.96</v>
      </c>
      <c r="AL76" s="534">
        <v>0.49</v>
      </c>
      <c r="AM76" s="534">
        <v>0.15</v>
      </c>
      <c r="AN76" s="534">
        <v>0.15</v>
      </c>
      <c r="AO76" s="875">
        <v>12</v>
      </c>
      <c r="AP76" s="875"/>
      <c r="AQ76" s="875">
        <v>53</v>
      </c>
      <c r="AR76" s="875" t="s">
        <v>42</v>
      </c>
      <c r="AS76" s="881"/>
      <c r="AT76" s="875">
        <v>704</v>
      </c>
      <c r="AU76" s="875">
        <v>9607</v>
      </c>
      <c r="AV76" s="875">
        <v>819</v>
      </c>
      <c r="AW76" s="875">
        <v>3266</v>
      </c>
      <c r="AX76" s="589">
        <v>2280</v>
      </c>
      <c r="AY76" s="875"/>
      <c r="AZ76" s="589"/>
      <c r="BA76" s="875"/>
      <c r="BB76" s="589"/>
      <c r="BC76" s="888">
        <v>1</v>
      </c>
      <c r="BD76" s="882"/>
      <c r="BE76" s="534"/>
      <c r="BF76" s="534"/>
      <c r="BG76" s="507">
        <f>56%*WWWW[[#This Row],[Total PoP ]]</f>
        <v>6475.8400000000011</v>
      </c>
      <c r="BH76" s="534">
        <v>0.46</v>
      </c>
      <c r="BI76" s="589" t="e">
        <f>WWWW[[#This Row],[Cases of Acute watery diarrhea]]/WWWW[[#This Row],[Total consultations]]</f>
        <v>#DIV/0!</v>
      </c>
      <c r="BJ76" s="535"/>
      <c r="BK76" s="881"/>
      <c r="BL76" s="881"/>
      <c r="BM76" s="883" t="str">
        <f>IFERROR(WWWW[[#This Row],['#_Water samples _passed_at_water source]]/WWWW[[#This Row],['#_Water samples_Tested_at_water_source]],"no test")</f>
        <v>no test</v>
      </c>
      <c r="BN76" s="880" t="str">
        <f>IFERROR(WWWW[[#This Row],['#_Water samples _passed_at_HH]]/WWWW[[#This Row],['#_Water samples_Tested_at_HH]],"no test")</f>
        <v>no test</v>
      </c>
      <c r="BO76" s="884" t="str">
        <f>IF(AND(WWWW[[#This Row],[%of Water samples which passed at water source]]="no test",WWWW[[#This Row],[%Water samples which passed at HH]]="no test"),"No Test","Tested")</f>
        <v>No Test</v>
      </c>
      <c r="BP76" s="883">
        <f>IF(WWWW[[#This Row],[Total PoP ]]="","",IF(((WWWW[[#This Row],['#_Functional_improved_water_source]]*500)+(WWWW[[#This Row],['#_litres_of_water_supplied_by_existing_water_boating/trucking ]]/90/15)+(WWWW[[#This Row],['#_Functional_water_point_at_TLS/CFS]]*500))/WWWW[[#This Row],[Total PoP ]]&gt;1,1,((WWWW[[#This Row],['#_Functional_improved_water_source]]*500)+(WWWW[[#This Row],['#_litres_of_water_supplied_by_existing_water_boating/trucking ]]/90/15)+(WWWW[[#This Row],['#_Functional_water_point_at_TLS/CFS]]*500))/WWWW[[#This Row],[Total PoP ]]))</f>
        <v>1</v>
      </c>
      <c r="BQ76" s="878">
        <f>WWWW[[#This Row],[Access to safe/improved water through improved water sources]]*WWWW[[#This Row],[Total PoP ]]</f>
        <v>11564</v>
      </c>
      <c r="BR76" s="883">
        <f>IF((WWWW[[#This Row],['#_litres_of_water_stored_in_ponds]]/90/15)/WWWW[[#This Row],[Total PoP ]]&gt;1,1,(WWWW[[#This Row],['#_litres_of_water_stored_in_ponds]]/90/15)/WWWW[[#This Row],[Total PoP ]])</f>
        <v>0</v>
      </c>
      <c r="BS76" s="878">
        <f>WWWW[[#This Row],[% Access to unimproved water points]]*WWWW[[#This Row],[Total PoP ]]</f>
        <v>0</v>
      </c>
      <c r="BT76" s="883">
        <f>IF(WWWW[[#This Row],[Access to safe/improved water through improved water sources]]+WWWW[[#This Row],[% Access to unimproved water points]]&gt;1,1,WWWW[[#This Row],[Access to safe/improved water through improved water sources]]+WWWW[[#This Row],[% Access to unimproved water points]])</f>
        <v>1</v>
      </c>
      <c r="BU76" s="878">
        <f>IF(WWWW[[#This Row],['# people with equitable and continuous access to sufficient quantity of safe drinking water]]+WWWW[[#This Row],['#People access to unimproved water sources]]&gt;WWWW[[#This Row],[Total PoP ]],WWWW[[#This Row],[Total PoP ]],WWWW[[#This Row],['# people with equitable and continuous access to sufficient quantity of safe drinking water]]+WWWW[[#This Row],['#People access to unimproved water sources]])</f>
        <v>11564</v>
      </c>
      <c r="BV76" s="878">
        <f>WWWW[[#This Row],[HRP1]]/500</f>
        <v>23.128</v>
      </c>
      <c r="BW76" s="885">
        <f>1-WWWW[[#This Row],[% HRP1]]</f>
        <v>0</v>
      </c>
      <c r="BX76" s="878">
        <f>WWWW[[#This Row],[%equitable and continuous access to sufficient quantity of safe drinking and domestic water''s GAP]]*WWWW[[#This Row],[Total PoP ]]</f>
        <v>0</v>
      </c>
      <c r="BY76" s="535">
        <f>ROUND(IF(WWWW[[#This Row],[Total PoP ]]&lt;500,1,WWWW[[#This Row],[Total PoP ]]/500),0)</f>
        <v>23</v>
      </c>
      <c r="BZ76" s="884">
        <f>IF(WWWW[[#This Row],[Total required water points]]-WWWW[[#This Row],['#Water points coverage]]&lt;0,0,WWWW[[#This Row],[Total required water points]]-WWWW[[#This Row],['#Water points coverage]])</f>
        <v>0</v>
      </c>
      <c r="CA76" s="536">
        <f>WWWW[[#This Row],[HRP2]]/WWWW[[#This Row],[Total PoP ]]</f>
        <v>1</v>
      </c>
      <c r="CB76" s="878">
        <f>IF(WWWW[[#This Row],[Total PoP ]]="",0,IF(((WWWW[[#This Row],['#_Functional_adult_latrines]]*20)+(WWWW[[#This Row],['#_of_functional_children_latrines]]*20)+WWWW[[#This Row],['#_of_PWD_with_adapted_sanitation_option]]+(WWWW[[#This Row],['#_of_latrines_in_TLS/CFS]]*50))&gt;WWWW[[#This Row],[Total PoP ]],WWWW[[#This Row],[Total PoP ]],((WWWW[[#This Row],['#_Functional_adult_latrines]]*20)+(WWWW[[#This Row],['#_of_functional_children_latrines]]*20)+WWWW[[#This Row],['#_of_PWD_with_adapted_sanitation_option]]+(WWWW[[#This Row],['#_of_latrines_in_TLS/CFS]]*50))))</f>
        <v>11564</v>
      </c>
      <c r="CC76" s="884">
        <f>IF(WWWW[[#This Row],['#_of_latrines_in_TLS/CFS]]*50&gt;WWWW[[#This Row],['#_students at TLS_CFS]],WWWW[[#This Row],['#_students at TLS_CFS]],WWWW[[#This Row],['#_of_latrines_in_TLS/CFS]]*50)</f>
        <v>1444</v>
      </c>
      <c r="CD76" s="884">
        <f>ROUND(IF(WWWW[[#This Row],[Location Type 1]]="camp",WWWW[[#This Row],[Total PoP ]]/20),0)</f>
        <v>578</v>
      </c>
      <c r="CE76" s="884">
        <f>IF(WWWW[[#This Row],[Total required Latrines]]-WWWW[[#This Row],['#_Existing_latrines]]&lt;0,0,WWWW[[#This Row],[Total required Latrines]]-WWWW[[#This Row],['#_Existing_latrines]])</f>
        <v>58</v>
      </c>
      <c r="CF76" s="885">
        <f>1-WWWW[[#This Row],[% HRP2]]</f>
        <v>0</v>
      </c>
      <c r="CG76" s="883">
        <f>IF(WWWW[[#This Row],['#_Existing_latrines]]="","NA",(WWWW[[#This Row],['#_Existing_latrines]]-WWWW[[#This Row],['#_Functional_adult_latrines]])/WWWW[[#This Row],['#_Existing_latrines]])</f>
        <v>5.7692307692307696E-3</v>
      </c>
      <c r="CH76" s="878">
        <f>IF(WWWW[[#This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Row],[_'#_of_Girls_receiving_consultation_hygiene_promotion_messages_and_sessions]]&gt;WWWW[[#This Row],[Total PoP ]],WWWW[[#This Row],[Total PoP ]],WWWW[[#This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f>
        <v>11564</v>
      </c>
      <c r="CI76" s="884">
        <f>IF(WWWW[[#This Row],['#_of_affected_households_receiving_a_sufficient_quantity_of_soap]]=0,0,IF(WWWW[[#This Row],['#_of_affected_households_receiving_a_sufficient_quantity_of_soap]]&gt;=WWWW[[#This Row],[Total HH]],WWWW[[#This Row],[Total PoP ]],IF(WWWW[[#This Row],['#_of_affected_households_receiving_a_sufficient_quantity_of_soap]]*5&gt;WWWW[[#This Row],[Total PoP ]],WWWW[[#This Row],[Total PoP ]],WWWW[[#This Row],['#_of_affected_households_receiving_a_sufficient_quantity_of_soap]]*5)))</f>
        <v>11564</v>
      </c>
      <c r="CJ76" s="884">
        <f>IF(WWWW[[#This Row],['#_of_affected_women_and_girls_receiving_a_sufficient_quantity_of_sanitary_pads]]&gt;WWWW[[#This Row],[Total PoP ]],WWWW[[#This Row],[Total PoP ]],WWWW[[#This Row],['#_of_affected_women_and_girls_receiving_a_sufficient_quantity_of_sanitary_pads]])</f>
        <v>0</v>
      </c>
      <c r="CK76" s="884">
        <f>IF(WWWW[[#This Row],['# People with access to soap]]&gt;WWWW[[#This Row],['# People with access to Sanity Pads]],WWWW[[#This Row],['# People with access to soap]],WWWW[[#This Row],['# People with access to Sanity Pads]])</f>
        <v>11564</v>
      </c>
      <c r="CL76" s="884">
        <f>IF(WWWW[[#This Row],['# people reached by regular dedicated hygiene promotion_5]]&gt;WWWW[[#This Row],['# People received regular supply of hygiene items_6]],WWWW[[#This Row],['# people reached by regular dedicated hygiene promotion_5]],WWWW[[#This Row],['# People received regular supply of hygiene items_6]])</f>
        <v>11564</v>
      </c>
      <c r="CM76" s="885">
        <f>IF(WWWW[[#This Row],[HRP3]]/WWWW[[#This Row],[Total PoP ]]&gt;100%,100%,WWWW[[#This Row],[HRP3]]/WWWW[[#This Row],[Total PoP ]])</f>
        <v>1</v>
      </c>
      <c r="CN76" s="883">
        <f>1-WWWW[[#This Row],[Hygiene Coverage%]]</f>
        <v>0</v>
      </c>
      <c r="CO76" s="880">
        <f>WWWW[[#This Row],['# people reached by regular dedicated hygiene promotion_5]]/WWWW[[#This Row],[Total PoP ]]</f>
        <v>1</v>
      </c>
      <c r="CP76" s="883">
        <f>IF(WWWW[[#This Row],['#_of_affected_households_receiving_a_sufficient_quantity_of_soap]]/WWWW[[#This Row],[Total HH]]&gt;1,1,WWWW[[#This Row],['#_of_affected_households_receiving_a_sufficient_quantity_of_soap]]/WWWW[[#This Row],[Total HH]])</f>
        <v>1</v>
      </c>
      <c r="CQ76" s="542" t="str">
        <f>IF(WWWW[[#This Row],['#_students at TLS_CFS]]="","No","Yes")</f>
        <v>Yes</v>
      </c>
      <c r="CR76" s="534">
        <f>WWWW[[#This Row],['#_of_affected_people_surveyed_who_report_feeling_informed_about_the_different_WASH_services_available_to_them]]/WWWW[[#This Row],[Total PoP ]]</f>
        <v>0.56000000000000005</v>
      </c>
      <c r="CS76" s="886" t="str">
        <f>VLOOKUP(WWWW[[#This Row],[Site Name]],SiteDB6[[Site Name]:[CCCM Management]],6,FALSE)</f>
        <v>Yes</v>
      </c>
      <c r="CT76" s="886">
        <f>VLOOKUP(WWWW[[#This Row],[Site Name]],SiteDB6[[Site Name]:[CCCM Focal Agency]],7,FALSE)</f>
        <v>0</v>
      </c>
      <c r="CU76" s="886" t="str">
        <f>VLOOKUP(WWWW[[#This Row],[Site Name]],SiteDB6[[Site Name]:[Location Type 1]],9,FALSE)</f>
        <v>Camp</v>
      </c>
      <c r="CV76" s="886" t="str">
        <f>VLOOKUP(WWWW[[#This Row],[Site Name]],SiteDB6[[Site Name]:[Type of Accommodation]],10,FALSE)</f>
        <v>Planned Camp</v>
      </c>
      <c r="CW76" s="886" t="str">
        <f>VLOOKUP(WWWW[[#This Row],[Site Name]],SiteDB6[[Site Name]:[Ethnic or GCA/NGCA]],11,FALSE)</f>
        <v>Muslim</v>
      </c>
      <c r="CX76" s="886">
        <f>VLOOKUP(WWWW[[#This Row],[Site Name]],SiteDB6[[Site Name]:[Lat]],12,FALSE)</f>
        <v>20.202525000000001</v>
      </c>
      <c r="CY76" s="886">
        <f>VLOOKUP(WWWW[[#This Row],[Site Name]],SiteDB6[[Site Name]:[Long]],13,FALSE)</f>
        <v>92.792479999999998</v>
      </c>
      <c r="CZ76" s="886" t="str">
        <f>VLOOKUP(WWWW[[#This Row],[Site Name]],SiteDB6[[Site Name]:[Pcode]],3,FALSE)</f>
        <v>MMR012CMP045</v>
      </c>
      <c r="DA76" s="887" t="str">
        <f t="shared" si="2"/>
        <v>Covered</v>
      </c>
      <c r="DB76" s="564">
        <f>VLOOKUP(WWWW[[#This Row],[Site Name]],SiteDB6[[Site Name]:[PWD_Total]],22,FALSE)</f>
        <v>116</v>
      </c>
      <c r="DC76" s="564">
        <f>VLOOKUP(WWWW[[#This Row],[Site Name]],SiteDB6[[Site Name]:[PWD_Total]],23,FALSE)</f>
        <v>1099</v>
      </c>
      <c r="DD76" s="564">
        <f>VLOOKUP(WWWW[[#This Row],[Site Name]],SiteDB6[[Site Name]:[PWD_Total]],24,FALSE)</f>
        <v>1215</v>
      </c>
      <c r="DE76" s="886"/>
      <c r="DF76" s="887"/>
      <c r="DG76" s="887"/>
      <c r="DH76" s="887"/>
    </row>
    <row r="77" spans="1:112">
      <c r="A77" s="873" t="s">
        <v>2389</v>
      </c>
      <c r="B77" s="873" t="s">
        <v>291</v>
      </c>
      <c r="C77" s="944" t="s">
        <v>291</v>
      </c>
      <c r="D77" s="944" t="s">
        <v>238</v>
      </c>
      <c r="E77" s="945" t="s">
        <v>2706</v>
      </c>
      <c r="F77" s="944" t="s">
        <v>406</v>
      </c>
      <c r="G77" s="874" t="str">
        <f>VLOOKUP(WWWW[[#This Row],[Site Name]],SiteDB6[[Site Name]:[Location Type]],8,FALSE)</f>
        <v>Camp</v>
      </c>
      <c r="H77" s="944" t="s">
        <v>409</v>
      </c>
      <c r="I77" s="875">
        <v>744</v>
      </c>
      <c r="J77" s="875">
        <v>2805</v>
      </c>
      <c r="K77" s="876">
        <v>43556</v>
      </c>
      <c r="L77" s="877">
        <v>43921</v>
      </c>
      <c r="M77" s="875">
        <v>209</v>
      </c>
      <c r="N77" s="875">
        <v>17</v>
      </c>
      <c r="O77" s="875">
        <v>19</v>
      </c>
      <c r="P77" s="875">
        <v>0</v>
      </c>
      <c r="Q77" s="878" t="s">
        <v>42</v>
      </c>
      <c r="R77" s="875">
        <v>12</v>
      </c>
      <c r="S77" s="875">
        <v>5</v>
      </c>
      <c r="T77" s="589">
        <v>24</v>
      </c>
      <c r="U77" s="875">
        <v>24</v>
      </c>
      <c r="V77" s="875">
        <v>6466500</v>
      </c>
      <c r="W77" s="875"/>
      <c r="X77" s="875"/>
      <c r="Y77" s="875"/>
      <c r="Z77" s="875">
        <v>225</v>
      </c>
      <c r="AA77" s="875">
        <v>225</v>
      </c>
      <c r="AB77" s="875">
        <v>0</v>
      </c>
      <c r="AC77" s="875">
        <v>5</v>
      </c>
      <c r="AD77" s="875">
        <v>2</v>
      </c>
      <c r="AE77" s="879"/>
      <c r="AF77" s="875">
        <v>357</v>
      </c>
      <c r="AG77" s="875">
        <v>358</v>
      </c>
      <c r="AH77" s="875">
        <v>261</v>
      </c>
      <c r="AI77" s="880"/>
      <c r="AJ77" s="875"/>
      <c r="AK77" s="880"/>
      <c r="AL77" s="880"/>
      <c r="AM77" s="880"/>
      <c r="AN77" s="880"/>
      <c r="AO77" s="875"/>
      <c r="AP77" s="875"/>
      <c r="AQ77" s="875">
        <v>6</v>
      </c>
      <c r="AR77" s="875" t="s">
        <v>42</v>
      </c>
      <c r="AS77" s="881"/>
      <c r="AT77" s="875">
        <v>519</v>
      </c>
      <c r="AU77" s="875">
        <v>881</v>
      </c>
      <c r="AV77" s="875">
        <v>313</v>
      </c>
      <c r="AW77" s="875">
        <v>374</v>
      </c>
      <c r="AX77" s="875">
        <v>744</v>
      </c>
      <c r="AY77" s="875">
        <v>1334</v>
      </c>
      <c r="AZ77" s="589"/>
      <c r="BA77" s="875"/>
      <c r="BB77" s="589"/>
      <c r="BC77" s="880">
        <f t="shared" ref="BC77" si="3">4/7</f>
        <v>0.5714285714285714</v>
      </c>
      <c r="BD77" s="882" t="s">
        <v>3210</v>
      </c>
      <c r="BE77" s="534"/>
      <c r="BF77" s="534"/>
      <c r="BG77" s="589"/>
      <c r="BH77" s="534"/>
      <c r="BI77" s="589" t="e">
        <f>WWWW[[#This Row],[Cases of Acute watery diarrhea]]/WWWW[[#This Row],[Total consultations]]</f>
        <v>#DIV/0!</v>
      </c>
      <c r="BJ77" s="535"/>
      <c r="BK77" s="881"/>
      <c r="BL77" s="881"/>
      <c r="BM77" s="883" t="str">
        <f>IFERROR(WWWW[[#This Row],['#_Water samples _passed_at_water source]]/WWWW[[#This Row],['#_Water samples_Tested_at_water_source]],"no test")</f>
        <v>no test</v>
      </c>
      <c r="BN77" s="880">
        <f>IFERROR(WWWW[[#This Row],['#_Water samples _passed_at_HH]]/WWWW[[#This Row],['#_Water samples_Tested_at_HH]],"no test")</f>
        <v>1</v>
      </c>
      <c r="BO77" s="884" t="str">
        <f>IF(AND(WWWW[[#This Row],[%of Water samples which passed at water source]]="no test",WWWW[[#This Row],[%Water samples which passed at HH]]="no test"),"No Test","Tested")</f>
        <v>Tested</v>
      </c>
      <c r="BP77" s="883">
        <f>IF(WWWW[[#This Row],[Total PoP ]]="","",IF(((WWWW[[#This Row],['#_Functional_improved_water_source]]*500)+(WWWW[[#This Row],['#_litres_of_water_supplied_by_existing_water_boating/trucking ]]/90/15)+(WWWW[[#This Row],['#_Functional_water_point_at_TLS/CFS]]*500))/WWWW[[#This Row],[Total PoP ]]&gt;1,1,((WWWW[[#This Row],['#_Functional_improved_water_source]]*500)+(WWWW[[#This Row],['#_litres_of_water_supplied_by_existing_water_boating/trucking ]]/90/15)+(WWWW[[#This Row],['#_Functional_water_point_at_TLS/CFS]]*500))/WWWW[[#This Row],[Total PoP ]]))</f>
        <v>1</v>
      </c>
      <c r="BQ77" s="878">
        <f>WWWW[[#This Row],[Access to safe/improved water through improved water sources]]*WWWW[[#This Row],[Total PoP ]]</f>
        <v>2805</v>
      </c>
      <c r="BR77" s="883">
        <f>IF((WWWW[[#This Row],['#_litres_of_water_stored_in_ponds]]/90/15)/WWWW[[#This Row],[Total PoP ]]&gt;1,1,(WWWW[[#This Row],['#_litres_of_water_stored_in_ponds]]/90/15)/WWWW[[#This Row],[Total PoP ]])</f>
        <v>0</v>
      </c>
      <c r="BS77" s="878">
        <f>WWWW[[#This Row],[% Access to unimproved water points]]*WWWW[[#This Row],[Total PoP ]]</f>
        <v>0</v>
      </c>
      <c r="BT77" s="883">
        <f>IF(WWWW[[#This Row],[Access to safe/improved water through improved water sources]]+WWWW[[#This Row],[% Access to unimproved water points]]&gt;1,1,WWWW[[#This Row],[Access to safe/improved water through improved water sources]]+WWWW[[#This Row],[% Access to unimproved water points]])</f>
        <v>1</v>
      </c>
      <c r="BU77" s="878">
        <f>IF(WWWW[[#This Row],['# people with equitable and continuous access to sufficient quantity of safe drinking water]]+WWWW[[#This Row],['#People access to unimproved water sources]]&gt;WWWW[[#This Row],[Total PoP ]],WWWW[[#This Row],[Total PoP ]],WWWW[[#This Row],['# people with equitable and continuous access to sufficient quantity of safe drinking water]]+WWWW[[#This Row],['#People access to unimproved water sources]])</f>
        <v>2805</v>
      </c>
      <c r="BV77" s="878">
        <f>WWWW[[#This Row],[HRP1]]/500</f>
        <v>5.61</v>
      </c>
      <c r="BW77" s="885">
        <f>1-WWWW[[#This Row],[% HRP1]]</f>
        <v>0</v>
      </c>
      <c r="BX77" s="878">
        <f>WWWW[[#This Row],[%equitable and continuous access to sufficient quantity of safe drinking and domestic water''s GAP]]*WWWW[[#This Row],[Total PoP ]]</f>
        <v>0</v>
      </c>
      <c r="BY77" s="535">
        <f>ROUND(IF(WWWW[[#This Row],[Total PoP ]]&lt;500,1,WWWW[[#This Row],[Total PoP ]]/500),0)</f>
        <v>6</v>
      </c>
      <c r="BZ77" s="884">
        <f>IF(WWWW[[#This Row],[Total required water points]]-WWWW[[#This Row],['#Water points coverage]]&lt;0,0,WWWW[[#This Row],[Total required water points]]-WWWW[[#This Row],['#Water points coverage]])</f>
        <v>0.38999999999999968</v>
      </c>
      <c r="CA77" s="536">
        <f>WWWW[[#This Row],[HRP2]]/WWWW[[#This Row],[Total PoP ]]</f>
        <v>1</v>
      </c>
      <c r="CB77" s="878">
        <f>IF(WWWW[[#This Row],[Total PoP ]]="",0,IF(((WWWW[[#This Row],['#_Functional_adult_latrines]]*20)+(WWWW[[#This Row],['#_of_functional_children_latrines]]*20)+WWWW[[#This Row],['#_of_PWD_with_adapted_sanitation_option]]+(WWWW[[#This Row],['#_of_latrines_in_TLS/CFS]]*50))&gt;WWWW[[#This Row],[Total PoP ]],WWWW[[#This Row],[Total PoP ]],((WWWW[[#This Row],['#_Functional_adult_latrines]]*20)+(WWWW[[#This Row],['#_of_functional_children_latrines]]*20)+WWWW[[#This Row],['#_of_PWD_with_adapted_sanitation_option]]+(WWWW[[#This Row],['#_of_latrines_in_TLS/CFS]]*50))))</f>
        <v>2805</v>
      </c>
      <c r="CC77" s="884">
        <f>IF(WWWW[[#This Row],['#_of_latrines_in_TLS/CFS]]*50&gt;WWWW[[#This Row],['#_students at TLS_CFS]],WWWW[[#This Row],['#_students at TLS_CFS]],WWWW[[#This Row],['#_of_latrines_in_TLS/CFS]]*50)</f>
        <v>209</v>
      </c>
      <c r="CD77" s="884">
        <f>ROUND(IF(WWWW[[#This Row],[Location Type 1]]="camp",WWWW[[#This Row],[Total PoP ]]/20),0)</f>
        <v>140</v>
      </c>
      <c r="CE77" s="884">
        <f>IF(WWWW[[#This Row],[Total required Latrines]]-WWWW[[#This Row],['#_Existing_latrines]]&lt;0,0,WWWW[[#This Row],[Total required Latrines]]-WWWW[[#This Row],['#_Existing_latrines]])</f>
        <v>0</v>
      </c>
      <c r="CF77" s="885">
        <f>1-WWWW[[#This Row],[% HRP2]]</f>
        <v>0</v>
      </c>
      <c r="CG77" s="883">
        <f>IF(WWWW[[#This Row],['#_Existing_latrines]]="","NA",(WWWW[[#This Row],['#_Existing_latrines]]-WWWW[[#This Row],['#_Functional_adult_latrines]])/WWWW[[#This Row],['#_Existing_latrines]])</f>
        <v>2.7932960893854749E-3</v>
      </c>
      <c r="CH77" s="878">
        <f>IF(WWWW[[#This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Row],[_'#_of_Girls_receiving_consultation_hygiene_promotion_messages_and_sessions]]&gt;WWWW[[#This Row],[Total PoP ]],WWWW[[#This Row],[Total PoP ]],WWWW[[#This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f>
        <v>2087</v>
      </c>
      <c r="CI77" s="884">
        <f>IF(WWWW[[#This Row],['#_of_affected_households_receiving_a_sufficient_quantity_of_soap]]=0,0,IF(WWWW[[#This Row],['#_of_affected_households_receiving_a_sufficient_quantity_of_soap]]&gt;=WWWW[[#This Row],[Total HH]],WWWW[[#This Row],[Total PoP ]],IF(WWWW[[#This Row],['#_of_affected_households_receiving_a_sufficient_quantity_of_soap]]*5&gt;WWWW[[#This Row],[Total PoP ]],WWWW[[#This Row],[Total PoP ]],WWWW[[#This Row],['#_of_affected_households_receiving_a_sufficient_quantity_of_soap]]*5)))</f>
        <v>2805</v>
      </c>
      <c r="CJ77" s="884">
        <f>IF(WWWW[[#This Row],['#_of_affected_women_and_girls_receiving_a_sufficient_quantity_of_sanitary_pads]]&gt;WWWW[[#This Row],[Total PoP ]],WWWW[[#This Row],[Total PoP ]],WWWW[[#This Row],['#_of_affected_women_and_girls_receiving_a_sufficient_quantity_of_sanitary_pads]])</f>
        <v>1334</v>
      </c>
      <c r="CK77" s="884">
        <f>IF(WWWW[[#This Row],['# People with access to soap]]&gt;WWWW[[#This Row],['# People with access to Sanity Pads]],WWWW[[#This Row],['# People with access to soap]],WWWW[[#This Row],['# People with access to Sanity Pads]])</f>
        <v>2805</v>
      </c>
      <c r="CL77" s="884">
        <f>IF(WWWW[[#This Row],['# people reached by regular dedicated hygiene promotion_5]]&gt;WWWW[[#This Row],['# People received regular supply of hygiene items_6]],WWWW[[#This Row],['# people reached by regular dedicated hygiene promotion_5]],WWWW[[#This Row],['# People received regular supply of hygiene items_6]])</f>
        <v>2805</v>
      </c>
      <c r="CM77" s="885">
        <f>IF(WWWW[[#This Row],[HRP3]]/WWWW[[#This Row],[Total PoP ]]&gt;100%,100%,WWWW[[#This Row],[HRP3]]/WWWW[[#This Row],[Total PoP ]])</f>
        <v>1</v>
      </c>
      <c r="CN77" s="883">
        <f>1-WWWW[[#This Row],[Hygiene Coverage%]]</f>
        <v>0</v>
      </c>
      <c r="CO77" s="880">
        <f>WWWW[[#This Row],['# people reached by regular dedicated hygiene promotion_5]]/WWWW[[#This Row],[Total PoP ]]</f>
        <v>0.74402852049910873</v>
      </c>
      <c r="CP77" s="883">
        <f>IF(WWWW[[#This Row],['#_of_affected_households_receiving_a_sufficient_quantity_of_soap]]/WWWW[[#This Row],[Total HH]]&gt;1,1,WWWW[[#This Row],['#_of_affected_households_receiving_a_sufficient_quantity_of_soap]]/WWWW[[#This Row],[Total HH]])</f>
        <v>1</v>
      </c>
      <c r="CQ77" s="542" t="str">
        <f>IF(WWWW[[#This Row],['#_students at TLS_CFS]]="","No","Yes")</f>
        <v>Yes</v>
      </c>
      <c r="CR77" s="534"/>
      <c r="CS77" s="886" t="str">
        <f>VLOOKUP(WWWW[[#This Row],[Site Name]],SiteDB6[[Site Name]:[CCCM Management]],6,FALSE)</f>
        <v>Yes</v>
      </c>
      <c r="CT77" s="886" t="str">
        <f>VLOOKUP(WWWW[[#This Row],[Site Name]],SiteDB6[[Site Name]:[CCCM Focal Agency]],7,FALSE)</f>
        <v>DRC</v>
      </c>
      <c r="CU77" s="886" t="str">
        <f>VLOOKUP(WWWW[[#This Row],[Site Name]],SiteDB6[[Site Name]:[Location Type 1]],9,FALSE)</f>
        <v>Camp</v>
      </c>
      <c r="CV77" s="886" t="str">
        <f>VLOOKUP(WWWW[[#This Row],[Site Name]],SiteDB6[[Site Name]:[Type of Accommodation]],10,FALSE)</f>
        <v>Planned Camp</v>
      </c>
      <c r="CW77" s="886" t="str">
        <f>VLOOKUP(WWWW[[#This Row],[Site Name]],SiteDB6[[Site Name]:[Ethnic or GCA/NGCA]],11,FALSE)</f>
        <v>Muslim</v>
      </c>
      <c r="CX77" s="886">
        <f>VLOOKUP(WWWW[[#This Row],[Site Name]],SiteDB6[[Site Name]:[Lat]],12,FALSE)</f>
        <v>20.064226000000001</v>
      </c>
      <c r="CY77" s="886">
        <f>VLOOKUP(WWWW[[#This Row],[Site Name]],SiteDB6[[Site Name]:[Long]],13,FALSE)</f>
        <v>92.993758999999997</v>
      </c>
      <c r="CZ77" s="886" t="str">
        <f>VLOOKUP(WWWW[[#This Row],[Site Name]],SiteDB6[[Site Name]:[Pcode]],3,FALSE)</f>
        <v>MMR012CMP019</v>
      </c>
      <c r="DA77" s="887" t="str">
        <f t="shared" si="2"/>
        <v>Covered</v>
      </c>
      <c r="DB77" s="564">
        <f>VLOOKUP(WWWW[[#This Row],[Site Name]],SiteDB6[[Site Name]:[PWD_Total]],22,FALSE)</f>
        <v>125</v>
      </c>
      <c r="DC77" s="564">
        <f>VLOOKUP(WWWW[[#This Row],[Site Name]],SiteDB6[[Site Name]:[PWD_Total]],23,FALSE)</f>
        <v>401</v>
      </c>
      <c r="DD77" s="564">
        <f>VLOOKUP(WWWW[[#This Row],[Site Name]],SiteDB6[[Site Name]:[PWD_Total]],24,FALSE)</f>
        <v>526</v>
      </c>
      <c r="DE77" s="886"/>
      <c r="DF77" s="887"/>
      <c r="DG77" s="887"/>
      <c r="DH77" s="887"/>
    </row>
    <row r="78" spans="1:112">
      <c r="A78" s="873" t="s">
        <v>2389</v>
      </c>
      <c r="B78" s="873" t="s">
        <v>402</v>
      </c>
      <c r="C78" s="944" t="s">
        <v>402</v>
      </c>
      <c r="D78" s="944" t="s">
        <v>235</v>
      </c>
      <c r="E78" s="945" t="s">
        <v>2706</v>
      </c>
      <c r="F78" s="944" t="s">
        <v>403</v>
      </c>
      <c r="G78" s="874" t="str">
        <f>VLOOKUP(WWWW[[#This Row],[Site Name]],SiteDB6[[Site Name]:[Location Type]],8,FALSE)</f>
        <v>Camp</v>
      </c>
      <c r="H78" s="944" t="s">
        <v>404</v>
      </c>
      <c r="I78" s="875">
        <v>716</v>
      </c>
      <c r="J78" s="875">
        <v>2920</v>
      </c>
      <c r="K78" s="876">
        <v>43530</v>
      </c>
      <c r="L78" s="877">
        <v>43896</v>
      </c>
      <c r="M78" s="875">
        <v>920</v>
      </c>
      <c r="N78" s="875">
        <v>14</v>
      </c>
      <c r="O78" s="875">
        <v>20</v>
      </c>
      <c r="P78" s="875">
        <v>0</v>
      </c>
      <c r="Q78" s="878" t="s">
        <v>42</v>
      </c>
      <c r="R78" s="875">
        <v>9</v>
      </c>
      <c r="S78" s="875">
        <v>9</v>
      </c>
      <c r="T78" s="589">
        <v>7</v>
      </c>
      <c r="U78" s="875">
        <v>7</v>
      </c>
      <c r="V78" s="875"/>
      <c r="W78" s="875">
        <v>2190000</v>
      </c>
      <c r="X78" s="875">
        <v>24</v>
      </c>
      <c r="Y78" s="875">
        <v>21</v>
      </c>
      <c r="Z78" s="875">
        <v>18</v>
      </c>
      <c r="AA78" s="875">
        <v>18</v>
      </c>
      <c r="AB78" s="875">
        <v>716</v>
      </c>
      <c r="AC78" s="875">
        <v>2</v>
      </c>
      <c r="AD78" s="875">
        <v>3</v>
      </c>
      <c r="AE78" s="879"/>
      <c r="AF78" s="875">
        <v>197</v>
      </c>
      <c r="AG78" s="875">
        <v>197</v>
      </c>
      <c r="AH78" s="875">
        <v>97</v>
      </c>
      <c r="AI78" s="880"/>
      <c r="AJ78" s="875">
        <v>87</v>
      </c>
      <c r="AK78" s="880">
        <v>1</v>
      </c>
      <c r="AL78" s="880">
        <v>0.89</v>
      </c>
      <c r="AM78" s="880">
        <v>1</v>
      </c>
      <c r="AN78" s="880">
        <v>0.93</v>
      </c>
      <c r="AO78" s="875">
        <v>31</v>
      </c>
      <c r="AP78" s="875">
        <v>114</v>
      </c>
      <c r="AQ78" s="875">
        <v>6</v>
      </c>
      <c r="AR78" s="875" t="s">
        <v>42</v>
      </c>
      <c r="AS78" s="881"/>
      <c r="AT78" s="875">
        <v>94</v>
      </c>
      <c r="AU78" s="875">
        <v>922</v>
      </c>
      <c r="AV78" s="875">
        <v>218</v>
      </c>
      <c r="AW78" s="875">
        <v>283</v>
      </c>
      <c r="AX78" s="875">
        <v>716</v>
      </c>
      <c r="AY78" s="875">
        <v>879</v>
      </c>
      <c r="AZ78" s="534">
        <v>1</v>
      </c>
      <c r="BA78" s="880">
        <v>0.96</v>
      </c>
      <c r="BB78" s="534">
        <v>0.91</v>
      </c>
      <c r="BC78" s="880">
        <v>1</v>
      </c>
      <c r="BD78" s="882"/>
      <c r="BE78" s="534">
        <v>0.94</v>
      </c>
      <c r="BF78" s="534">
        <v>1</v>
      </c>
      <c r="BG78" s="589">
        <v>1</v>
      </c>
      <c r="BH78" s="534">
        <v>1</v>
      </c>
      <c r="BI78" s="589" t="e">
        <f>WWWW[[#This Row],[Cases of Acute watery diarrhea]]/WWWW[[#This Row],[Total consultations]]</f>
        <v>#DIV/0!</v>
      </c>
      <c r="BJ78" s="535" t="s">
        <v>130</v>
      </c>
      <c r="BK78" s="881" t="s">
        <v>3208</v>
      </c>
      <c r="BL78" s="881" t="s">
        <v>3209</v>
      </c>
      <c r="BM78" s="883">
        <f>IFERROR(WWWW[[#This Row],['#_Water samples _passed_at_water source]]/WWWW[[#This Row],['#_Water samples_Tested_at_water_source]],"no test")</f>
        <v>0.875</v>
      </c>
      <c r="BN78" s="880">
        <f>IFERROR(WWWW[[#This Row],['#_Water samples _passed_at_HH]]/WWWW[[#This Row],['#_Water samples_Tested_at_HH]],"no test")</f>
        <v>1</v>
      </c>
      <c r="BO78" s="884" t="str">
        <f>IF(AND(WWWW[[#This Row],[%of Water samples which passed at water source]]="no test",WWWW[[#This Row],[%Water samples which passed at HH]]="no test"),"No Test","Tested")</f>
        <v>Tested</v>
      </c>
      <c r="BP78" s="883">
        <f>IF(WWWW[[#This Row],[Total PoP ]]="","",IF(((WWWW[[#This Row],['#_Functional_improved_water_source]]*500)+(WWWW[[#This Row],['#_litres_of_water_supplied_by_existing_water_boating/trucking ]]/90/15)+(WWWW[[#This Row],['#_Functional_water_point_at_TLS/CFS]]*500))/WWWW[[#This Row],[Total PoP ]]&gt;1,1,((WWWW[[#This Row],['#_Functional_improved_water_source]]*500)+(WWWW[[#This Row],['#_litres_of_water_supplied_by_existing_water_boating/trucking ]]/90/15)+(WWWW[[#This Row],['#_Functional_water_point_at_TLS/CFS]]*500))/WWWW[[#This Row],[Total PoP ]]))</f>
        <v>1</v>
      </c>
      <c r="BQ78" s="878">
        <f>WWWW[[#This Row],[Access to safe/improved water through improved water sources]]*WWWW[[#This Row],[Total PoP ]]</f>
        <v>2920</v>
      </c>
      <c r="BR78" s="883">
        <f>IF((WWWW[[#This Row],['#_litres_of_water_stored_in_ponds]]/90/15)/WWWW[[#This Row],[Total PoP ]]&gt;1,1,(WWWW[[#This Row],['#_litres_of_water_stored_in_ponds]]/90/15)/WWWW[[#This Row],[Total PoP ]])</f>
        <v>0.55555555555555558</v>
      </c>
      <c r="BS78" s="878">
        <f>WWWW[[#This Row],[% Access to unimproved water points]]*WWWW[[#This Row],[Total PoP ]]</f>
        <v>1622.2222222222224</v>
      </c>
      <c r="BT78" s="883">
        <f>IF(WWWW[[#This Row],[Access to safe/improved water through improved water sources]]+WWWW[[#This Row],[% Access to unimproved water points]]&gt;1,1,WWWW[[#This Row],[Access to safe/improved water through improved water sources]]+WWWW[[#This Row],[% Access to unimproved water points]])</f>
        <v>1</v>
      </c>
      <c r="BU78" s="878">
        <f>IF(WWWW[[#This Row],['# people with equitable and continuous access to sufficient quantity of safe drinking water]]+WWWW[[#This Row],['#People access to unimproved water sources]]&gt;WWWW[[#This Row],[Total PoP ]],WWWW[[#This Row],[Total PoP ]],WWWW[[#This Row],['# people with equitable and continuous access to sufficient quantity of safe drinking water]]+WWWW[[#This Row],['#People access to unimproved water sources]])</f>
        <v>2920</v>
      </c>
      <c r="BV78" s="878">
        <f>WWWW[[#This Row],[HRP1]]/500</f>
        <v>5.84</v>
      </c>
      <c r="BW78" s="885">
        <f>1-WWWW[[#This Row],[% HRP1]]</f>
        <v>0</v>
      </c>
      <c r="BX78" s="878">
        <f>WWWW[[#This Row],[%equitable and continuous access to sufficient quantity of safe drinking and domestic water''s GAP]]*WWWW[[#This Row],[Total PoP ]]</f>
        <v>0</v>
      </c>
      <c r="BY78" s="535">
        <f>ROUND(IF(WWWW[[#This Row],[Total PoP ]]&lt;500,1,WWWW[[#This Row],[Total PoP ]]/500),0)</f>
        <v>6</v>
      </c>
      <c r="BZ78" s="884">
        <f>IF(WWWW[[#This Row],[Total required water points]]-WWWW[[#This Row],['#Water points coverage]]&lt;0,0,WWWW[[#This Row],[Total required water points]]-WWWW[[#This Row],['#Water points coverage]])</f>
        <v>0.16000000000000014</v>
      </c>
      <c r="CA78" s="536">
        <f>WWWW[[#This Row],[HRP2]]/WWWW[[#This Row],[Total PoP ]]</f>
        <v>1</v>
      </c>
      <c r="CB78" s="878">
        <f>IF(WWWW[[#This Row],[Total PoP ]]="",0,IF(((WWWW[[#This Row],['#_Functional_adult_latrines]]*20)+(WWWW[[#This Row],['#_of_functional_children_latrines]]*20)+WWWW[[#This Row],['#_of_PWD_with_adapted_sanitation_option]]+(WWWW[[#This Row],['#_of_latrines_in_TLS/CFS]]*50))&gt;WWWW[[#This Row],[Total PoP ]],WWWW[[#This Row],[Total PoP ]],((WWWW[[#This Row],['#_Functional_adult_latrines]]*20)+(WWWW[[#This Row],['#_of_functional_children_latrines]]*20)+WWWW[[#This Row],['#_of_PWD_with_adapted_sanitation_option]]+(WWWW[[#This Row],['#_of_latrines_in_TLS/CFS]]*50))))</f>
        <v>2920</v>
      </c>
      <c r="CC78" s="884">
        <f>IF(WWWW[[#This Row],['#_of_latrines_in_TLS/CFS]]*50&gt;WWWW[[#This Row],['#_students at TLS_CFS]],WWWW[[#This Row],['#_students at TLS_CFS]],WWWW[[#This Row],['#_of_latrines_in_TLS/CFS]]*50)</f>
        <v>300</v>
      </c>
      <c r="CD78" s="884">
        <f>ROUND(IF(WWWW[[#This Row],[Location Type 1]]="camp",WWWW[[#This Row],[Total PoP ]]/20),0)</f>
        <v>146</v>
      </c>
      <c r="CE78" s="884">
        <f>IF(WWWW[[#This Row],[Total required Latrines]]-WWWW[[#This Row],['#_Existing_latrines]]&lt;0,0,WWWW[[#This Row],[Total required Latrines]]-WWWW[[#This Row],['#_Existing_latrines]])</f>
        <v>0</v>
      </c>
      <c r="CF78" s="885">
        <f>1-WWWW[[#This Row],[% HRP2]]</f>
        <v>0</v>
      </c>
      <c r="CG78" s="883">
        <f>IF(WWWW[[#This Row],['#_Existing_latrines]]="","NA",(WWWW[[#This Row],['#_Existing_latrines]]-WWWW[[#This Row],['#_Functional_adult_latrines]])/WWWW[[#This Row],['#_Existing_latrines]])</f>
        <v>0</v>
      </c>
      <c r="CH78" s="878">
        <f>IF(WWWW[[#This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Row],[_'#_of_Girls_receiving_consultation_hygiene_promotion_messages_and_sessions]]&gt;WWWW[[#This Row],[Total PoP ]],WWWW[[#This Row],[Total PoP ]],WWWW[[#This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f>
        <v>1517</v>
      </c>
      <c r="CI78" s="884">
        <f>IF(WWWW[[#This Row],['#_of_affected_households_receiving_a_sufficient_quantity_of_soap]]=0,0,IF(WWWW[[#This Row],['#_of_affected_households_receiving_a_sufficient_quantity_of_soap]]&gt;=WWWW[[#This Row],[Total HH]],WWWW[[#This Row],[Total PoP ]],IF(WWWW[[#This Row],['#_of_affected_households_receiving_a_sufficient_quantity_of_soap]]*5&gt;WWWW[[#This Row],[Total PoP ]],WWWW[[#This Row],[Total PoP ]],WWWW[[#This Row],['#_of_affected_households_receiving_a_sufficient_quantity_of_soap]]*5)))</f>
        <v>2920</v>
      </c>
      <c r="CJ78" s="884">
        <f>IF(WWWW[[#This Row],['#_of_affected_women_and_girls_receiving_a_sufficient_quantity_of_sanitary_pads]]&gt;WWWW[[#This Row],[Total PoP ]],WWWW[[#This Row],[Total PoP ]],WWWW[[#This Row],['#_of_affected_women_and_girls_receiving_a_sufficient_quantity_of_sanitary_pads]])</f>
        <v>879</v>
      </c>
      <c r="CK78" s="884">
        <f>IF(WWWW[[#This Row],['# People with access to soap]]&gt;WWWW[[#This Row],['# People with access to Sanity Pads]],WWWW[[#This Row],['# People with access to soap]],WWWW[[#This Row],['# People with access to Sanity Pads]])</f>
        <v>2920</v>
      </c>
      <c r="CL78" s="884">
        <f>IF(WWWW[[#This Row],['# people reached by regular dedicated hygiene promotion_5]]&gt;WWWW[[#This Row],['# People received regular supply of hygiene items_6]],WWWW[[#This Row],['# people reached by regular dedicated hygiene promotion_5]],WWWW[[#This Row],['# People received regular supply of hygiene items_6]])</f>
        <v>2920</v>
      </c>
      <c r="CM78" s="885">
        <f>IF(WWWW[[#This Row],[HRP3]]/WWWW[[#This Row],[Total PoP ]]&gt;100%,100%,WWWW[[#This Row],[HRP3]]/WWWW[[#This Row],[Total PoP ]])</f>
        <v>1</v>
      </c>
      <c r="CN78" s="883">
        <f>1-WWWW[[#This Row],[Hygiene Coverage%]]</f>
        <v>0</v>
      </c>
      <c r="CO78" s="880">
        <f>WWWW[[#This Row],['# people reached by regular dedicated hygiene promotion_5]]/WWWW[[#This Row],[Total PoP ]]</f>
        <v>0.51952054794520552</v>
      </c>
      <c r="CP78" s="883">
        <f>IF(WWWW[[#This Row],['#_of_affected_households_receiving_a_sufficient_quantity_of_soap]]/WWWW[[#This Row],[Total HH]]&gt;1,1,WWWW[[#This Row],['#_of_affected_households_receiving_a_sufficient_quantity_of_soap]]/WWWW[[#This Row],[Total HH]])</f>
        <v>1</v>
      </c>
      <c r="CQ78" s="542" t="str">
        <f>IF(WWWW[[#This Row],['#_students at TLS_CFS]]="","No","Yes")</f>
        <v>Yes</v>
      </c>
      <c r="CR78" s="534"/>
      <c r="CS78" s="886" t="str">
        <f>VLOOKUP(WWWW[[#This Row],[Site Name]],SiteDB6[[Site Name]:[CCCM Management]],6,FALSE)</f>
        <v>Yes</v>
      </c>
      <c r="CT78" s="886" t="str">
        <f>VLOOKUP(WWWW[[#This Row],[Site Name]],SiteDB6[[Site Name]:[CCCM Focal Agency]],7,FALSE)</f>
        <v>RI</v>
      </c>
      <c r="CU78" s="886" t="str">
        <f>VLOOKUP(WWWW[[#This Row],[Site Name]],SiteDB6[[Site Name]:[Location Type 1]],9,FALSE)</f>
        <v>Camp</v>
      </c>
      <c r="CV78" s="886" t="str">
        <f>VLOOKUP(WWWW[[#This Row],[Site Name]],SiteDB6[[Site Name]:[Type of Accommodation]],10,FALSE)</f>
        <v>Planned Camp</v>
      </c>
      <c r="CW78" s="886" t="str">
        <f>VLOOKUP(WWWW[[#This Row],[Site Name]],SiteDB6[[Site Name]:[Ethnic or GCA/NGCA]],11,FALSE)</f>
        <v>Muslim</v>
      </c>
      <c r="CX78" s="886">
        <f>VLOOKUP(WWWW[[#This Row],[Site Name]],SiteDB6[[Site Name]:[Lat]],12,FALSE)</f>
        <v>20.037655000000001</v>
      </c>
      <c r="CY78" s="886">
        <f>VLOOKUP(WWWW[[#This Row],[Site Name]],SiteDB6[[Site Name]:[Long]],13,FALSE)</f>
        <v>93.370037999999994</v>
      </c>
      <c r="CZ78" s="886" t="str">
        <f>VLOOKUP(WWWW[[#This Row],[Site Name]],SiteDB6[[Site Name]:[Pcode]],3,FALSE)</f>
        <v>MMR012CMP014</v>
      </c>
      <c r="DA78" s="887" t="str">
        <f t="shared" si="2"/>
        <v>Covered</v>
      </c>
      <c r="DB78" s="564">
        <f>VLOOKUP(WWWW[[#This Row],[Site Name]],SiteDB6[[Site Name]:[PWD_Total]],22,FALSE)</f>
        <v>54</v>
      </c>
      <c r="DC78" s="564">
        <f>VLOOKUP(WWWW[[#This Row],[Site Name]],SiteDB6[[Site Name]:[PWD_Total]],23,FALSE)</f>
        <v>319</v>
      </c>
      <c r="DD78" s="564">
        <f>VLOOKUP(WWWW[[#This Row],[Site Name]],SiteDB6[[Site Name]:[PWD_Total]],24,FALSE)</f>
        <v>373</v>
      </c>
      <c r="DE78" s="886"/>
      <c r="DF78" s="887"/>
      <c r="DG78" s="887"/>
      <c r="DH78" s="887"/>
    </row>
    <row r="79" spans="1:112">
      <c r="A79" s="873" t="s">
        <v>2389</v>
      </c>
      <c r="B79" s="873" t="s">
        <v>2308</v>
      </c>
      <c r="C79" s="944" t="s">
        <v>2308</v>
      </c>
      <c r="D79" s="944" t="s">
        <v>41</v>
      </c>
      <c r="E79" s="945" t="s">
        <v>2706</v>
      </c>
      <c r="F79" s="944" t="s">
        <v>299</v>
      </c>
      <c r="G79" s="874" t="str">
        <f>VLOOKUP(WWWW[[#This Row],[Site Name]],SiteDB6[[Site Name]:[Location Type]],8,FALSE)</f>
        <v>Camp</v>
      </c>
      <c r="H79" s="944" t="s">
        <v>426</v>
      </c>
      <c r="I79" s="875">
        <v>1139</v>
      </c>
      <c r="J79" s="875">
        <v>6016</v>
      </c>
      <c r="K79" s="876">
        <v>43009</v>
      </c>
      <c r="L79" s="877">
        <v>44104</v>
      </c>
      <c r="M79" s="875">
        <v>1094</v>
      </c>
      <c r="N79" s="875">
        <v>49</v>
      </c>
      <c r="O79" s="875">
        <v>175</v>
      </c>
      <c r="P79" s="875">
        <v>0</v>
      </c>
      <c r="Q79" s="878" t="s">
        <v>130</v>
      </c>
      <c r="R79" s="875">
        <v>10</v>
      </c>
      <c r="S79" s="875">
        <v>8</v>
      </c>
      <c r="T79" s="507">
        <v>41</v>
      </c>
      <c r="U79" s="507">
        <v>45</v>
      </c>
      <c r="V79" s="875"/>
      <c r="W79" s="875"/>
      <c r="X79" s="875"/>
      <c r="Y79" s="875"/>
      <c r="Z79" s="507"/>
      <c r="AA79" s="507"/>
      <c r="AB79" s="507">
        <v>1139</v>
      </c>
      <c r="AC79" s="875">
        <v>30</v>
      </c>
      <c r="AD79" s="875">
        <v>2</v>
      </c>
      <c r="AE79" s="879"/>
      <c r="AF79" s="875">
        <v>188</v>
      </c>
      <c r="AG79" s="875">
        <v>253</v>
      </c>
      <c r="AH79" s="875">
        <v>176</v>
      </c>
      <c r="AI79" s="888">
        <v>0.62</v>
      </c>
      <c r="AJ79" s="875">
        <v>242</v>
      </c>
      <c r="AK79" s="534">
        <v>1</v>
      </c>
      <c r="AL79" s="534">
        <v>0.87</v>
      </c>
      <c r="AM79" s="534">
        <v>0.6</v>
      </c>
      <c r="AN79" s="534">
        <v>0.6</v>
      </c>
      <c r="AO79" s="875">
        <v>0</v>
      </c>
      <c r="AP79" s="875"/>
      <c r="AQ79" s="875">
        <v>3</v>
      </c>
      <c r="AR79" s="875" t="s">
        <v>42</v>
      </c>
      <c r="AS79" s="881"/>
      <c r="AT79" s="875">
        <v>82</v>
      </c>
      <c r="AU79" s="589">
        <v>206</v>
      </c>
      <c r="AV79" s="589">
        <v>516</v>
      </c>
      <c r="AW79" s="589">
        <v>540</v>
      </c>
      <c r="AX79" s="589">
        <v>1116</v>
      </c>
      <c r="AY79" s="875"/>
      <c r="AZ79" s="589"/>
      <c r="BA79" s="875"/>
      <c r="BB79" s="589"/>
      <c r="BC79" s="880">
        <v>0</v>
      </c>
      <c r="BD79" s="882"/>
      <c r="BE79" s="534"/>
      <c r="BF79" s="534"/>
      <c r="BG79" s="507">
        <f>46%*WWWW[[#This Row],[Total PoP ]]</f>
        <v>2767.36</v>
      </c>
      <c r="BH79" s="534">
        <v>1</v>
      </c>
      <c r="BI79" s="589" t="e">
        <f>WWWW[[#This Row],[Cases of Acute watery diarrhea]]/WWWW[[#This Row],[Total consultations]]</f>
        <v>#DIV/0!</v>
      </c>
      <c r="BJ79" s="535"/>
      <c r="BK79" s="881"/>
      <c r="BL79" s="881"/>
      <c r="BM79" s="883" t="str">
        <f>IFERROR(WWWW[[#This Row],['#_Water samples _passed_at_water source]]/WWWW[[#This Row],['#_Water samples_Tested_at_water_source]],"no test")</f>
        <v>no test</v>
      </c>
      <c r="BN79" s="880" t="str">
        <f>IFERROR(WWWW[[#This Row],['#_Water samples _passed_at_HH]]/WWWW[[#This Row],['#_Water samples_Tested_at_HH]],"no test")</f>
        <v>no test</v>
      </c>
      <c r="BO79" s="884" t="str">
        <f>IF(AND(WWWW[[#This Row],[%of Water samples which passed at water source]]="no test",WWWW[[#This Row],[%Water samples which passed at HH]]="no test"),"No Test","Tested")</f>
        <v>No Test</v>
      </c>
      <c r="BP79" s="883">
        <f>IF(WWWW[[#This Row],[Total PoP ]]="","",IF(((WWWW[[#This Row],['#_Functional_improved_water_source]]*500)+(WWWW[[#This Row],['#_litres_of_water_supplied_by_existing_water_boating/trucking ]]/90/15)+(WWWW[[#This Row],['#_Functional_water_point_at_TLS/CFS]]*500))/WWWW[[#This Row],[Total PoP ]]&gt;1,1,((WWWW[[#This Row],['#_Functional_improved_water_source]]*500)+(WWWW[[#This Row],['#_litres_of_water_supplied_by_existing_water_boating/trucking ]]/90/15)+(WWWW[[#This Row],['#_Functional_water_point_at_TLS/CFS]]*500))/WWWW[[#This Row],[Total PoP ]]))</f>
        <v>1</v>
      </c>
      <c r="BQ79" s="878">
        <f>WWWW[[#This Row],[Access to safe/improved water through improved water sources]]*WWWW[[#This Row],[Total PoP ]]</f>
        <v>6016</v>
      </c>
      <c r="BR79" s="883">
        <f>IF((WWWW[[#This Row],['#_litres_of_water_stored_in_ponds]]/90/15)/WWWW[[#This Row],[Total PoP ]]&gt;1,1,(WWWW[[#This Row],['#_litres_of_water_stored_in_ponds]]/90/15)/WWWW[[#This Row],[Total PoP ]])</f>
        <v>0</v>
      </c>
      <c r="BS79" s="878">
        <f>WWWW[[#This Row],[% Access to unimproved water points]]*WWWW[[#This Row],[Total PoP ]]</f>
        <v>0</v>
      </c>
      <c r="BT79" s="883">
        <f>IF(WWWW[[#This Row],[Access to safe/improved water through improved water sources]]+WWWW[[#This Row],[% Access to unimproved water points]]&gt;1,1,WWWW[[#This Row],[Access to safe/improved water through improved water sources]]+WWWW[[#This Row],[% Access to unimproved water points]])</f>
        <v>1</v>
      </c>
      <c r="BU79" s="878">
        <f>IF(WWWW[[#This Row],['# people with equitable and continuous access to sufficient quantity of safe drinking water]]+WWWW[[#This Row],['#People access to unimproved water sources]]&gt;WWWW[[#This Row],[Total PoP ]],WWWW[[#This Row],[Total PoP ]],WWWW[[#This Row],['# people with equitable and continuous access to sufficient quantity of safe drinking water]]+WWWW[[#This Row],['#People access to unimproved water sources]])</f>
        <v>6016</v>
      </c>
      <c r="BV79" s="878">
        <f>WWWW[[#This Row],[HRP1]]/500</f>
        <v>12.032</v>
      </c>
      <c r="BW79" s="885">
        <f>1-WWWW[[#This Row],[% HRP1]]</f>
        <v>0</v>
      </c>
      <c r="BX79" s="878">
        <f>WWWW[[#This Row],[%equitable and continuous access to sufficient quantity of safe drinking and domestic water''s GAP]]*WWWW[[#This Row],[Total PoP ]]</f>
        <v>0</v>
      </c>
      <c r="BY79" s="535">
        <f>ROUND(IF(WWWW[[#This Row],[Total PoP ]]&lt;500,1,WWWW[[#This Row],[Total PoP ]]/500),0)</f>
        <v>12</v>
      </c>
      <c r="BZ79" s="884">
        <f>IF(WWWW[[#This Row],[Total required water points]]-WWWW[[#This Row],['#Water points coverage]]&lt;0,0,WWWW[[#This Row],[Total required water points]]-WWWW[[#This Row],['#Water points coverage]])</f>
        <v>0</v>
      </c>
      <c r="CA79" s="536">
        <f>WWWW[[#This Row],[HRP2]]/WWWW[[#This Row],[Total PoP ]]</f>
        <v>0.64993351063829785</v>
      </c>
      <c r="CB79" s="878">
        <f>IF(WWWW[[#This Row],[Total PoP ]]="",0,IF(((WWWW[[#This Row],['#_Functional_adult_latrines]]*20)+(WWWW[[#This Row],['#_of_functional_children_latrines]]*20)+WWWW[[#This Row],['#_of_PWD_with_adapted_sanitation_option]]+(WWWW[[#This Row],['#_of_latrines_in_TLS/CFS]]*50))&gt;WWWW[[#This Row],[Total PoP ]],WWWW[[#This Row],[Total PoP ]],((WWWW[[#This Row],['#_Functional_adult_latrines]]*20)+(WWWW[[#This Row],['#_of_functional_children_latrines]]*20)+WWWW[[#This Row],['#_of_PWD_with_adapted_sanitation_option]]+(WWWW[[#This Row],['#_of_latrines_in_TLS/CFS]]*50))))</f>
        <v>3910</v>
      </c>
      <c r="CC79" s="884">
        <f>IF(WWWW[[#This Row],['#_of_latrines_in_TLS/CFS]]*50&gt;WWWW[[#This Row],['#_students at TLS_CFS]],WWWW[[#This Row],['#_students at TLS_CFS]],WWWW[[#This Row],['#_of_latrines_in_TLS/CFS]]*50)</f>
        <v>150</v>
      </c>
      <c r="CD79" s="884">
        <f>ROUND(IF(WWWW[[#This Row],[Location Type 1]]="camp",WWWW[[#This Row],[Total PoP ]]/20),0)</f>
        <v>301</v>
      </c>
      <c r="CE79" s="884">
        <f>IF(WWWW[[#This Row],[Total required Latrines]]-WWWW[[#This Row],['#_Existing_latrines]]&lt;0,0,WWWW[[#This Row],[Total required Latrines]]-WWWW[[#This Row],['#_Existing_latrines]])</f>
        <v>48</v>
      </c>
      <c r="CF79" s="885">
        <f>1-WWWW[[#This Row],[% HRP2]]</f>
        <v>0.35006648936170215</v>
      </c>
      <c r="CG79" s="883">
        <f>IF(WWWW[[#This Row],['#_Existing_latrines]]="","NA",(WWWW[[#This Row],['#_Existing_latrines]]-WWWW[[#This Row],['#_Functional_adult_latrines]])/WWWW[[#This Row],['#_Existing_latrines]])</f>
        <v>0.25691699604743085</v>
      </c>
      <c r="CH79" s="878">
        <f>IF(WWWW[[#This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Row],[_'#_of_Girls_receiving_consultation_hygiene_promotion_messages_and_sessions]]&gt;WWWW[[#This Row],[Total PoP ]],WWWW[[#This Row],[Total PoP ]],WWWW[[#This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f>
        <v>1344</v>
      </c>
      <c r="CI79" s="884">
        <f>IF(WWWW[[#This Row],['#_of_affected_households_receiving_a_sufficient_quantity_of_soap]]=0,0,IF(WWWW[[#This Row],['#_of_affected_households_receiving_a_sufficient_quantity_of_soap]]&gt;=WWWW[[#This Row],[Total HH]],WWWW[[#This Row],[Total PoP ]],IF(WWWW[[#This Row],['#_of_affected_households_receiving_a_sufficient_quantity_of_soap]]*5&gt;WWWW[[#This Row],[Total PoP ]],WWWW[[#This Row],[Total PoP ]],WWWW[[#This Row],['#_of_affected_households_receiving_a_sufficient_quantity_of_soap]]*5)))</f>
        <v>5580</v>
      </c>
      <c r="CJ79" s="884">
        <f>IF(WWWW[[#This Row],['#_of_affected_women_and_girls_receiving_a_sufficient_quantity_of_sanitary_pads]]&gt;WWWW[[#This Row],[Total PoP ]],WWWW[[#This Row],[Total PoP ]],WWWW[[#This Row],['#_of_affected_women_and_girls_receiving_a_sufficient_quantity_of_sanitary_pads]])</f>
        <v>0</v>
      </c>
      <c r="CK79" s="884">
        <f>IF(WWWW[[#This Row],['# People with access to soap]]&gt;WWWW[[#This Row],['# People with access to Sanity Pads]],WWWW[[#This Row],['# People with access to soap]],WWWW[[#This Row],['# People with access to Sanity Pads]])</f>
        <v>5580</v>
      </c>
      <c r="CL79" s="884">
        <f>IF(WWWW[[#This Row],['# people reached by regular dedicated hygiene promotion_5]]&gt;WWWW[[#This Row],['# People received regular supply of hygiene items_6]],WWWW[[#This Row],['# people reached by regular dedicated hygiene promotion_5]],WWWW[[#This Row],['# People received regular supply of hygiene items_6]])</f>
        <v>5580</v>
      </c>
      <c r="CM79" s="885">
        <f>IF(WWWW[[#This Row],[HRP3]]/WWWW[[#This Row],[Total PoP ]]&gt;100%,100%,WWWW[[#This Row],[HRP3]]/WWWW[[#This Row],[Total PoP ]])</f>
        <v>0.92752659574468088</v>
      </c>
      <c r="CN79" s="883">
        <f>1-WWWW[[#This Row],[Hygiene Coverage%]]</f>
        <v>7.2473404255319118E-2</v>
      </c>
      <c r="CO79" s="880">
        <f>WWWW[[#This Row],['# people reached by regular dedicated hygiene promotion_5]]/WWWW[[#This Row],[Total PoP ]]</f>
        <v>0.22340425531914893</v>
      </c>
      <c r="CP79" s="883">
        <f>IF(WWWW[[#This Row],['#_of_affected_households_receiving_a_sufficient_quantity_of_soap]]/WWWW[[#This Row],[Total HH]]&gt;1,1,WWWW[[#This Row],['#_of_affected_households_receiving_a_sufficient_quantity_of_soap]]/WWWW[[#This Row],[Total HH]])</f>
        <v>0.97980684811237928</v>
      </c>
      <c r="CQ79" s="542" t="str">
        <f>IF(WWWW[[#This Row],['#_students at TLS_CFS]]="","No","Yes")</f>
        <v>Yes</v>
      </c>
      <c r="CR79" s="534">
        <f>WWWW[[#This Row],['#_of_affected_people_surveyed_who_report_feeling_informed_about_the_different_WASH_services_available_to_them]]/WWWW[[#This Row],[Total PoP ]]</f>
        <v>0.46</v>
      </c>
      <c r="CS79" s="886" t="str">
        <f>VLOOKUP(WWWW[[#This Row],[Site Name]],SiteDB6[[Site Name]:[CCCM Management]],6,FALSE)</f>
        <v>Yes</v>
      </c>
      <c r="CT79" s="886">
        <f>VLOOKUP(WWWW[[#This Row],[Site Name]],SiteDB6[[Site Name]:[CCCM Focal Agency]],7,FALSE)</f>
        <v>0</v>
      </c>
      <c r="CU79" s="886" t="str">
        <f>VLOOKUP(WWWW[[#This Row],[Site Name]],SiteDB6[[Site Name]:[Location Type 1]],9,FALSE)</f>
        <v>Camp</v>
      </c>
      <c r="CV79" s="886" t="str">
        <f>VLOOKUP(WWWW[[#This Row],[Site Name]],SiteDB6[[Site Name]:[Type of Accommodation]],10,FALSE)</f>
        <v>Self Settled Camp</v>
      </c>
      <c r="CW79" s="886" t="str">
        <f>VLOOKUP(WWWW[[#This Row],[Site Name]],SiteDB6[[Site Name]:[Ethnic or GCA/NGCA]],11,FALSE)</f>
        <v>Muslim</v>
      </c>
      <c r="CX79" s="886">
        <f>VLOOKUP(WWWW[[#This Row],[Site Name]],SiteDB6[[Site Name]:[Lat]],12,FALSE)</f>
        <v>20.1585</v>
      </c>
      <c r="CY79" s="886">
        <f>VLOOKUP(WWWW[[#This Row],[Site Name]],SiteDB6[[Site Name]:[Long]],13,FALSE)</f>
        <v>92.839416999999997</v>
      </c>
      <c r="CZ79" s="886" t="str">
        <f>VLOOKUP(WWWW[[#This Row],[Site Name]],SiteDB6[[Site Name]:[Pcode]],3,FALSE)</f>
        <v>MMR012CMP046</v>
      </c>
      <c r="DA79" s="887" t="str">
        <f t="shared" si="2"/>
        <v>Covered</v>
      </c>
      <c r="DB79" s="564">
        <f>VLOOKUP(WWWW[[#This Row],[Site Name]],SiteDB6[[Site Name]:[PWD_Total]],22,FALSE)</f>
        <v>283</v>
      </c>
      <c r="DC79" s="564">
        <f>VLOOKUP(WWWW[[#This Row],[Site Name]],SiteDB6[[Site Name]:[PWD_Total]],23,FALSE)</f>
        <v>715</v>
      </c>
      <c r="DD79" s="564">
        <f>VLOOKUP(WWWW[[#This Row],[Site Name]],SiteDB6[[Site Name]:[PWD_Total]],24,FALSE)</f>
        <v>998</v>
      </c>
      <c r="DE79" s="886"/>
      <c r="DF79" s="887"/>
      <c r="DG79" s="887"/>
      <c r="DH79" s="887"/>
    </row>
    <row r="80" spans="1:112">
      <c r="A80" s="873" t="s">
        <v>2389</v>
      </c>
      <c r="B80" s="873" t="s">
        <v>2307</v>
      </c>
      <c r="C80" s="944" t="s">
        <v>2307</v>
      </c>
      <c r="D80" s="944" t="s">
        <v>41</v>
      </c>
      <c r="E80" s="945" t="s">
        <v>2706</v>
      </c>
      <c r="F80" s="944" t="s">
        <v>299</v>
      </c>
      <c r="G80" s="874" t="str">
        <f>VLOOKUP(WWWW[[#This Row],[Site Name]],SiteDB6[[Site Name]:[Location Type]],8,FALSE)</f>
        <v>Camp</v>
      </c>
      <c r="H80" s="944" t="s">
        <v>430</v>
      </c>
      <c r="I80" s="875">
        <v>1013</v>
      </c>
      <c r="J80" s="875">
        <v>5950</v>
      </c>
      <c r="K80" s="876">
        <v>43009</v>
      </c>
      <c r="L80" s="877">
        <v>44104</v>
      </c>
      <c r="M80" s="875">
        <v>1558</v>
      </c>
      <c r="N80" s="875">
        <v>70</v>
      </c>
      <c r="O80" s="875">
        <v>242</v>
      </c>
      <c r="P80" s="875">
        <v>0</v>
      </c>
      <c r="Q80" s="878" t="s">
        <v>130</v>
      </c>
      <c r="R80" s="875">
        <v>11</v>
      </c>
      <c r="S80" s="875">
        <v>4</v>
      </c>
      <c r="T80" s="507">
        <v>34</v>
      </c>
      <c r="U80" s="507">
        <v>69</v>
      </c>
      <c r="V80" s="875"/>
      <c r="W80" s="875"/>
      <c r="X80" s="507">
        <v>10</v>
      </c>
      <c r="Y80" s="507">
        <v>8</v>
      </c>
      <c r="Z80" s="507"/>
      <c r="AA80" s="507"/>
      <c r="AB80" s="507">
        <v>1013</v>
      </c>
      <c r="AC80" s="875">
        <v>30</v>
      </c>
      <c r="AD80" s="875">
        <v>5</v>
      </c>
      <c r="AE80" s="879"/>
      <c r="AF80" s="875">
        <v>229</v>
      </c>
      <c r="AG80" s="507">
        <v>365</v>
      </c>
      <c r="AH80" s="875">
        <v>27</v>
      </c>
      <c r="AI80" s="888">
        <v>0.57999999999999996</v>
      </c>
      <c r="AJ80" s="875">
        <v>259</v>
      </c>
      <c r="AK80" s="534">
        <v>0.93</v>
      </c>
      <c r="AL80" s="534">
        <v>0.19</v>
      </c>
      <c r="AM80" s="534">
        <v>0.67</v>
      </c>
      <c r="AN80" s="534">
        <v>0.67</v>
      </c>
      <c r="AO80" s="875">
        <v>4</v>
      </c>
      <c r="AP80" s="875"/>
      <c r="AQ80" s="875">
        <v>11</v>
      </c>
      <c r="AR80" s="875" t="s">
        <v>42</v>
      </c>
      <c r="AS80" s="881"/>
      <c r="AT80" s="875">
        <v>384</v>
      </c>
      <c r="AU80" s="875">
        <v>2655</v>
      </c>
      <c r="AV80" s="875">
        <v>1015</v>
      </c>
      <c r="AW80" s="875">
        <v>1182</v>
      </c>
      <c r="AX80" s="875">
        <v>1013</v>
      </c>
      <c r="AY80" s="875"/>
      <c r="AZ80" s="589"/>
      <c r="BA80" s="875"/>
      <c r="BB80" s="589"/>
      <c r="BC80" s="888">
        <v>1</v>
      </c>
      <c r="BD80" s="882"/>
      <c r="BE80" s="534"/>
      <c r="BF80" s="534"/>
      <c r="BG80" s="507">
        <f>12%*WWWW[[#This Row],[Total PoP ]]</f>
        <v>714</v>
      </c>
      <c r="BH80" s="534">
        <v>0.35</v>
      </c>
      <c r="BI80" s="589" t="e">
        <f>WWWW[[#This Row],[Cases of Acute watery diarrhea]]/WWWW[[#This Row],[Total consultations]]</f>
        <v>#DIV/0!</v>
      </c>
      <c r="BJ80" s="535"/>
      <c r="BK80" s="881"/>
      <c r="BL80" s="881"/>
      <c r="BM80" s="883">
        <f>IFERROR(WWWW[[#This Row],['#_Water samples _passed_at_water source]]/WWWW[[#This Row],['#_Water samples_Tested_at_water_source]],"no test")</f>
        <v>0.8</v>
      </c>
      <c r="BN80" s="880" t="str">
        <f>IFERROR(WWWW[[#This Row],['#_Water samples _passed_at_HH]]/WWWW[[#This Row],['#_Water samples_Tested_at_HH]],"no test")</f>
        <v>no test</v>
      </c>
      <c r="BO80" s="884" t="str">
        <f>IF(AND(WWWW[[#This Row],[%of Water samples which passed at water source]]="no test",WWWW[[#This Row],[%Water samples which passed at HH]]="no test"),"No Test","Tested")</f>
        <v>Tested</v>
      </c>
      <c r="BP80" s="883">
        <f>IF(WWWW[[#This Row],[Total PoP ]]="","",IF(((WWWW[[#This Row],['#_Functional_improved_water_source]]*500)+(WWWW[[#This Row],['#_litres_of_water_supplied_by_existing_water_boating/trucking ]]/90/15)+(WWWW[[#This Row],['#_Functional_water_point_at_TLS/CFS]]*500))/WWWW[[#This Row],[Total PoP ]]&gt;1,1,((WWWW[[#This Row],['#_Functional_improved_water_source]]*500)+(WWWW[[#This Row],['#_litres_of_water_supplied_by_existing_water_boating/trucking ]]/90/15)+(WWWW[[#This Row],['#_Functional_water_point_at_TLS/CFS]]*500))/WWWW[[#This Row],[Total PoP ]]))</f>
        <v>1</v>
      </c>
      <c r="BQ80" s="878">
        <f>WWWW[[#This Row],[Access to safe/improved water through improved water sources]]*WWWW[[#This Row],[Total PoP ]]</f>
        <v>5950</v>
      </c>
      <c r="BR80" s="883">
        <f>IF((WWWW[[#This Row],['#_litres_of_water_stored_in_ponds]]/90/15)/WWWW[[#This Row],[Total PoP ]]&gt;1,1,(WWWW[[#This Row],['#_litres_of_water_stored_in_ponds]]/90/15)/WWWW[[#This Row],[Total PoP ]])</f>
        <v>0</v>
      </c>
      <c r="BS80" s="878">
        <f>WWWW[[#This Row],[% Access to unimproved water points]]*WWWW[[#This Row],[Total PoP ]]</f>
        <v>0</v>
      </c>
      <c r="BT80" s="883">
        <f>IF(WWWW[[#This Row],[Access to safe/improved water through improved water sources]]+WWWW[[#This Row],[% Access to unimproved water points]]&gt;1,1,WWWW[[#This Row],[Access to safe/improved water through improved water sources]]+WWWW[[#This Row],[% Access to unimproved water points]])</f>
        <v>1</v>
      </c>
      <c r="BU80" s="878">
        <f>IF(WWWW[[#This Row],['# people with equitable and continuous access to sufficient quantity of safe drinking water]]+WWWW[[#This Row],['#People access to unimproved water sources]]&gt;WWWW[[#This Row],[Total PoP ]],WWWW[[#This Row],[Total PoP ]],WWWW[[#This Row],['# people with equitable and continuous access to sufficient quantity of safe drinking water]]+WWWW[[#This Row],['#People access to unimproved water sources]])</f>
        <v>5950</v>
      </c>
      <c r="BV80" s="878">
        <f>WWWW[[#This Row],[HRP1]]/500</f>
        <v>11.9</v>
      </c>
      <c r="BW80" s="885">
        <f>1-WWWW[[#This Row],[% HRP1]]</f>
        <v>0</v>
      </c>
      <c r="BX80" s="878">
        <f>WWWW[[#This Row],[%equitable and continuous access to sufficient quantity of safe drinking and domestic water''s GAP]]*WWWW[[#This Row],[Total PoP ]]</f>
        <v>0</v>
      </c>
      <c r="BY80" s="535">
        <f>ROUND(IF(WWWW[[#This Row],[Total PoP ]]&lt;500,1,WWWW[[#This Row],[Total PoP ]]/500),0)</f>
        <v>12</v>
      </c>
      <c r="BZ80" s="884">
        <f>IF(WWWW[[#This Row],[Total required water points]]-WWWW[[#This Row],['#Water points coverage]]&lt;0,0,WWWW[[#This Row],[Total required water points]]-WWWW[[#This Row],['#Water points coverage]])</f>
        <v>9.9999999999999645E-2</v>
      </c>
      <c r="CA80" s="536">
        <f>WWWW[[#This Row],[HRP2]]/WWWW[[#This Row],[Total PoP ]]</f>
        <v>0.87563025210084033</v>
      </c>
      <c r="CB80" s="878">
        <f>IF(WWWW[[#This Row],[Total PoP ]]="",0,IF(((WWWW[[#This Row],['#_Functional_adult_latrines]]*20)+(WWWW[[#This Row],['#_of_functional_children_latrines]]*20)+WWWW[[#This Row],['#_of_PWD_with_adapted_sanitation_option]]+(WWWW[[#This Row],['#_of_latrines_in_TLS/CFS]]*50))&gt;WWWW[[#This Row],[Total PoP ]],WWWW[[#This Row],[Total PoP ]],((WWWW[[#This Row],['#_Functional_adult_latrines]]*20)+(WWWW[[#This Row],['#_of_functional_children_latrines]]*20)+WWWW[[#This Row],['#_of_PWD_with_adapted_sanitation_option]]+(WWWW[[#This Row],['#_of_latrines_in_TLS/CFS]]*50))))</f>
        <v>5210</v>
      </c>
      <c r="CC80" s="884">
        <f>IF(WWWW[[#This Row],['#_of_latrines_in_TLS/CFS]]*50&gt;WWWW[[#This Row],['#_students at TLS_CFS]],WWWW[[#This Row],['#_students at TLS_CFS]],WWWW[[#This Row],['#_of_latrines_in_TLS/CFS]]*50)</f>
        <v>550</v>
      </c>
      <c r="CD80" s="884">
        <f>ROUND(IF(WWWW[[#This Row],[Location Type 1]]="camp",WWWW[[#This Row],[Total PoP ]]/20),0)</f>
        <v>298</v>
      </c>
      <c r="CE80" s="884">
        <f>IF(WWWW[[#This Row],[Total required Latrines]]-WWWW[[#This Row],['#_Existing_latrines]]&lt;0,0,WWWW[[#This Row],[Total required Latrines]]-WWWW[[#This Row],['#_Existing_latrines]])</f>
        <v>0</v>
      </c>
      <c r="CF80" s="885">
        <f>1-WWWW[[#This Row],[% HRP2]]</f>
        <v>0.12436974789915967</v>
      </c>
      <c r="CG80" s="883">
        <f>IF(WWWW[[#This Row],['#_Existing_latrines]]="","NA",(WWWW[[#This Row],['#_Existing_latrines]]-WWWW[[#This Row],['#_Functional_adult_latrines]])/WWWW[[#This Row],['#_Existing_latrines]])</f>
        <v>0.37260273972602742</v>
      </c>
      <c r="CH80" s="878">
        <f>IF(WWWW[[#This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Row],[_'#_of_Girls_receiving_consultation_hygiene_promotion_messages_and_sessions]]&gt;WWWW[[#This Row],[Total PoP ]],WWWW[[#This Row],[Total PoP ]],WWWW[[#This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f>
        <v>5236</v>
      </c>
      <c r="CI80" s="884">
        <f>IF(WWWW[[#This Row],['#_of_affected_households_receiving_a_sufficient_quantity_of_soap]]=0,0,IF(WWWW[[#This Row],['#_of_affected_households_receiving_a_sufficient_quantity_of_soap]]&gt;=WWWW[[#This Row],[Total HH]],WWWW[[#This Row],[Total PoP ]],IF(WWWW[[#This Row],['#_of_affected_households_receiving_a_sufficient_quantity_of_soap]]*5&gt;WWWW[[#This Row],[Total PoP ]],WWWW[[#This Row],[Total PoP ]],WWWW[[#This Row],['#_of_affected_households_receiving_a_sufficient_quantity_of_soap]]*5)))</f>
        <v>5950</v>
      </c>
      <c r="CJ80" s="884">
        <f>IF(WWWW[[#This Row],['#_of_affected_women_and_girls_receiving_a_sufficient_quantity_of_sanitary_pads]]&gt;WWWW[[#This Row],[Total PoP ]],WWWW[[#This Row],[Total PoP ]],WWWW[[#This Row],['#_of_affected_women_and_girls_receiving_a_sufficient_quantity_of_sanitary_pads]])</f>
        <v>0</v>
      </c>
      <c r="CK80" s="884">
        <f>IF(WWWW[[#This Row],['# People with access to soap]]&gt;WWWW[[#This Row],['# People with access to Sanity Pads]],WWWW[[#This Row],['# People with access to soap]],WWWW[[#This Row],['# People with access to Sanity Pads]])</f>
        <v>5950</v>
      </c>
      <c r="CL80" s="884">
        <f>IF(WWWW[[#This Row],['# people reached by regular dedicated hygiene promotion_5]]&gt;WWWW[[#This Row],['# People received regular supply of hygiene items_6]],WWWW[[#This Row],['# people reached by regular dedicated hygiene promotion_5]],WWWW[[#This Row],['# People received regular supply of hygiene items_6]])</f>
        <v>5950</v>
      </c>
      <c r="CM80" s="885">
        <f>IF(WWWW[[#This Row],[HRP3]]/WWWW[[#This Row],[Total PoP ]]&gt;100%,100%,WWWW[[#This Row],[HRP3]]/WWWW[[#This Row],[Total PoP ]])</f>
        <v>1</v>
      </c>
      <c r="CN80" s="883">
        <f>1-WWWW[[#This Row],[Hygiene Coverage%]]</f>
        <v>0</v>
      </c>
      <c r="CO80" s="880">
        <f>WWWW[[#This Row],['# people reached by regular dedicated hygiene promotion_5]]/WWWW[[#This Row],[Total PoP ]]</f>
        <v>0.88</v>
      </c>
      <c r="CP80" s="883">
        <f>IF(WWWW[[#This Row],['#_of_affected_households_receiving_a_sufficient_quantity_of_soap]]/WWWW[[#This Row],[Total HH]]&gt;1,1,WWWW[[#This Row],['#_of_affected_households_receiving_a_sufficient_quantity_of_soap]]/WWWW[[#This Row],[Total HH]])</f>
        <v>1</v>
      </c>
      <c r="CQ80" s="542" t="str">
        <f>IF(WWWW[[#This Row],['#_students at TLS_CFS]]="","No","Yes")</f>
        <v>Yes</v>
      </c>
      <c r="CR80" s="534">
        <f>WWWW[[#This Row],['#_of_affected_people_surveyed_who_report_feeling_informed_about_the_different_WASH_services_available_to_them]]/WWWW[[#This Row],[Total PoP ]]</f>
        <v>0.12</v>
      </c>
      <c r="CS80" s="886" t="str">
        <f>VLOOKUP(WWWW[[#This Row],[Site Name]],SiteDB6[[Site Name]:[CCCM Management]],6,FALSE)</f>
        <v>Yes</v>
      </c>
      <c r="CT80" s="886">
        <f>VLOOKUP(WWWW[[#This Row],[Site Name]],SiteDB6[[Site Name]:[CCCM Focal Agency]],7,FALSE)</f>
        <v>0</v>
      </c>
      <c r="CU80" s="886" t="str">
        <f>VLOOKUP(WWWW[[#This Row],[Site Name]],SiteDB6[[Site Name]:[Location Type 1]],9,FALSE)</f>
        <v>Camp</v>
      </c>
      <c r="CV80" s="886" t="str">
        <f>VLOOKUP(WWWW[[#This Row],[Site Name]],SiteDB6[[Site Name]:[Type of Accommodation]],10,FALSE)</f>
        <v>Planned Camp</v>
      </c>
      <c r="CW80" s="886" t="str">
        <f>VLOOKUP(WWWW[[#This Row],[Site Name]],SiteDB6[[Site Name]:[Ethnic or GCA/NGCA]],11,FALSE)</f>
        <v>Muslim</v>
      </c>
      <c r="CX80" s="886">
        <f>VLOOKUP(WWWW[[#This Row],[Site Name]],SiteDB6[[Site Name]:[Lat]],12,FALSE)</f>
        <v>20.179939999999998</v>
      </c>
      <c r="CY80" s="886">
        <f>VLOOKUP(WWWW[[#This Row],[Site Name]],SiteDB6[[Site Name]:[Long]],13,FALSE)</f>
        <v>92.831879000000001</v>
      </c>
      <c r="CZ80" s="886" t="str">
        <f>VLOOKUP(WWWW[[#This Row],[Site Name]],SiteDB6[[Site Name]:[Pcode]],3,FALSE)</f>
        <v>MMR012CMP048</v>
      </c>
      <c r="DA80" s="887" t="str">
        <f t="shared" si="2"/>
        <v>Covered</v>
      </c>
      <c r="DB80" s="564">
        <f>VLOOKUP(WWWW[[#This Row],[Site Name]],SiteDB6[[Site Name]:[PWD_Total]],22,FALSE)</f>
        <v>111</v>
      </c>
      <c r="DC80" s="564">
        <f>VLOOKUP(WWWW[[#This Row],[Site Name]],SiteDB6[[Site Name]:[PWD_Total]],23,FALSE)</f>
        <v>853</v>
      </c>
      <c r="DD80" s="564">
        <f>VLOOKUP(WWWW[[#This Row],[Site Name]],SiteDB6[[Site Name]:[PWD_Total]],24,FALSE)</f>
        <v>964</v>
      </c>
      <c r="DE80" s="886"/>
      <c r="DF80" s="887"/>
      <c r="DG80" s="887"/>
      <c r="DH80" s="887"/>
    </row>
    <row r="81" spans="1:112">
      <c r="A81" s="873" t="s">
        <v>2389</v>
      </c>
      <c r="B81" s="873" t="s">
        <v>2702</v>
      </c>
      <c r="C81" s="944" t="s">
        <v>2307</v>
      </c>
      <c r="D81" s="944" t="s">
        <v>41</v>
      </c>
      <c r="E81" s="945" t="s">
        <v>2706</v>
      </c>
      <c r="F81" s="944" t="s">
        <v>299</v>
      </c>
      <c r="G81" s="874" t="str">
        <f>VLOOKUP(WWWW[[#This Row],[Site Name]],SiteDB6[[Site Name]:[Location Type]],8,FALSE)</f>
        <v>Camp</v>
      </c>
      <c r="H81" s="944" t="s">
        <v>432</v>
      </c>
      <c r="I81" s="875">
        <v>299</v>
      </c>
      <c r="J81" s="875">
        <v>1670</v>
      </c>
      <c r="K81" s="876">
        <v>43009</v>
      </c>
      <c r="L81" s="877">
        <v>44104</v>
      </c>
      <c r="M81" s="875">
        <v>870</v>
      </c>
      <c r="N81" s="875"/>
      <c r="O81" s="875">
        <v>18</v>
      </c>
      <c r="P81" s="875">
        <v>0</v>
      </c>
      <c r="Q81" s="878" t="s">
        <v>130</v>
      </c>
      <c r="R81" s="875">
        <v>2</v>
      </c>
      <c r="S81" s="875"/>
      <c r="T81" s="589"/>
      <c r="U81" s="875"/>
      <c r="V81" s="875"/>
      <c r="W81" s="875"/>
      <c r="X81" s="507">
        <v>28</v>
      </c>
      <c r="Y81" s="507">
        <v>25</v>
      </c>
      <c r="Z81" s="507">
        <v>23</v>
      </c>
      <c r="AA81" s="507">
        <v>16</v>
      </c>
      <c r="AB81" s="507">
        <v>299</v>
      </c>
      <c r="AC81" s="875">
        <v>30</v>
      </c>
      <c r="AD81" s="875">
        <v>6</v>
      </c>
      <c r="AE81" s="879"/>
      <c r="AF81" s="875"/>
      <c r="AG81" s="875"/>
      <c r="AH81" s="875"/>
      <c r="AI81" s="880"/>
      <c r="AJ81" s="875"/>
      <c r="AK81" s="880"/>
      <c r="AL81" s="880"/>
      <c r="AM81" s="880"/>
      <c r="AN81" s="880"/>
      <c r="AO81" s="875">
        <v>0</v>
      </c>
      <c r="AP81" s="875"/>
      <c r="AQ81" s="875"/>
      <c r="AR81" s="875" t="s">
        <v>130</v>
      </c>
      <c r="AS81" s="881"/>
      <c r="AT81" s="875"/>
      <c r="AU81" s="875"/>
      <c r="AV81" s="875"/>
      <c r="AW81" s="875"/>
      <c r="AX81" s="875">
        <v>299</v>
      </c>
      <c r="AY81" s="875"/>
      <c r="AZ81" s="589"/>
      <c r="BA81" s="875"/>
      <c r="BB81" s="589"/>
      <c r="BC81" s="880"/>
      <c r="BD81" s="882"/>
      <c r="BE81" s="534"/>
      <c r="BF81" s="534"/>
      <c r="BG81" s="589"/>
      <c r="BH81" s="534"/>
      <c r="BI81" s="589" t="e">
        <f>WWWW[[#This Row],[Cases of Acute watery diarrhea]]/WWWW[[#This Row],[Total consultations]]</f>
        <v>#DIV/0!</v>
      </c>
      <c r="BJ81" s="535"/>
      <c r="BK81" s="881"/>
      <c r="BL81" s="881"/>
      <c r="BM81" s="883">
        <f>IFERROR(WWWW[[#This Row],['#_Water samples _passed_at_water source]]/WWWW[[#This Row],['#_Water samples_Tested_at_water_source]],"no test")</f>
        <v>0.8928571428571429</v>
      </c>
      <c r="BN81" s="880">
        <f>IFERROR(WWWW[[#This Row],['#_Water samples _passed_at_HH]]/WWWW[[#This Row],['#_Water samples_Tested_at_HH]],"no test")</f>
        <v>0.69565217391304346</v>
      </c>
      <c r="BO81" s="884" t="str">
        <f>IF(AND(WWWW[[#This Row],[%of Water samples which passed at water source]]="no test",WWWW[[#This Row],[%Water samples which passed at HH]]="no test"),"No Test","Tested")</f>
        <v>Tested</v>
      </c>
      <c r="BP81" s="883">
        <f>IF(WWWW[[#This Row],[Total PoP ]]="","",IF(((WWWW[[#This Row],['#_Functional_improved_water_source]]*500)+(WWWW[[#This Row],['#_litres_of_water_supplied_by_existing_water_boating/trucking ]]/90/15)+(WWWW[[#This Row],['#_Functional_water_point_at_TLS/CFS]]*500))/WWWW[[#This Row],[Total PoP ]]&gt;1,1,((WWWW[[#This Row],['#_Functional_improved_water_source]]*500)+(WWWW[[#This Row],['#_litres_of_water_supplied_by_existing_water_boating/trucking ]]/90/15)+(WWWW[[#This Row],['#_Functional_water_point_at_TLS/CFS]]*500))/WWWW[[#This Row],[Total PoP ]]))</f>
        <v>1</v>
      </c>
      <c r="BQ81" s="878">
        <f>WWWW[[#This Row],[Access to safe/improved water through improved water sources]]*WWWW[[#This Row],[Total PoP ]]</f>
        <v>1670</v>
      </c>
      <c r="BR81" s="883">
        <f>IF((WWWW[[#This Row],['#_litres_of_water_stored_in_ponds]]/90/15)/WWWW[[#This Row],[Total PoP ]]&gt;1,1,(WWWW[[#This Row],['#_litres_of_water_stored_in_ponds]]/90/15)/WWWW[[#This Row],[Total PoP ]])</f>
        <v>0</v>
      </c>
      <c r="BS81" s="878">
        <f>WWWW[[#This Row],[% Access to unimproved water points]]*WWWW[[#This Row],[Total PoP ]]</f>
        <v>0</v>
      </c>
      <c r="BT81" s="883">
        <f>IF(WWWW[[#This Row],[Access to safe/improved water through improved water sources]]+WWWW[[#This Row],[% Access to unimproved water points]]&gt;1,1,WWWW[[#This Row],[Access to safe/improved water through improved water sources]]+WWWW[[#This Row],[% Access to unimproved water points]])</f>
        <v>1</v>
      </c>
      <c r="BU81" s="878">
        <f>IF(WWWW[[#This Row],['# people with equitable and continuous access to sufficient quantity of safe drinking water]]+WWWW[[#This Row],['#People access to unimproved water sources]]&gt;WWWW[[#This Row],[Total PoP ]],WWWW[[#This Row],[Total PoP ]],WWWW[[#This Row],['# people with equitable and continuous access to sufficient quantity of safe drinking water]]+WWWW[[#This Row],['#People access to unimproved water sources]])</f>
        <v>1670</v>
      </c>
      <c r="BV81" s="878">
        <f>WWWW[[#This Row],[HRP1]]/500</f>
        <v>3.34</v>
      </c>
      <c r="BW81" s="885">
        <f>1-WWWW[[#This Row],[% HRP1]]</f>
        <v>0</v>
      </c>
      <c r="BX81" s="878">
        <f>WWWW[[#This Row],[%equitable and continuous access to sufficient quantity of safe drinking and domestic water''s GAP]]*WWWW[[#This Row],[Total PoP ]]</f>
        <v>0</v>
      </c>
      <c r="BY81" s="535">
        <f>ROUND(IF(WWWW[[#This Row],[Total PoP ]]&lt;500,1,WWWW[[#This Row],[Total PoP ]]/500),0)</f>
        <v>3</v>
      </c>
      <c r="BZ81" s="884">
        <f>IF(WWWW[[#This Row],[Total required water points]]-WWWW[[#This Row],['#Water points coverage]]&lt;0,0,WWWW[[#This Row],[Total required water points]]-WWWW[[#This Row],['#Water points coverage]])</f>
        <v>0</v>
      </c>
      <c r="CA81" s="536">
        <f>WWWW[[#This Row],[HRP2]]/WWWW[[#This Row],[Total PoP ]]</f>
        <v>0</v>
      </c>
      <c r="CB81" s="878">
        <f>IF(WWWW[[#This Row],[Total PoP ]]="",0,IF(((WWWW[[#This Row],['#_Functional_adult_latrines]]*20)+(WWWW[[#This Row],['#_of_functional_children_latrines]]*20)+WWWW[[#This Row],['#_of_PWD_with_adapted_sanitation_option]]+(WWWW[[#This Row],['#_of_latrines_in_TLS/CFS]]*50))&gt;WWWW[[#This Row],[Total PoP ]],WWWW[[#This Row],[Total PoP ]],((WWWW[[#This Row],['#_Functional_adult_latrines]]*20)+(WWWW[[#This Row],['#_of_functional_children_latrines]]*20)+WWWW[[#This Row],['#_of_PWD_with_adapted_sanitation_option]]+(WWWW[[#This Row],['#_of_latrines_in_TLS/CFS]]*50))))</f>
        <v>0</v>
      </c>
      <c r="CC81" s="884">
        <f>IF(WWWW[[#This Row],['#_of_latrines_in_TLS/CFS]]*50&gt;WWWW[[#This Row],['#_students at TLS_CFS]],WWWW[[#This Row],['#_students at TLS_CFS]],WWWW[[#This Row],['#_of_latrines_in_TLS/CFS]]*50)</f>
        <v>0</v>
      </c>
      <c r="CD81" s="884">
        <f>ROUND(IF(WWWW[[#This Row],[Location Type 1]]="camp",WWWW[[#This Row],[Total PoP ]]/20),0)</f>
        <v>84</v>
      </c>
      <c r="CE81" s="884">
        <f>IF(WWWW[[#This Row],[Total required Latrines]]-WWWW[[#This Row],['#_Existing_latrines]]&lt;0,0,WWWW[[#This Row],[Total required Latrines]]-WWWW[[#This Row],['#_Existing_latrines]])</f>
        <v>84</v>
      </c>
      <c r="CF81" s="885">
        <f>1-WWWW[[#This Row],[% HRP2]]</f>
        <v>1</v>
      </c>
      <c r="CG81" s="883" t="str">
        <f>IF(WWWW[[#This Row],['#_Existing_latrines]]="","NA",(WWWW[[#This Row],['#_Existing_latrines]]-WWWW[[#This Row],['#_Functional_adult_latrines]])/WWWW[[#This Row],['#_Existing_latrines]])</f>
        <v>NA</v>
      </c>
      <c r="CH81" s="878">
        <f>IF(WWWW[[#This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Row],[_'#_of_Girls_receiving_consultation_hygiene_promotion_messages_and_sessions]]&gt;WWWW[[#This Row],[Total PoP ]],WWWW[[#This Row],[Total PoP ]],WWWW[[#This Row],[_'#_of_Men_receiving_consultation_hygiene_promotion_messages_and_sessions]]+WWWW[[#This Row],[_'#_of_Women_receiving_consultation_hygiene_promotion_messages_and_sessions]]+WWWW[[#This Row],[_'#_of_Boys_receiving_consultation_hygiene_promotion_messages_and_sessions]]+WWWW[[#This Row],[_'#_of_Girls_receiving_consultation_hygiene_promotion_messages_and_sessions]])</f>
        <v>0</v>
      </c>
      <c r="CI81" s="884">
        <f>IF(WWWW[[#This Row],['#_of_affected_households_receiving_a_sufficient_quantity_of_soap]]=0,0,IF(WWWW[[#This Row],['#_of_affected_households_receiving_a_sufficient_quantity_of_soap]]&gt;=WWWW[[#This Row],[Total HH]],WWWW[[#This Row],[Total PoP ]],IF(WWWW[[#This Row],['#_of_affected_households_receiving_a_sufficient_quantity_of_soap]]*5&gt;WWWW[[#This Row],[Total PoP ]],WWWW[[#This Row],[Total PoP ]],WWWW[[#This Row],['#_of_affected_households_receiving_a_sufficient_quantity_of_soap]]*5)))</f>
        <v>1670</v>
      </c>
      <c r="CJ81" s="884">
        <f>IF(WWWW[[#This Row],['#_of_affected_women_and_girls_receiving_a_sufficient_quantity_of_sanitary_pads]]&gt;WWWW[[#This Row],[Total PoP ]],WWWW[[#This Row],[Total PoP ]],WWWW[[#This Row],['#_of_affected_women_and_girls_receiving_a_sufficient_quantity_of_sanitary_pads]])</f>
        <v>0</v>
      </c>
      <c r="CK81" s="884">
        <f>IF(WWWW[[#This Row],['# People with access to soap]]&gt;WWWW[[#This Row],['# People with access to Sanity Pads]],WWWW[[#This Row],['# People with access to soap]],WWWW[[#This Row],['# People with access to Sanity Pads]])</f>
        <v>1670</v>
      </c>
      <c r="CL81" s="884">
        <f>IF(WWWW[[#This Row],['# people reached by regular dedicated hygiene promotion_5]]&gt;WWWW[[#This Row],['# People received regular supply of hygiene items_6]],WWWW[[#This Row],['# people reached by regular dedicated hygiene promotion_5]],WWWW[[#This Row],['# People received regular supply of hygiene items_6]])</f>
        <v>1670</v>
      </c>
      <c r="CM81" s="885">
        <f>IF(WWWW[[#This Row],[HRP3]]/WWWW[[#This Row],[Total PoP ]]&gt;100%,100%,WWWW[[#This Row],[HRP3]]/WWWW[[#This Row],[Total PoP ]])</f>
        <v>1</v>
      </c>
      <c r="CN81" s="883">
        <f>1-WWWW[[#This Row],[Hygiene Coverage%]]</f>
        <v>0</v>
      </c>
      <c r="CO81" s="880">
        <f>WWWW[[#This Row],['# people reached by regular dedicated hygiene promotion_5]]/WWWW[[#This Row],[Total PoP ]]</f>
        <v>0</v>
      </c>
      <c r="CP81" s="883">
        <f>IF(WWWW[[#This Row],['#_of_affected_households_receiving_a_sufficient_quantity_of_soap]]/WWWW[[#This Row],[Total HH]]&gt;1,1,WWWW[[#This Row],['#_of_affected_households_receiving_a_sufficient_quantity_of_soap]]/WWWW[[#This Row],[Total HH]])</f>
        <v>1</v>
      </c>
      <c r="CQ81" s="542" t="str">
        <f>IF(WWWW[[#This Row],['#_students at TLS_CFS]]="","No","Yes")</f>
        <v>Yes</v>
      </c>
      <c r="CR81" s="534"/>
      <c r="CS81" s="886" t="str">
        <f>VLOOKUP(WWWW[[#This Row],[Site Name]],SiteDB6[[Site Name]:[CCCM Management]],6,FALSE)</f>
        <v>Yes</v>
      </c>
      <c r="CT81" s="886">
        <f>VLOOKUP(WWWW[[#This Row],[Site Name]],SiteDB6[[Site Name]:[CCCM Focal Agency]],7,FALSE)</f>
        <v>0</v>
      </c>
      <c r="CU81" s="886" t="str">
        <f>VLOOKUP(WWWW[[#This Row],[Site Name]],SiteDB6[[Site Name]:[Location Type 1]],9,FALSE)</f>
        <v>Camp</v>
      </c>
      <c r="CV81" s="886" t="str">
        <f>VLOOKUP(WWWW[[#This Row],[Site Name]],SiteDB6[[Site Name]:[Type of Accommodation]],10,FALSE)</f>
        <v>Host Families</v>
      </c>
      <c r="CW81" s="886" t="str">
        <f>VLOOKUP(WWWW[[#This Row],[Site Name]],SiteDB6[[Site Name]:[Ethnic or GCA/NGCA]],11,FALSE)</f>
        <v>Muslim</v>
      </c>
      <c r="CX81" s="886">
        <f>VLOOKUP(WWWW[[#This Row],[Site Name]],SiteDB6[[Site Name]:[Lat]],12,FALSE)</f>
        <v>20.181742</v>
      </c>
      <c r="CY81" s="886">
        <f>VLOOKUP(WWWW[[#This Row],[Site Name]],SiteDB6[[Site Name]:[Long]],13,FALSE)</f>
        <v>92.842230000000001</v>
      </c>
      <c r="CZ81" s="886" t="str">
        <f>VLOOKUP(WWWW[[#This Row],[Site Name]],SiteDB6[[Site Name]:[Pcode]],3,FALSE)</f>
        <v>MMR012CMP091</v>
      </c>
      <c r="DA81" s="887" t="str">
        <f t="shared" si="2"/>
        <v>Covered</v>
      </c>
      <c r="DB81" s="564">
        <f>VLOOKUP(WWWW[[#This Row],[Site Name]],SiteDB6[[Site Name]:[PWD_Total]],22,FALSE)</f>
        <v>0</v>
      </c>
      <c r="DC81" s="564">
        <f>VLOOKUP(WWWW[[#This Row],[Site Name]],SiteDB6[[Site Name]:[PWD_Total]],23,FALSE)</f>
        <v>0</v>
      </c>
      <c r="DD81" s="564">
        <f>VLOOKUP(WWWW[[#This Row],[Site Name]],SiteDB6[[Site Name]:[PWD_Total]],24,FALSE)</f>
        <v>0</v>
      </c>
      <c r="DE81" s="886"/>
      <c r="DF81" s="887"/>
      <c r="DG81" s="887"/>
      <c r="DH81" s="887"/>
    </row>
  </sheetData>
  <mergeCells count="18">
    <mergeCell ref="DF4:DH4"/>
    <mergeCell ref="CG2:CG3"/>
    <mergeCell ref="CD2:CD3"/>
    <mergeCell ref="CE2:CF3"/>
    <mergeCell ref="BV2:BV3"/>
    <mergeCell ref="CC2:CC3"/>
    <mergeCell ref="CB2:CB3"/>
    <mergeCell ref="BW2:BX3"/>
    <mergeCell ref="BY2:BZ2"/>
    <mergeCell ref="BT2:BT3"/>
    <mergeCell ref="BU2:BU3"/>
    <mergeCell ref="BM5:BO5"/>
    <mergeCell ref="BW5:BX5"/>
    <mergeCell ref="K1:L1"/>
    <mergeCell ref="BM2:BO3"/>
    <mergeCell ref="BP2:BP3"/>
    <mergeCell ref="BQ2:BQ3"/>
    <mergeCell ref="BR2:BS3"/>
  </mergeCells>
  <conditionalFormatting sqref="CN2 CH2">
    <cfRule type="iconSet" priority="174">
      <iconSet reverse="1">
        <cfvo type="percent" val="0"/>
        <cfvo type="percent" val="0" gte="0"/>
        <cfvo type="percent" val="30"/>
      </iconSet>
    </cfRule>
  </conditionalFormatting>
  <conditionalFormatting sqref="DK7:DK31 DM32:DM1048576">
    <cfRule type="iconSet" priority="11621">
      <iconSet reverse="1">
        <cfvo type="percent" val="0"/>
        <cfvo type="percent" val="0" gte="0"/>
        <cfvo type="percent" val="30"/>
      </iconSet>
    </cfRule>
  </conditionalFormatting>
  <conditionalFormatting sqref="CH5">
    <cfRule type="iconSet" priority="22">
      <iconSet reverse="1">
        <cfvo type="percent" val="0"/>
        <cfvo type="percent" val="0" gte="0"/>
        <cfvo type="percent" val="30"/>
      </iconSet>
    </cfRule>
  </conditionalFormatting>
  <conditionalFormatting sqref="CN4">
    <cfRule type="iconSet" priority="19">
      <iconSet reverse="1">
        <cfvo type="percent" val="0"/>
        <cfvo type="percent" val="0" gte="0"/>
        <cfvo type="percent" val="30"/>
      </iconSet>
    </cfRule>
  </conditionalFormatting>
  <conditionalFormatting sqref="BW4">
    <cfRule type="iconSet" priority="21">
      <iconSet reverse="1">
        <cfvo type="percent" val="0"/>
        <cfvo type="percent" val="0" gte="0"/>
        <cfvo type="percent" val="30"/>
      </iconSet>
    </cfRule>
  </conditionalFormatting>
  <conditionalFormatting sqref="CN3">
    <cfRule type="iconSet" priority="16">
      <iconSet reverse="1">
        <cfvo type="percent" val="0"/>
        <cfvo type="percent" val="0" gte="0"/>
        <cfvo type="percent" val="30"/>
      </iconSet>
    </cfRule>
  </conditionalFormatting>
  <conditionalFormatting sqref="CF4">
    <cfRule type="iconSet" priority="11710">
      <iconSet reverse="1">
        <cfvo type="percent" val="0"/>
        <cfvo type="percent" val="0" gte="0"/>
        <cfvo type="percent" val="30"/>
      </iconSet>
    </cfRule>
  </conditionalFormatting>
  <conditionalFormatting sqref="CG5 CC5">
    <cfRule type="iconSet" priority="11730">
      <iconSet reverse="1">
        <cfvo type="percent" val="0"/>
        <cfvo type="percent" val="0" gte="0"/>
        <cfvo type="percent" val="10"/>
      </iconSet>
    </cfRule>
  </conditionalFormatting>
  <conditionalFormatting sqref="BX4">
    <cfRule type="iconSet" priority="12">
      <iconSet reverse="1">
        <cfvo type="percent" val="0"/>
        <cfvo type="percent" val="0" gte="0"/>
        <cfvo type="percent" val="30"/>
      </iconSet>
    </cfRule>
  </conditionalFormatting>
  <conditionalFormatting sqref="BY4">
    <cfRule type="iconSet" priority="8">
      <iconSet reverse="1">
        <cfvo type="percent" val="0"/>
        <cfvo type="percent" val="0" gte="0"/>
        <cfvo type="percent" val="30"/>
      </iconSet>
    </cfRule>
  </conditionalFormatting>
  <conditionalFormatting sqref="BZ4">
    <cfRule type="iconSet" priority="7">
      <iconSet reverse="1">
        <cfvo type="percent" val="0"/>
        <cfvo type="percent" val="0" gte="0"/>
        <cfvo type="percent" val="30"/>
      </iconSet>
    </cfRule>
  </conditionalFormatting>
  <conditionalFormatting sqref="CF7:CF81">
    <cfRule type="iconSet" priority="12204">
      <iconSet reverse="1">
        <cfvo type="percent" val="0"/>
        <cfvo type="percent" val="0" gte="0"/>
        <cfvo type="percent" val="30"/>
      </iconSet>
    </cfRule>
  </conditionalFormatting>
  <conditionalFormatting sqref="BW7:BW81">
    <cfRule type="iconSet" priority="12206">
      <iconSet reverse="1">
        <cfvo type="percent" val="0"/>
        <cfvo type="percent" val="0" gte="0"/>
        <cfvo type="percent" val="30"/>
      </iconSet>
    </cfRule>
  </conditionalFormatting>
  <conditionalFormatting sqref="CN7:CN81">
    <cfRule type="iconSet" priority="12208">
      <iconSet reverse="1">
        <cfvo type="percent" val="0"/>
        <cfvo type="percent" val="0" gte="0"/>
        <cfvo type="percent" val="30"/>
      </iconSet>
    </cfRule>
  </conditionalFormatting>
  <conditionalFormatting sqref="BI7:BI81">
    <cfRule type="iconSet" priority="12210">
      <iconSet reverse="1">
        <cfvo type="percent" val="0"/>
        <cfvo type="num" val="0.03"/>
        <cfvo type="num" val="0.05"/>
      </iconSet>
    </cfRule>
  </conditionalFormatting>
  <conditionalFormatting sqref="BI57:BI81">
    <cfRule type="iconSet" priority="1">
      <iconSet reverse="1">
        <cfvo type="percent" val="0"/>
        <cfvo type="num" val="0.03"/>
        <cfvo type="num" val="0.05"/>
      </iconSet>
    </cfRule>
  </conditionalFormatting>
  <dataValidations count="8">
    <dataValidation type="list" allowBlank="1" showInputMessage="1" showErrorMessage="1" sqref="E82:F1048576 H82:H1048576 K82:K1048576 C82:C1048576" xr:uid="{00000000-0002-0000-0200-000000000000}">
      <formula1>#REF!</formula1>
    </dataValidation>
    <dataValidation type="whole" allowBlank="1" showInputMessage="1" showErrorMessage="1" sqref="V7:W27 BG7 BG16:BG31 V29:W31 AC64:AC81 AO7:AQ81 T7:U81 AT77:AY81 AJ7:AJ81 AD7:AD81 AC7:AC57 X7:AB81 AF7:AH81 AT76:AW76 AY76 AT7:AY75" xr:uid="{80C2E29D-2256-4657-88F5-332E690081BA}">
      <formula1>0</formula1>
      <formula2>100000</formula2>
    </dataValidation>
    <dataValidation type="list" allowBlank="1" showInputMessage="1" showErrorMessage="1" sqref="E7:E81" xr:uid="{00000000-0002-0000-0200-000001000000}">
      <formula1>"Kachin, Central Rakhine, Northern Rakhine, Shan (North)"</formula1>
    </dataValidation>
    <dataValidation type="whole" operator="lessThan" allowBlank="1" showInputMessage="1" showErrorMessage="1" sqref="M7:P81 R7:S81" xr:uid="{00000000-0002-0000-0200-000005000000}">
      <formula1>999999</formula1>
    </dataValidation>
    <dataValidation type="list" allowBlank="1" showInputMessage="1" showErrorMessage="1" sqref="AR7:AR81 Q7:Q81 BJ7:BJ81" xr:uid="{00000000-0002-0000-0200-000003000000}">
      <formula1>"Yes,No"</formula1>
    </dataValidation>
    <dataValidation type="list" allowBlank="1" showInputMessage="1" showErrorMessage="1" sqref="DA7:DA81" xr:uid="{00000000-0002-0000-0200-000002000000}">
      <formula1>"Covered, Not_covered"</formula1>
    </dataValidation>
    <dataValidation type="list" allowBlank="1" showInputMessage="1" showErrorMessage="1" sqref="H7:H81" xr:uid="{00000000-0002-0000-0200-000004000000}">
      <formula1>OFFSET(Township_start,MATCH(F7,Township_list, 0),1, COUNTIF(Township_list,F7),1)</formula1>
    </dataValidation>
    <dataValidation type="list" allowBlank="1" showInputMessage="1" showErrorMessage="1" sqref="F7:F81" xr:uid="{00000000-0002-0000-0200-00000B000000}">
      <formula1>OFFSET(Statestart_1,MATCH(E7, State_list, 0), 1,COUNTIF(State_list,E7),1)</formula1>
    </dataValidation>
  </dataValidations>
  <pageMargins left="0.7" right="0.7" top="0.75" bottom="0.75" header="0.3" footer="0.3"/>
  <pageSetup orientation="portrait" r:id="rId1"/>
  <legacyDrawing r:id="rId2"/>
  <tableParts count="1">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C000000}">
          <x14:formula1>
            <xm:f>Lookup!$B$4:$B$60</xm:f>
          </x14:formula1>
          <xm:sqref>B7:B31 C7:C70 C72:C73 C76:C81</xm:sqref>
        </x14:dataValidation>
        <x14:dataValidation type="list" allowBlank="1" showInputMessage="1" showErrorMessage="1" xr:uid="{00000000-0002-0000-0200-00000E000000}">
          <x14:formula1>
            <xm:f>Lookup!$A$4:$A$7</xm:f>
          </x14:formula1>
          <xm:sqref>A7:A81</xm:sqref>
        </x14:dataValidation>
        <x14:dataValidation type="list" allowBlank="1" showInputMessage="1" showErrorMessage="1" xr:uid="{C3975D37-276A-4175-A09F-EFEE542D5B28}">
          <x14:formula1>
            <xm:f>'C:\Users\lnway\Documents\2019 Q4 4W\SCI\[SCI_File_Myanmar_WASH_4W_2019_Q4_Rakhine_Camp_20200110.xlsx]Lookup'!#REF!</xm:f>
          </x14:formula1>
          <xm:sqref>C74:C75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111"/>
  <sheetViews>
    <sheetView zoomScale="110" zoomScaleNormal="110" workbookViewId="0">
      <pane xSplit="3" ySplit="295" topLeftCell="D296" activePane="bottomRight" state="frozen"/>
      <selection pane="topRight" activeCell="D1" sqref="D1"/>
      <selection pane="bottomLeft" activeCell="A296" sqref="A296"/>
      <selection pane="bottomRight" activeCell="E16" sqref="E16"/>
    </sheetView>
  </sheetViews>
  <sheetFormatPr defaultColWidth="9" defaultRowHeight="14.25" customHeight="1"/>
  <cols>
    <col min="1" max="1" width="13.125" bestFit="1" customWidth="1"/>
    <col min="2" max="2" width="17" style="17" customWidth="1"/>
    <col min="3" max="3" width="37" style="101" bestFit="1" customWidth="1"/>
    <col min="4" max="4" width="16.5" style="44" customWidth="1"/>
    <col min="5" max="7" width="19.5" style="17" customWidth="1"/>
    <col min="8" max="8" width="13.25" style="17" customWidth="1"/>
    <col min="9" max="9" width="16.375" style="17" customWidth="1"/>
    <col min="10" max="10" width="11.25" style="17" customWidth="1"/>
    <col min="11" max="11" width="7.75" style="17" customWidth="1"/>
    <col min="12" max="12" width="12.75" style="17" customWidth="1"/>
    <col min="13" max="13" width="14.875" style="17" customWidth="1"/>
    <col min="14" max="14" width="15" style="17" customWidth="1"/>
    <col min="15" max="15" width="8.5" style="17" customWidth="1"/>
    <col min="16" max="17" width="7.75" style="17" customWidth="1"/>
    <col min="18" max="18" width="18.25" style="17" customWidth="1"/>
    <col min="19" max="20" width="10.5" style="17" customWidth="1"/>
    <col min="21" max="21" width="10.125" style="43" customWidth="1"/>
    <col min="22" max="22" width="9" customWidth="1"/>
    <col min="23" max="23" width="12.125" style="103" customWidth="1"/>
    <col min="24" max="24" width="10.625" style="45" bestFit="1" customWidth="1"/>
    <col min="25" max="25" width="16.625" style="17" customWidth="1"/>
    <col min="26" max="26" width="9" style="102"/>
    <col min="27" max="16384" width="9" style="17"/>
  </cols>
  <sheetData>
    <row r="1" spans="1:26" ht="14.25" customHeight="1">
      <c r="A1" s="530"/>
      <c r="C1" s="552"/>
      <c r="V1" s="530"/>
    </row>
    <row r="2" spans="1:26" ht="14.25" customHeight="1">
      <c r="A2" s="17" t="s">
        <v>22</v>
      </c>
      <c r="B2" s="17" t="s">
        <v>23</v>
      </c>
      <c r="C2" s="70" t="s">
        <v>24</v>
      </c>
      <c r="D2" s="17" t="s">
        <v>1651</v>
      </c>
      <c r="E2" s="17" t="s">
        <v>34</v>
      </c>
      <c r="F2" s="17" t="s">
        <v>1652</v>
      </c>
      <c r="G2" s="17" t="s">
        <v>1653</v>
      </c>
      <c r="H2" s="17" t="s">
        <v>28</v>
      </c>
      <c r="I2" s="17" t="s">
        <v>29</v>
      </c>
      <c r="J2" s="17" t="s">
        <v>128</v>
      </c>
      <c r="K2" s="17" t="s">
        <v>129</v>
      </c>
      <c r="L2" s="17" t="s">
        <v>754</v>
      </c>
      <c r="M2" s="17" t="s">
        <v>31</v>
      </c>
      <c r="N2" s="17" t="s">
        <v>32</v>
      </c>
      <c r="O2" s="17" t="s">
        <v>33</v>
      </c>
      <c r="P2" s="17" t="s">
        <v>755</v>
      </c>
      <c r="Q2" s="17" t="s">
        <v>756</v>
      </c>
      <c r="R2" s="69" t="s">
        <v>2784</v>
      </c>
      <c r="S2" s="69" t="s">
        <v>2785</v>
      </c>
      <c r="T2" s="103" t="s">
        <v>757</v>
      </c>
      <c r="U2" s="45" t="s">
        <v>36</v>
      </c>
      <c r="V2" s="17" t="s">
        <v>758</v>
      </c>
      <c r="W2" s="17" t="s">
        <v>2233</v>
      </c>
      <c r="X2" s="17" t="s">
        <v>3106</v>
      </c>
      <c r="Y2" s="17" t="s">
        <v>3107</v>
      </c>
      <c r="Z2" s="17" t="s">
        <v>3108</v>
      </c>
    </row>
    <row r="3" spans="1:26" s="70" customFormat="1" ht="14.25" customHeight="1">
      <c r="A3" s="422" t="s">
        <v>2706</v>
      </c>
      <c r="B3" s="197" t="s">
        <v>361</v>
      </c>
      <c r="C3" s="198" t="s">
        <v>2766</v>
      </c>
      <c r="D3" s="420" t="s">
        <v>1654</v>
      </c>
      <c r="E3" s="449">
        <v>198645</v>
      </c>
      <c r="F3" s="193"/>
      <c r="G3" s="193"/>
      <c r="H3" s="193"/>
      <c r="I3" s="193"/>
      <c r="J3" s="193" t="s">
        <v>798</v>
      </c>
      <c r="K3" s="193" t="s">
        <v>798</v>
      </c>
      <c r="L3" s="193" t="s">
        <v>798</v>
      </c>
      <c r="M3" s="193" t="s">
        <v>298</v>
      </c>
      <c r="N3" s="193">
        <v>19.18421936</v>
      </c>
      <c r="O3" s="193">
        <v>93.699806210000006</v>
      </c>
      <c r="P3" s="193" t="s">
        <v>799</v>
      </c>
      <c r="Q3" s="193" t="s">
        <v>780</v>
      </c>
      <c r="R3" s="194"/>
      <c r="S3" s="192"/>
      <c r="T3" s="195"/>
      <c r="U3" s="196"/>
      <c r="V3" s="193" t="s">
        <v>364</v>
      </c>
      <c r="W3" s="421"/>
      <c r="X3" s="539"/>
      <c r="Y3" s="539"/>
      <c r="Z3" s="539"/>
    </row>
    <row r="4" spans="1:26" s="70" customFormat="1" ht="14.25" customHeight="1">
      <c r="A4" s="422" t="s">
        <v>2706</v>
      </c>
      <c r="B4" s="205" t="s">
        <v>361</v>
      </c>
      <c r="C4" s="206" t="s">
        <v>366</v>
      </c>
      <c r="D4" s="420" t="s">
        <v>1654</v>
      </c>
      <c r="E4" s="201">
        <v>198647</v>
      </c>
      <c r="F4" s="201"/>
      <c r="G4" s="201"/>
      <c r="H4" s="201"/>
      <c r="I4" s="201"/>
      <c r="J4" s="201" t="s">
        <v>798</v>
      </c>
      <c r="K4" s="201" t="s">
        <v>798</v>
      </c>
      <c r="L4" s="201" t="s">
        <v>798</v>
      </c>
      <c r="M4" s="201" t="s">
        <v>298</v>
      </c>
      <c r="N4" s="201">
        <v>19.18943977</v>
      </c>
      <c r="O4" s="201">
        <v>93.733673100000004</v>
      </c>
      <c r="P4" s="201" t="s">
        <v>799</v>
      </c>
      <c r="Q4" s="201" t="s">
        <v>780</v>
      </c>
      <c r="R4" s="202"/>
      <c r="S4" s="200"/>
      <c r="T4" s="203"/>
      <c r="U4" s="204"/>
      <c r="V4" s="201" t="s">
        <v>366</v>
      </c>
      <c r="W4" s="421"/>
      <c r="X4" s="539"/>
      <c r="Y4" s="539"/>
      <c r="Z4" s="539"/>
    </row>
    <row r="5" spans="1:26" s="70" customFormat="1" ht="14.25" customHeight="1">
      <c r="A5" s="422" t="s">
        <v>2706</v>
      </c>
      <c r="B5" s="197" t="s">
        <v>361</v>
      </c>
      <c r="C5" s="198" t="s">
        <v>2595</v>
      </c>
      <c r="D5" s="420"/>
      <c r="E5" s="193">
        <v>198667</v>
      </c>
      <c r="F5" s="193"/>
      <c r="G5" s="193"/>
      <c r="H5" s="193"/>
      <c r="I5" s="193"/>
      <c r="J5" s="193" t="s">
        <v>798</v>
      </c>
      <c r="K5" s="193" t="s">
        <v>798</v>
      </c>
      <c r="L5" s="193" t="s">
        <v>798</v>
      </c>
      <c r="M5" s="193" t="s">
        <v>298</v>
      </c>
      <c r="N5" s="193"/>
      <c r="O5" s="193"/>
      <c r="P5" s="193"/>
      <c r="Q5" s="193"/>
      <c r="R5" s="194"/>
      <c r="S5" s="192"/>
      <c r="T5" s="195"/>
      <c r="U5" s="196"/>
      <c r="V5" s="193"/>
      <c r="W5" s="421"/>
      <c r="X5" s="539"/>
      <c r="Y5" s="539"/>
      <c r="Z5" s="539"/>
    </row>
    <row r="6" spans="1:26" s="70" customFormat="1" ht="14.25" customHeight="1">
      <c r="A6" s="422" t="s">
        <v>2706</v>
      </c>
      <c r="B6" s="418" t="s">
        <v>361</v>
      </c>
      <c r="C6" s="70" t="s">
        <v>371</v>
      </c>
      <c r="D6" s="470" t="s">
        <v>2312</v>
      </c>
      <c r="E6" s="70" t="s">
        <v>1336</v>
      </c>
      <c r="F6" s="70" t="s">
        <v>1733</v>
      </c>
      <c r="G6" s="70" t="s">
        <v>371</v>
      </c>
      <c r="H6" s="70" t="s">
        <v>42</v>
      </c>
      <c r="J6" s="70" t="s">
        <v>798</v>
      </c>
      <c r="K6" s="70" t="s">
        <v>798</v>
      </c>
      <c r="L6" s="70" t="s">
        <v>821</v>
      </c>
      <c r="M6" s="70" t="s">
        <v>298</v>
      </c>
      <c r="N6" s="70">
        <v>19.421102000000001</v>
      </c>
      <c r="O6" s="70">
        <v>93.552452000000002</v>
      </c>
      <c r="P6" s="70" t="s">
        <v>799</v>
      </c>
      <c r="Q6" s="70" t="s">
        <v>780</v>
      </c>
      <c r="R6" s="98">
        <v>65</v>
      </c>
      <c r="S6" s="99">
        <v>327</v>
      </c>
      <c r="T6" s="104"/>
      <c r="U6" s="100"/>
      <c r="V6" s="70" t="s">
        <v>371</v>
      </c>
      <c r="W6" s="418"/>
      <c r="X6" s="539"/>
      <c r="Y6" s="539"/>
      <c r="Z6" s="539"/>
    </row>
    <row r="7" spans="1:26" s="70" customFormat="1" ht="14.25" customHeight="1">
      <c r="A7" s="422" t="s">
        <v>2706</v>
      </c>
      <c r="B7" s="418" t="s">
        <v>361</v>
      </c>
      <c r="C7" s="70" t="s">
        <v>2592</v>
      </c>
      <c r="D7" s="470"/>
      <c r="E7" s="70">
        <v>198475</v>
      </c>
      <c r="J7" s="70" t="s">
        <v>798</v>
      </c>
      <c r="K7" s="70" t="s">
        <v>798</v>
      </c>
      <c r="L7" s="193" t="s">
        <v>798</v>
      </c>
      <c r="M7" s="70" t="s">
        <v>298</v>
      </c>
      <c r="R7" s="98"/>
      <c r="S7" s="422"/>
      <c r="T7" s="104"/>
      <c r="U7" s="100"/>
      <c r="X7" s="539"/>
      <c r="Y7" s="539"/>
      <c r="Z7" s="539"/>
    </row>
    <row r="8" spans="1:26" s="70" customFormat="1" ht="14.25" customHeight="1">
      <c r="A8" s="422" t="s">
        <v>2706</v>
      </c>
      <c r="B8" s="418" t="s">
        <v>361</v>
      </c>
      <c r="C8" s="70" t="s">
        <v>363</v>
      </c>
      <c r="D8" s="470" t="s">
        <v>1654</v>
      </c>
      <c r="E8" s="70">
        <v>198611</v>
      </c>
      <c r="J8" s="70" t="s">
        <v>798</v>
      </c>
      <c r="K8" s="70" t="s">
        <v>798</v>
      </c>
      <c r="L8" s="70" t="s">
        <v>798</v>
      </c>
      <c r="M8" s="70" t="s">
        <v>298</v>
      </c>
      <c r="N8" s="70">
        <v>19.17564964</v>
      </c>
      <c r="O8" s="70">
        <v>93.596443179999994</v>
      </c>
      <c r="P8" s="70" t="s">
        <v>799</v>
      </c>
      <c r="Q8" s="70" t="s">
        <v>780</v>
      </c>
      <c r="R8" s="98"/>
      <c r="S8" s="99"/>
      <c r="T8" s="104"/>
      <c r="U8" s="100"/>
      <c r="V8" s="70" t="s">
        <v>363</v>
      </c>
      <c r="X8" s="539"/>
      <c r="Y8" s="539"/>
      <c r="Z8" s="539"/>
    </row>
    <row r="9" spans="1:26" s="70" customFormat="1" ht="14.25" customHeight="1">
      <c r="A9" s="422" t="s">
        <v>2706</v>
      </c>
      <c r="B9" s="418" t="s">
        <v>361</v>
      </c>
      <c r="C9" s="70" t="s">
        <v>372</v>
      </c>
      <c r="D9" s="470" t="s">
        <v>3183</v>
      </c>
      <c r="E9" s="70" t="s">
        <v>1337</v>
      </c>
      <c r="F9" s="70" t="s">
        <v>1734</v>
      </c>
      <c r="G9" s="70" t="s">
        <v>1735</v>
      </c>
      <c r="H9" s="70" t="s">
        <v>42</v>
      </c>
      <c r="I9" s="70" t="s">
        <v>793</v>
      </c>
      <c r="J9" s="70" t="s">
        <v>44</v>
      </c>
      <c r="K9" s="70" t="s">
        <v>44</v>
      </c>
      <c r="L9" s="70" t="s">
        <v>794</v>
      </c>
      <c r="M9" s="70" t="s">
        <v>795</v>
      </c>
      <c r="N9" s="70">
        <v>19.424576999999999</v>
      </c>
      <c r="O9" s="70">
        <v>93.512326000000002</v>
      </c>
      <c r="P9" s="70" t="s">
        <v>761</v>
      </c>
      <c r="Q9" s="70" t="s">
        <v>780</v>
      </c>
      <c r="R9" s="421">
        <v>415</v>
      </c>
      <c r="S9" s="422">
        <v>1050</v>
      </c>
      <c r="T9" s="104"/>
      <c r="U9" s="100"/>
      <c r="V9" s="70" t="s">
        <v>801</v>
      </c>
      <c r="X9" s="539"/>
      <c r="Y9" s="539"/>
      <c r="Z9" s="539"/>
    </row>
    <row r="10" spans="1:26" s="70" customFormat="1" ht="14.25" customHeight="1">
      <c r="A10" s="422" t="s">
        <v>2706</v>
      </c>
      <c r="B10" s="419" t="s">
        <v>361</v>
      </c>
      <c r="C10" s="419" t="s">
        <v>2594</v>
      </c>
      <c r="D10" s="470"/>
      <c r="E10" s="70">
        <v>198508</v>
      </c>
      <c r="J10" s="70" t="s">
        <v>798</v>
      </c>
      <c r="K10" s="70" t="s">
        <v>798</v>
      </c>
      <c r="L10" s="193" t="s">
        <v>798</v>
      </c>
      <c r="M10" s="70" t="s">
        <v>298</v>
      </c>
      <c r="R10" s="421"/>
      <c r="S10" s="99"/>
      <c r="T10" s="104"/>
      <c r="U10" s="100"/>
      <c r="X10" s="539"/>
      <c r="Y10" s="539"/>
      <c r="Z10" s="539"/>
    </row>
    <row r="11" spans="1:26" s="70" customFormat="1" ht="14.25" customHeight="1">
      <c r="A11" s="422" t="s">
        <v>2706</v>
      </c>
      <c r="B11" s="418" t="s">
        <v>361</v>
      </c>
      <c r="C11" s="70" t="s">
        <v>800</v>
      </c>
      <c r="D11" s="470" t="s">
        <v>1654</v>
      </c>
      <c r="E11" s="70">
        <v>198612</v>
      </c>
      <c r="J11" s="70" t="s">
        <v>798</v>
      </c>
      <c r="K11" s="70" t="s">
        <v>798</v>
      </c>
      <c r="L11" s="70" t="s">
        <v>798</v>
      </c>
      <c r="M11" s="70" t="s">
        <v>298</v>
      </c>
      <c r="N11" s="70">
        <v>19.195390700000001</v>
      </c>
      <c r="O11" s="70">
        <v>93.585678099999996</v>
      </c>
      <c r="P11" s="70" t="s">
        <v>799</v>
      </c>
      <c r="R11" s="98"/>
      <c r="S11" s="422"/>
      <c r="T11" s="104"/>
      <c r="U11" s="100"/>
      <c r="V11" s="70" t="s">
        <v>800</v>
      </c>
      <c r="W11" s="418"/>
      <c r="X11" s="539"/>
      <c r="Y11" s="539"/>
      <c r="Z11" s="539"/>
    </row>
    <row r="12" spans="1:26" s="70" customFormat="1" ht="14.25" customHeight="1">
      <c r="A12" s="422" t="s">
        <v>2706</v>
      </c>
      <c r="B12" s="418" t="s">
        <v>361</v>
      </c>
      <c r="C12" s="418" t="s">
        <v>2295</v>
      </c>
      <c r="D12" s="470"/>
      <c r="E12" s="70">
        <v>198464</v>
      </c>
      <c r="F12" s="70" t="s">
        <v>2295</v>
      </c>
      <c r="J12" s="70" t="s">
        <v>798</v>
      </c>
      <c r="K12" s="70" t="s">
        <v>798</v>
      </c>
      <c r="L12" s="70" t="s">
        <v>798</v>
      </c>
      <c r="M12" s="70" t="s">
        <v>298</v>
      </c>
      <c r="N12" s="70">
        <v>19.417640689999999</v>
      </c>
      <c r="O12" s="70">
        <v>93.565246579999993</v>
      </c>
      <c r="Q12" s="70" t="s">
        <v>2260</v>
      </c>
      <c r="R12" s="421"/>
      <c r="S12" s="99"/>
      <c r="T12" s="104">
        <v>43462</v>
      </c>
      <c r="U12" s="100"/>
      <c r="W12" s="70" t="s">
        <v>2296</v>
      </c>
      <c r="X12" s="539"/>
      <c r="Y12" s="539"/>
      <c r="Z12" s="539"/>
    </row>
    <row r="13" spans="1:26" s="70" customFormat="1" ht="14.25" customHeight="1">
      <c r="A13" s="422" t="s">
        <v>2706</v>
      </c>
      <c r="B13" s="418" t="s">
        <v>361</v>
      </c>
      <c r="C13" s="418" t="s">
        <v>368</v>
      </c>
      <c r="D13" s="470" t="s">
        <v>1654</v>
      </c>
      <c r="E13" s="70">
        <v>198516</v>
      </c>
      <c r="J13" s="70" t="s">
        <v>798</v>
      </c>
      <c r="K13" s="70" t="s">
        <v>798</v>
      </c>
      <c r="L13" s="70" t="s">
        <v>798</v>
      </c>
      <c r="M13" s="70" t="s">
        <v>298</v>
      </c>
      <c r="N13" s="70">
        <v>19.249820710000002</v>
      </c>
      <c r="O13" s="70">
        <v>93.551040650000004</v>
      </c>
      <c r="P13" s="70" t="s">
        <v>799</v>
      </c>
      <c r="Q13" s="70" t="s">
        <v>780</v>
      </c>
      <c r="R13" s="98"/>
      <c r="S13" s="422"/>
      <c r="T13" s="104"/>
      <c r="U13" s="100"/>
      <c r="V13" s="70" t="s">
        <v>368</v>
      </c>
      <c r="X13" s="539"/>
      <c r="Y13" s="539"/>
      <c r="Z13" s="539"/>
    </row>
    <row r="14" spans="1:26" s="70" customFormat="1" ht="14.25" customHeight="1">
      <c r="A14" s="422" t="s">
        <v>2706</v>
      </c>
      <c r="B14" s="418" t="s">
        <v>361</v>
      </c>
      <c r="C14" s="418" t="s">
        <v>365</v>
      </c>
      <c r="D14" s="470" t="s">
        <v>1654</v>
      </c>
      <c r="E14" s="70">
        <v>198643</v>
      </c>
      <c r="J14" s="70" t="s">
        <v>798</v>
      </c>
      <c r="K14" s="70" t="s">
        <v>798</v>
      </c>
      <c r="L14" s="70" t="s">
        <v>798</v>
      </c>
      <c r="M14" s="70" t="s">
        <v>298</v>
      </c>
      <c r="N14" s="70">
        <v>19.18865967</v>
      </c>
      <c r="O14" s="70">
        <v>93.720703130000004</v>
      </c>
      <c r="P14" s="70" t="s">
        <v>799</v>
      </c>
      <c r="Q14" s="70" t="s">
        <v>780</v>
      </c>
      <c r="R14" s="98"/>
      <c r="S14" s="422"/>
      <c r="T14" s="104"/>
      <c r="U14" s="100"/>
      <c r="V14" s="70" t="s">
        <v>365</v>
      </c>
      <c r="X14" s="539"/>
      <c r="Y14" s="539"/>
      <c r="Z14" s="539"/>
    </row>
    <row r="15" spans="1:26" s="70" customFormat="1" ht="14.25" customHeight="1">
      <c r="A15" s="422" t="s">
        <v>2706</v>
      </c>
      <c r="B15" s="419" t="s">
        <v>361</v>
      </c>
      <c r="C15" s="419" t="s">
        <v>2593</v>
      </c>
      <c r="D15" s="470"/>
      <c r="E15" s="70">
        <v>198476</v>
      </c>
      <c r="J15" s="70" t="s">
        <v>798</v>
      </c>
      <c r="K15" s="70" t="s">
        <v>798</v>
      </c>
      <c r="L15" s="193" t="s">
        <v>798</v>
      </c>
      <c r="M15" s="70" t="s">
        <v>298</v>
      </c>
      <c r="R15" s="98"/>
      <c r="S15" s="422"/>
      <c r="T15" s="104"/>
      <c r="U15" s="100"/>
      <c r="X15" s="539"/>
      <c r="Y15" s="539"/>
      <c r="Z15" s="539"/>
    </row>
    <row r="16" spans="1:26" s="70" customFormat="1" ht="14.25" customHeight="1">
      <c r="A16" s="422" t="s">
        <v>2706</v>
      </c>
      <c r="B16" s="419" t="s">
        <v>361</v>
      </c>
      <c r="C16" s="419" t="s">
        <v>367</v>
      </c>
      <c r="D16" s="470" t="s">
        <v>1654</v>
      </c>
      <c r="E16" s="70">
        <v>198514</v>
      </c>
      <c r="J16" s="70" t="s">
        <v>798</v>
      </c>
      <c r="K16" s="70" t="s">
        <v>798</v>
      </c>
      <c r="L16" s="70" t="s">
        <v>798</v>
      </c>
      <c r="M16" s="70" t="s">
        <v>298</v>
      </c>
      <c r="N16" s="70">
        <v>19.221920010000002</v>
      </c>
      <c r="O16" s="70">
        <v>93.571296689999997</v>
      </c>
      <c r="P16" s="70" t="s">
        <v>799</v>
      </c>
      <c r="Q16" s="70" t="s">
        <v>780</v>
      </c>
      <c r="R16" s="98"/>
      <c r="S16" s="422"/>
      <c r="T16" s="104"/>
      <c r="U16" s="100"/>
      <c r="V16" s="70" t="s">
        <v>367</v>
      </c>
      <c r="W16" s="418"/>
      <c r="X16" s="539"/>
      <c r="Y16" s="539"/>
      <c r="Z16" s="539"/>
    </row>
    <row r="17" spans="1:26" s="70" customFormat="1" ht="14.25" customHeight="1">
      <c r="A17" s="422" t="s">
        <v>2706</v>
      </c>
      <c r="B17" s="419" t="s">
        <v>361</v>
      </c>
      <c r="C17" s="419" t="s">
        <v>369</v>
      </c>
      <c r="D17" s="470" t="s">
        <v>1654</v>
      </c>
      <c r="E17" s="418">
        <v>198512</v>
      </c>
      <c r="F17" s="418"/>
      <c r="G17" s="418"/>
      <c r="H17" s="418"/>
      <c r="I17" s="418"/>
      <c r="J17" s="418" t="s">
        <v>798</v>
      </c>
      <c r="K17" s="70" t="s">
        <v>798</v>
      </c>
      <c r="L17" s="70" t="s">
        <v>798</v>
      </c>
      <c r="M17" s="70" t="s">
        <v>298</v>
      </c>
      <c r="N17" s="418">
        <v>19.254320140000001</v>
      </c>
      <c r="O17" s="418">
        <v>93.548591610000003</v>
      </c>
      <c r="P17" s="70" t="s">
        <v>799</v>
      </c>
      <c r="Q17" s="418" t="s">
        <v>780</v>
      </c>
      <c r="R17" s="421"/>
      <c r="S17" s="422"/>
      <c r="T17" s="441"/>
      <c r="U17" s="423"/>
      <c r="V17" s="418" t="s">
        <v>369</v>
      </c>
      <c r="X17" s="539"/>
      <c r="Y17" s="539"/>
      <c r="Z17" s="539"/>
    </row>
    <row r="18" spans="1:26" s="70" customFormat="1" ht="14.25" customHeight="1">
      <c r="A18" s="422" t="s">
        <v>2706</v>
      </c>
      <c r="B18" s="419" t="s">
        <v>361</v>
      </c>
      <c r="C18" s="419" t="s">
        <v>362</v>
      </c>
      <c r="D18" s="470" t="s">
        <v>1654</v>
      </c>
      <c r="E18" s="424">
        <v>198657</v>
      </c>
      <c r="J18" s="70" t="s">
        <v>798</v>
      </c>
      <c r="K18" s="70" t="s">
        <v>798</v>
      </c>
      <c r="L18" s="70" t="s">
        <v>798</v>
      </c>
      <c r="M18" s="70" t="s">
        <v>298</v>
      </c>
      <c r="N18" s="418">
        <v>19.170919420000001</v>
      </c>
      <c r="O18" s="418">
        <v>93.692680359999997</v>
      </c>
      <c r="P18" s="70" t="s">
        <v>799</v>
      </c>
      <c r="Q18" s="70" t="s">
        <v>780</v>
      </c>
      <c r="R18" s="98"/>
      <c r="S18" s="99"/>
      <c r="T18" s="104"/>
      <c r="U18" s="100"/>
      <c r="V18" s="70" t="s">
        <v>362</v>
      </c>
      <c r="W18" s="418"/>
      <c r="X18" s="539"/>
      <c r="Y18" s="539"/>
      <c r="Z18" s="539"/>
    </row>
    <row r="19" spans="1:26" s="70" customFormat="1" ht="14.25" customHeight="1">
      <c r="A19" s="425" t="s">
        <v>2706</v>
      </c>
      <c r="B19" s="425" t="s">
        <v>306</v>
      </c>
      <c r="C19" s="426" t="s">
        <v>640</v>
      </c>
      <c r="D19" s="420"/>
      <c r="E19" s="418">
        <v>196824</v>
      </c>
      <c r="J19" s="70" t="s">
        <v>798</v>
      </c>
      <c r="K19" s="70" t="s">
        <v>798</v>
      </c>
      <c r="L19" s="70" t="s">
        <v>798</v>
      </c>
      <c r="M19" s="70" t="s">
        <v>2009</v>
      </c>
      <c r="N19" s="418">
        <v>20.855012890000001</v>
      </c>
      <c r="O19" s="418">
        <v>92.91</v>
      </c>
      <c r="R19" s="429"/>
      <c r="S19" s="422"/>
      <c r="T19" s="104">
        <v>43591</v>
      </c>
      <c r="U19" s="429"/>
      <c r="W19" s="421"/>
      <c r="X19" s="539"/>
      <c r="Y19" s="539"/>
      <c r="Z19" s="539"/>
    </row>
    <row r="20" spans="1:26" s="70" customFormat="1" ht="14.25" customHeight="1">
      <c r="A20" s="422" t="s">
        <v>2706</v>
      </c>
      <c r="B20" s="418" t="s">
        <v>306</v>
      </c>
      <c r="C20" s="70" t="s">
        <v>949</v>
      </c>
      <c r="D20" s="470" t="s">
        <v>2786</v>
      </c>
      <c r="E20" s="418" t="s">
        <v>1402</v>
      </c>
      <c r="F20" s="70" t="s">
        <v>1859</v>
      </c>
      <c r="G20" s="70" t="s">
        <v>949</v>
      </c>
      <c r="J20" s="70" t="s">
        <v>798</v>
      </c>
      <c r="K20" s="70" t="s">
        <v>798</v>
      </c>
      <c r="L20" s="70" t="s">
        <v>883</v>
      </c>
      <c r="M20" s="70" t="s">
        <v>795</v>
      </c>
      <c r="N20" s="433">
        <v>20.921424999999999</v>
      </c>
      <c r="O20" s="433">
        <v>93.003204999999994</v>
      </c>
      <c r="P20" s="70" t="s">
        <v>799</v>
      </c>
      <c r="R20" s="421">
        <v>24</v>
      </c>
      <c r="S20" s="422">
        <v>140</v>
      </c>
      <c r="T20" s="104"/>
      <c r="U20" s="100" t="s">
        <v>860</v>
      </c>
      <c r="V20" s="70" t="s">
        <v>949</v>
      </c>
      <c r="X20" s="539"/>
      <c r="Y20" s="539"/>
      <c r="Z20" s="539"/>
    </row>
    <row r="21" spans="1:26" s="70" customFormat="1" ht="14.25" customHeight="1">
      <c r="A21" s="422" t="s">
        <v>2706</v>
      </c>
      <c r="B21" s="418" t="s">
        <v>306</v>
      </c>
      <c r="C21" s="418" t="s">
        <v>948</v>
      </c>
      <c r="D21" s="470" t="s">
        <v>2786</v>
      </c>
      <c r="E21" s="419" t="s">
        <v>1401</v>
      </c>
      <c r="F21" s="418" t="s">
        <v>948</v>
      </c>
      <c r="G21" s="70" t="s">
        <v>1858</v>
      </c>
      <c r="J21" s="70" t="s">
        <v>798</v>
      </c>
      <c r="K21" s="70" t="s">
        <v>798</v>
      </c>
      <c r="L21" s="70" t="s">
        <v>883</v>
      </c>
      <c r="M21" s="70" t="s">
        <v>795</v>
      </c>
      <c r="N21" s="433">
        <v>20.896740000000001</v>
      </c>
      <c r="O21" s="433">
        <v>93.014349999999993</v>
      </c>
      <c r="P21" s="70" t="s">
        <v>799</v>
      </c>
      <c r="R21" s="421">
        <v>14</v>
      </c>
      <c r="S21" s="422">
        <v>84</v>
      </c>
      <c r="T21" s="104"/>
      <c r="U21" s="100" t="s">
        <v>860</v>
      </c>
      <c r="V21" s="70" t="s">
        <v>948</v>
      </c>
      <c r="W21" s="418"/>
      <c r="X21" s="539"/>
      <c r="Y21" s="539"/>
      <c r="Z21" s="539"/>
    </row>
    <row r="22" spans="1:26" s="70" customFormat="1" ht="14.25" customHeight="1">
      <c r="A22" s="422" t="s">
        <v>2706</v>
      </c>
      <c r="B22" s="418" t="s">
        <v>306</v>
      </c>
      <c r="C22" s="418" t="s">
        <v>307</v>
      </c>
      <c r="D22" s="470" t="s">
        <v>1654</v>
      </c>
      <c r="E22" s="418"/>
      <c r="F22" s="418"/>
      <c r="G22" s="418"/>
      <c r="H22" s="418"/>
      <c r="I22" s="418"/>
      <c r="J22" s="418" t="s">
        <v>798</v>
      </c>
      <c r="K22" s="418" t="s">
        <v>798</v>
      </c>
      <c r="L22" s="418" t="s">
        <v>798</v>
      </c>
      <c r="M22" s="418" t="s">
        <v>298</v>
      </c>
      <c r="N22" s="418"/>
      <c r="O22" s="418"/>
      <c r="P22" s="418" t="s">
        <v>799</v>
      </c>
      <c r="Q22" s="418" t="s">
        <v>780</v>
      </c>
      <c r="R22" s="421"/>
      <c r="S22" s="422"/>
      <c r="T22" s="441"/>
      <c r="U22" s="423"/>
      <c r="V22" s="418" t="s">
        <v>307</v>
      </c>
      <c r="W22" s="418"/>
      <c r="X22" s="539"/>
      <c r="Y22" s="539"/>
      <c r="Z22" s="539"/>
    </row>
    <row r="23" spans="1:26" s="70" customFormat="1" ht="14.25" customHeight="1">
      <c r="A23" s="422" t="s">
        <v>2706</v>
      </c>
      <c r="B23" s="418" t="s">
        <v>306</v>
      </c>
      <c r="C23" s="418" t="s">
        <v>570</v>
      </c>
      <c r="D23" s="470" t="s">
        <v>2786</v>
      </c>
      <c r="E23" s="418" t="s">
        <v>1389</v>
      </c>
      <c r="F23" s="418"/>
      <c r="G23" s="418"/>
      <c r="H23" s="418"/>
      <c r="I23" s="418"/>
      <c r="J23" s="418" t="s">
        <v>798</v>
      </c>
      <c r="K23" s="418" t="s">
        <v>798</v>
      </c>
      <c r="L23" s="418" t="s">
        <v>883</v>
      </c>
      <c r="M23" s="418" t="s">
        <v>298</v>
      </c>
      <c r="N23" s="418">
        <v>20.720213000000001</v>
      </c>
      <c r="O23" s="418">
        <v>92.961841000000007</v>
      </c>
      <c r="P23" s="418" t="s">
        <v>799</v>
      </c>
      <c r="Q23" s="418" t="s">
        <v>780</v>
      </c>
      <c r="R23" s="421">
        <v>100</v>
      </c>
      <c r="S23" s="422">
        <v>559</v>
      </c>
      <c r="T23" s="441"/>
      <c r="U23" s="423"/>
      <c r="V23" s="418" t="s">
        <v>570</v>
      </c>
      <c r="W23" s="418"/>
      <c r="X23" s="539"/>
      <c r="Y23" s="539"/>
      <c r="Z23" s="539"/>
    </row>
    <row r="24" spans="1:26" s="70" customFormat="1" ht="14.25" customHeight="1">
      <c r="A24" s="422" t="s">
        <v>2706</v>
      </c>
      <c r="B24" s="418" t="s">
        <v>306</v>
      </c>
      <c r="C24" s="70" t="s">
        <v>931</v>
      </c>
      <c r="D24" s="470" t="s">
        <v>1654</v>
      </c>
      <c r="E24" s="70">
        <v>196946</v>
      </c>
      <c r="J24" s="70" t="s">
        <v>798</v>
      </c>
      <c r="K24" s="70" t="s">
        <v>798</v>
      </c>
      <c r="L24" s="70" t="s">
        <v>798</v>
      </c>
      <c r="M24" s="70" t="s">
        <v>298</v>
      </c>
      <c r="N24" s="70">
        <v>20.720213000000001</v>
      </c>
      <c r="O24" s="70">
        <v>92.961841000000007</v>
      </c>
      <c r="P24" s="70" t="s">
        <v>799</v>
      </c>
      <c r="R24" s="98"/>
      <c r="S24" s="99"/>
      <c r="T24" s="104"/>
      <c r="U24" s="100"/>
      <c r="V24" s="70" t="s">
        <v>570</v>
      </c>
      <c r="X24" s="539"/>
      <c r="Y24" s="539"/>
      <c r="Z24" s="539"/>
    </row>
    <row r="25" spans="1:26" s="70" customFormat="1" ht="14.25" customHeight="1">
      <c r="A25" s="422" t="s">
        <v>2706</v>
      </c>
      <c r="B25" s="418" t="s">
        <v>306</v>
      </c>
      <c r="C25" s="418" t="s">
        <v>700</v>
      </c>
      <c r="D25" s="470" t="s">
        <v>1654</v>
      </c>
      <c r="E25" s="418">
        <v>196878</v>
      </c>
      <c r="F25" s="418"/>
      <c r="G25" s="418"/>
      <c r="H25" s="418"/>
      <c r="I25" s="418"/>
      <c r="J25" s="418" t="s">
        <v>798</v>
      </c>
      <c r="K25" s="418" t="s">
        <v>798</v>
      </c>
      <c r="L25" s="418" t="s">
        <v>798</v>
      </c>
      <c r="M25" s="418" t="s">
        <v>298</v>
      </c>
      <c r="N25" s="418">
        <v>20.627639769999998</v>
      </c>
      <c r="O25" s="418">
        <v>93.022773740000005</v>
      </c>
      <c r="P25" s="418" t="s">
        <v>799</v>
      </c>
      <c r="Q25" s="418" t="s">
        <v>780</v>
      </c>
      <c r="R25" s="421"/>
      <c r="S25" s="422"/>
      <c r="T25" s="441"/>
      <c r="U25" s="423"/>
      <c r="V25" s="418"/>
      <c r="W25" s="418"/>
      <c r="X25" s="539"/>
      <c r="Y25" s="539"/>
      <c r="Z25" s="539"/>
    </row>
    <row r="26" spans="1:26" s="70" customFormat="1" ht="14.25" customHeight="1">
      <c r="A26" s="425" t="s">
        <v>2706</v>
      </c>
      <c r="B26" s="425" t="s">
        <v>306</v>
      </c>
      <c r="C26" s="426" t="s">
        <v>2835</v>
      </c>
      <c r="D26" s="420"/>
      <c r="E26" s="193">
        <v>196937</v>
      </c>
      <c r="J26" s="70" t="s">
        <v>2714</v>
      </c>
      <c r="K26" s="70" t="s">
        <v>2676</v>
      </c>
      <c r="L26" s="70" t="s">
        <v>2676</v>
      </c>
      <c r="N26" s="193">
        <v>20.64656067</v>
      </c>
      <c r="O26" s="193">
        <v>92.976043700000005</v>
      </c>
      <c r="R26" s="429"/>
      <c r="S26" s="422"/>
      <c r="T26" s="104">
        <v>43591</v>
      </c>
      <c r="U26" s="429"/>
      <c r="W26" s="421"/>
      <c r="X26" s="539"/>
      <c r="Y26" s="539"/>
      <c r="Z26" s="539"/>
    </row>
    <row r="27" spans="1:26" s="70" customFormat="1" ht="14.25" customHeight="1">
      <c r="A27" s="422" t="s">
        <v>2706</v>
      </c>
      <c r="B27" s="205" t="s">
        <v>306</v>
      </c>
      <c r="C27" s="206" t="s">
        <v>2297</v>
      </c>
      <c r="D27" s="420"/>
      <c r="E27" s="201">
        <v>196933</v>
      </c>
      <c r="F27" s="201" t="s">
        <v>871</v>
      </c>
      <c r="G27" s="201"/>
      <c r="H27" s="201"/>
      <c r="I27" s="201"/>
      <c r="J27" s="201" t="s">
        <v>798</v>
      </c>
      <c r="K27" s="201" t="s">
        <v>798</v>
      </c>
      <c r="L27" s="201" t="s">
        <v>798</v>
      </c>
      <c r="M27" s="201"/>
      <c r="N27" s="201">
        <v>20.66370964</v>
      </c>
      <c r="O27" s="201">
        <v>92.973167419999996</v>
      </c>
      <c r="P27" s="201" t="s">
        <v>799</v>
      </c>
      <c r="Q27" s="201" t="s">
        <v>2260</v>
      </c>
      <c r="R27" s="202"/>
      <c r="S27" s="200"/>
      <c r="T27" s="203">
        <v>43465</v>
      </c>
      <c r="U27" s="204" t="s">
        <v>2303</v>
      </c>
      <c r="V27" s="201" t="s">
        <v>2297</v>
      </c>
      <c r="W27" s="421"/>
      <c r="X27" s="539"/>
      <c r="Y27" s="539"/>
      <c r="Z27" s="539"/>
    </row>
    <row r="28" spans="1:26" s="70" customFormat="1" ht="14.25" customHeight="1">
      <c r="A28" s="425" t="s">
        <v>2706</v>
      </c>
      <c r="B28" s="425" t="s">
        <v>306</v>
      </c>
      <c r="C28" s="426" t="s">
        <v>2836</v>
      </c>
      <c r="D28" s="420"/>
      <c r="E28" s="418">
        <v>196940</v>
      </c>
      <c r="F28" s="418"/>
      <c r="G28" s="418"/>
      <c r="H28" s="418"/>
      <c r="I28" s="418"/>
      <c r="J28" s="418" t="s">
        <v>2714</v>
      </c>
      <c r="K28" s="418" t="s">
        <v>2676</v>
      </c>
      <c r="L28" s="418" t="s">
        <v>2676</v>
      </c>
      <c r="M28" s="418"/>
      <c r="N28" s="418">
        <v>20.6563606262207</v>
      </c>
      <c r="O28" s="418">
        <v>92.998542785644503</v>
      </c>
      <c r="P28" s="418"/>
      <c r="Q28" s="418"/>
      <c r="R28" s="429"/>
      <c r="S28" s="422"/>
      <c r="T28" s="441">
        <v>43591</v>
      </c>
      <c r="U28" s="429"/>
      <c r="V28" s="418"/>
      <c r="W28" s="421"/>
      <c r="X28" s="539"/>
      <c r="Y28" s="539"/>
      <c r="Z28" s="539"/>
    </row>
    <row r="29" spans="1:26" s="70" customFormat="1" ht="14.25" customHeight="1">
      <c r="A29" s="425" t="s">
        <v>2706</v>
      </c>
      <c r="B29" s="425" t="s">
        <v>306</v>
      </c>
      <c r="C29" s="426" t="s">
        <v>2834</v>
      </c>
      <c r="D29" s="420"/>
      <c r="E29" s="418">
        <v>196942</v>
      </c>
      <c r="F29" s="418"/>
      <c r="G29" s="418"/>
      <c r="H29" s="418"/>
      <c r="I29" s="418"/>
      <c r="J29" s="70" t="s">
        <v>2714</v>
      </c>
      <c r="K29" s="70" t="s">
        <v>2676</v>
      </c>
      <c r="L29" s="70" t="s">
        <v>2676</v>
      </c>
      <c r="M29" s="418"/>
      <c r="N29" s="418">
        <v>20.6715202331543</v>
      </c>
      <c r="O29" s="418">
        <v>92.998092651367202</v>
      </c>
      <c r="Q29" s="418"/>
      <c r="R29" s="429"/>
      <c r="S29" s="422"/>
      <c r="T29" s="441">
        <v>43591</v>
      </c>
      <c r="U29" s="429"/>
      <c r="V29" s="418"/>
      <c r="W29" s="421"/>
      <c r="X29" s="539"/>
      <c r="Y29" s="539"/>
      <c r="Z29" s="539"/>
    </row>
    <row r="30" spans="1:26" s="70" customFormat="1" ht="14.25" customHeight="1">
      <c r="A30" s="422" t="s">
        <v>2706</v>
      </c>
      <c r="B30" s="418" t="s">
        <v>306</v>
      </c>
      <c r="C30" s="418" t="s">
        <v>556</v>
      </c>
      <c r="D30" s="470" t="s">
        <v>1654</v>
      </c>
      <c r="E30" s="418">
        <v>196943</v>
      </c>
      <c r="F30" s="418"/>
      <c r="G30" s="418"/>
      <c r="H30" s="418"/>
      <c r="I30" s="418"/>
      <c r="J30" s="418" t="s">
        <v>804</v>
      </c>
      <c r="K30" s="418" t="s">
        <v>798</v>
      </c>
      <c r="L30" s="418" t="s">
        <v>804</v>
      </c>
      <c r="M30" s="418" t="s">
        <v>298</v>
      </c>
      <c r="N30" s="418">
        <v>20.705930710000001</v>
      </c>
      <c r="O30" s="418">
        <v>93.001953130000004</v>
      </c>
      <c r="P30" s="418" t="s">
        <v>923</v>
      </c>
      <c r="Q30" s="418" t="s">
        <v>780</v>
      </c>
      <c r="R30" s="421"/>
      <c r="S30" s="422"/>
      <c r="T30" s="441"/>
      <c r="U30" s="423"/>
      <c r="V30" s="418" t="s">
        <v>556</v>
      </c>
      <c r="W30" s="418"/>
      <c r="X30" s="539"/>
      <c r="Y30" s="539"/>
      <c r="Z30" s="539"/>
    </row>
    <row r="31" spans="1:26" s="70" customFormat="1" ht="14.25" customHeight="1">
      <c r="A31" s="425" t="s">
        <v>2706</v>
      </c>
      <c r="B31" s="425" t="s">
        <v>306</v>
      </c>
      <c r="C31" s="426" t="s">
        <v>2831</v>
      </c>
      <c r="D31" s="420"/>
      <c r="E31" s="418">
        <v>196943</v>
      </c>
      <c r="F31" s="418"/>
      <c r="G31" s="418"/>
      <c r="H31" s="418"/>
      <c r="I31" s="418"/>
      <c r="J31" s="418" t="s">
        <v>2714</v>
      </c>
      <c r="K31" s="418" t="s">
        <v>2676</v>
      </c>
      <c r="L31" s="418" t="s">
        <v>2676</v>
      </c>
      <c r="M31" s="418"/>
      <c r="N31" s="418">
        <v>20.705930710000001</v>
      </c>
      <c r="O31" s="418">
        <v>93.001953130000004</v>
      </c>
      <c r="P31" s="418"/>
      <c r="Q31" s="418"/>
      <c r="R31" s="429"/>
      <c r="S31" s="422"/>
      <c r="T31" s="441">
        <v>43591</v>
      </c>
      <c r="U31" s="429"/>
      <c r="V31" s="418"/>
      <c r="W31" s="421"/>
      <c r="X31" s="539"/>
      <c r="Y31" s="539"/>
      <c r="Z31" s="539"/>
    </row>
    <row r="32" spans="1:26" s="70" customFormat="1" ht="14.25" customHeight="1">
      <c r="A32" s="422" t="s">
        <v>2706</v>
      </c>
      <c r="B32" s="197" t="s">
        <v>306</v>
      </c>
      <c r="C32" s="198" t="s">
        <v>639</v>
      </c>
      <c r="D32" s="420" t="s">
        <v>1654</v>
      </c>
      <c r="E32" s="193">
        <v>196825</v>
      </c>
      <c r="F32" s="193"/>
      <c r="G32" s="193"/>
      <c r="H32" s="193"/>
      <c r="I32" s="193"/>
      <c r="J32" s="193" t="s">
        <v>804</v>
      </c>
      <c r="K32" s="193" t="s">
        <v>798</v>
      </c>
      <c r="L32" s="193" t="s">
        <v>804</v>
      </c>
      <c r="M32" s="193" t="s">
        <v>2009</v>
      </c>
      <c r="N32" s="193">
        <v>20.851089479999999</v>
      </c>
      <c r="O32" s="193">
        <v>92.916893009999995</v>
      </c>
      <c r="P32" s="193" t="s">
        <v>923</v>
      </c>
      <c r="Q32" s="193" t="s">
        <v>926</v>
      </c>
      <c r="R32" s="194"/>
      <c r="S32" s="192"/>
      <c r="T32" s="195">
        <v>43011</v>
      </c>
      <c r="U32" s="196" t="s">
        <v>927</v>
      </c>
      <c r="V32" s="193"/>
      <c r="W32" s="421"/>
      <c r="X32" s="539"/>
      <c r="Y32" s="539"/>
      <c r="Z32" s="539"/>
    </row>
    <row r="33" spans="1:26" s="70" customFormat="1" ht="14.25" customHeight="1">
      <c r="A33" s="422" t="s">
        <v>2706</v>
      </c>
      <c r="B33" s="418" t="s">
        <v>306</v>
      </c>
      <c r="C33" s="418" t="s">
        <v>518</v>
      </c>
      <c r="D33" s="470" t="s">
        <v>1654</v>
      </c>
      <c r="E33" s="418">
        <v>196983</v>
      </c>
      <c r="J33" s="70" t="s">
        <v>798</v>
      </c>
      <c r="K33" s="70" t="s">
        <v>798</v>
      </c>
      <c r="L33" s="70" t="s">
        <v>798</v>
      </c>
      <c r="M33" s="70" t="s">
        <v>298</v>
      </c>
      <c r="N33" s="70">
        <v>20.644098280000001</v>
      </c>
      <c r="O33" s="70">
        <v>93.036460880000007</v>
      </c>
      <c r="P33" s="70" t="s">
        <v>799</v>
      </c>
      <c r="Q33" s="70" t="s">
        <v>780</v>
      </c>
      <c r="R33" s="421"/>
      <c r="S33" s="422"/>
      <c r="T33" s="104"/>
      <c r="U33" s="100"/>
      <c r="W33" s="418"/>
      <c r="X33" s="539"/>
      <c r="Y33" s="539"/>
      <c r="Z33" s="539"/>
    </row>
    <row r="34" spans="1:26" s="70" customFormat="1" ht="14.25" customHeight="1">
      <c r="A34" s="422" t="s">
        <v>2706</v>
      </c>
      <c r="B34" s="418" t="s">
        <v>306</v>
      </c>
      <c r="C34" s="418" t="s">
        <v>560</v>
      </c>
      <c r="D34" s="470" t="s">
        <v>2786</v>
      </c>
      <c r="E34" s="70" t="s">
        <v>1386</v>
      </c>
      <c r="F34" s="70" t="s">
        <v>560</v>
      </c>
      <c r="G34" s="70" t="s">
        <v>1747</v>
      </c>
      <c r="J34" s="70" t="s">
        <v>798</v>
      </c>
      <c r="K34" s="70" t="s">
        <v>798</v>
      </c>
      <c r="L34" s="70" t="s">
        <v>883</v>
      </c>
      <c r="M34" s="70" t="s">
        <v>795</v>
      </c>
      <c r="N34" s="70">
        <v>20.713259999999998</v>
      </c>
      <c r="O34" s="70">
        <v>93.014089999999996</v>
      </c>
      <c r="P34" s="70" t="s">
        <v>799</v>
      </c>
      <c r="Q34" s="70" t="s">
        <v>780</v>
      </c>
      <c r="R34" s="421">
        <v>116</v>
      </c>
      <c r="S34" s="422">
        <v>802</v>
      </c>
      <c r="T34" s="104"/>
      <c r="U34" s="100"/>
      <c r="V34" s="70" t="s">
        <v>560</v>
      </c>
      <c r="X34" s="539"/>
      <c r="Y34" s="539"/>
      <c r="Z34" s="539"/>
    </row>
    <row r="35" spans="1:26" s="70" customFormat="1" ht="14.25" customHeight="1">
      <c r="A35" s="422" t="s">
        <v>2706</v>
      </c>
      <c r="B35" s="205" t="s">
        <v>306</v>
      </c>
      <c r="C35" s="206" t="s">
        <v>558</v>
      </c>
      <c r="D35" s="420" t="s">
        <v>1654</v>
      </c>
      <c r="E35" s="201">
        <v>196973</v>
      </c>
      <c r="F35" s="201"/>
      <c r="G35" s="201"/>
      <c r="H35" s="201"/>
      <c r="I35" s="201"/>
      <c r="J35" s="201" t="s">
        <v>798</v>
      </c>
      <c r="K35" s="201" t="s">
        <v>798</v>
      </c>
      <c r="L35" s="201" t="s">
        <v>798</v>
      </c>
      <c r="M35" s="201" t="s">
        <v>298</v>
      </c>
      <c r="N35" s="201">
        <v>20.709970469999998</v>
      </c>
      <c r="O35" s="201">
        <v>93.015357969999997</v>
      </c>
      <c r="P35" s="201" t="s">
        <v>799</v>
      </c>
      <c r="Q35" s="201" t="s">
        <v>780</v>
      </c>
      <c r="R35" s="202"/>
      <c r="S35" s="200"/>
      <c r="T35" s="203"/>
      <c r="U35" s="204"/>
      <c r="V35" s="201"/>
      <c r="W35" s="421"/>
      <c r="X35" s="539"/>
      <c r="Y35" s="539"/>
      <c r="Z35" s="539"/>
    </row>
    <row r="36" spans="1:26" s="70" customFormat="1" ht="14.25" customHeight="1">
      <c r="A36" s="422" t="s">
        <v>2706</v>
      </c>
      <c r="B36" s="197" t="s">
        <v>306</v>
      </c>
      <c r="C36" s="198" t="s">
        <v>611</v>
      </c>
      <c r="D36" s="420" t="s">
        <v>1654</v>
      </c>
      <c r="E36" s="193">
        <v>196883</v>
      </c>
      <c r="F36" s="193"/>
      <c r="G36" s="193"/>
      <c r="H36" s="193"/>
      <c r="I36" s="193"/>
      <c r="J36" s="193" t="s">
        <v>804</v>
      </c>
      <c r="K36" s="193" t="s">
        <v>798</v>
      </c>
      <c r="L36" s="193" t="s">
        <v>804</v>
      </c>
      <c r="M36" s="193" t="s">
        <v>2009</v>
      </c>
      <c r="N36" s="193">
        <v>20.803529739999998</v>
      </c>
      <c r="O36" s="193">
        <v>92.929466250000004</v>
      </c>
      <c r="P36" s="193" t="s">
        <v>923</v>
      </c>
      <c r="Q36" s="193"/>
      <c r="R36" s="194"/>
      <c r="S36" s="192"/>
      <c r="T36" s="195"/>
      <c r="U36" s="196"/>
      <c r="V36" s="193" t="s">
        <v>611</v>
      </c>
      <c r="W36" s="421"/>
      <c r="X36" s="539"/>
      <c r="Y36" s="539"/>
      <c r="Z36" s="539"/>
    </row>
    <row r="37" spans="1:26" s="70" customFormat="1" ht="14.25" customHeight="1">
      <c r="A37" s="425" t="s">
        <v>2706</v>
      </c>
      <c r="B37" s="425" t="s">
        <v>306</v>
      </c>
      <c r="C37" s="426" t="s">
        <v>2830</v>
      </c>
      <c r="D37" s="420"/>
      <c r="F37" s="418"/>
      <c r="J37" s="70" t="s">
        <v>2714</v>
      </c>
      <c r="K37" s="70" t="s">
        <v>2676</v>
      </c>
      <c r="L37" s="70" t="s">
        <v>2676</v>
      </c>
      <c r="R37" s="429"/>
      <c r="S37" s="422"/>
      <c r="T37" s="104">
        <v>43591</v>
      </c>
      <c r="U37" s="429"/>
      <c r="W37" s="421"/>
      <c r="X37" s="539"/>
      <c r="Y37" s="539"/>
      <c r="Z37" s="539"/>
    </row>
    <row r="38" spans="1:26" s="70" customFormat="1" ht="14.25" customHeight="1">
      <c r="A38" s="422" t="s">
        <v>2706</v>
      </c>
      <c r="B38" s="197" t="s">
        <v>306</v>
      </c>
      <c r="C38" s="198" t="s">
        <v>551</v>
      </c>
      <c r="D38" s="470" t="s">
        <v>2786</v>
      </c>
      <c r="E38" s="193" t="s">
        <v>1385</v>
      </c>
      <c r="F38" s="193" t="s">
        <v>556</v>
      </c>
      <c r="G38" s="193" t="s">
        <v>551</v>
      </c>
      <c r="H38" s="193"/>
      <c r="I38" s="193"/>
      <c r="J38" s="70" t="s">
        <v>798</v>
      </c>
      <c r="K38" s="70" t="s">
        <v>798</v>
      </c>
      <c r="L38" s="70" t="s">
        <v>883</v>
      </c>
      <c r="M38" s="70" t="s">
        <v>795</v>
      </c>
      <c r="N38" s="70" t="s">
        <v>799</v>
      </c>
      <c r="O38" s="193">
        <v>93.009900000000002</v>
      </c>
      <c r="P38" s="70" t="s">
        <v>799</v>
      </c>
      <c r="Q38" s="193" t="s">
        <v>780</v>
      </c>
      <c r="R38" s="98">
        <v>236</v>
      </c>
      <c r="S38" s="422">
        <v>1524</v>
      </c>
      <c r="T38" s="195"/>
      <c r="U38" s="196"/>
      <c r="V38" s="193" t="s">
        <v>928</v>
      </c>
      <c r="W38" s="421"/>
      <c r="X38" s="539"/>
      <c r="Y38" s="539"/>
      <c r="Z38" s="539"/>
    </row>
    <row r="39" spans="1:26" s="70" customFormat="1" ht="14.25" customHeight="1">
      <c r="A39" s="422" t="s">
        <v>2706</v>
      </c>
      <c r="B39" s="425" t="s">
        <v>306</v>
      </c>
      <c r="C39" s="426" t="s">
        <v>2793</v>
      </c>
      <c r="D39" s="420"/>
      <c r="E39" s="70">
        <v>196906</v>
      </c>
      <c r="J39" s="70" t="s">
        <v>2714</v>
      </c>
      <c r="K39" s="70" t="s">
        <v>2676</v>
      </c>
      <c r="L39" s="70" t="s">
        <v>2676</v>
      </c>
      <c r="N39" s="70">
        <v>20.680830001831101</v>
      </c>
      <c r="O39" s="70">
        <v>92.917633056640597</v>
      </c>
      <c r="R39" s="429"/>
      <c r="S39" s="422"/>
      <c r="T39" s="104">
        <v>43591</v>
      </c>
      <c r="U39" s="429"/>
      <c r="W39" s="421"/>
      <c r="X39" s="539"/>
      <c r="Y39" s="539"/>
      <c r="Z39" s="539"/>
    </row>
    <row r="40" spans="1:26" s="70" customFormat="1" ht="14.25" customHeight="1">
      <c r="A40" s="422" t="s">
        <v>2706</v>
      </c>
      <c r="B40" s="418" t="s">
        <v>306</v>
      </c>
      <c r="C40" s="418" t="s">
        <v>2245</v>
      </c>
      <c r="D40" s="470"/>
      <c r="E40" s="70">
        <v>196804</v>
      </c>
      <c r="J40" s="70" t="s">
        <v>798</v>
      </c>
      <c r="K40" s="70" t="s">
        <v>798</v>
      </c>
      <c r="L40" s="70" t="s">
        <v>798</v>
      </c>
      <c r="N40" s="70">
        <v>20.896429059999999</v>
      </c>
      <c r="O40" s="70">
        <v>92.940193179999994</v>
      </c>
      <c r="P40" s="70" t="s">
        <v>799</v>
      </c>
      <c r="R40" s="421"/>
      <c r="S40" s="99"/>
      <c r="T40" s="104"/>
      <c r="U40" s="100"/>
      <c r="V40" s="70" t="s">
        <v>2237</v>
      </c>
      <c r="X40" s="539"/>
      <c r="Y40" s="539"/>
      <c r="Z40" s="539"/>
    </row>
    <row r="41" spans="1:26" s="70" customFormat="1" ht="14.25" customHeight="1">
      <c r="A41" s="422" t="s">
        <v>2706</v>
      </c>
      <c r="B41" s="418" t="s">
        <v>306</v>
      </c>
      <c r="C41" s="418" t="s">
        <v>2246</v>
      </c>
      <c r="D41" s="470"/>
      <c r="E41" s="418">
        <v>196816</v>
      </c>
      <c r="F41" s="418"/>
      <c r="G41" s="418"/>
      <c r="H41" s="418"/>
      <c r="J41" s="70" t="s">
        <v>798</v>
      </c>
      <c r="K41" s="70" t="s">
        <v>798</v>
      </c>
      <c r="L41" s="418" t="s">
        <v>798</v>
      </c>
      <c r="N41" s="418">
        <v>20.727590559999999</v>
      </c>
      <c r="O41" s="418">
        <v>92.969352720000003</v>
      </c>
      <c r="P41" s="418" t="s">
        <v>799</v>
      </c>
      <c r="R41" s="421"/>
      <c r="S41" s="422"/>
      <c r="T41" s="104"/>
      <c r="U41" s="423"/>
      <c r="V41" s="418" t="s">
        <v>2239</v>
      </c>
      <c r="W41" s="418"/>
      <c r="X41" s="539"/>
      <c r="Y41" s="539"/>
      <c r="Z41" s="539"/>
    </row>
    <row r="42" spans="1:26" s="70" customFormat="1" ht="14.25" customHeight="1">
      <c r="A42" s="549" t="s">
        <v>2706</v>
      </c>
      <c r="B42" s="549" t="s">
        <v>306</v>
      </c>
      <c r="C42" s="550" t="s">
        <v>2881</v>
      </c>
      <c r="D42" s="544"/>
      <c r="E42" s="418"/>
      <c r="F42" s="418"/>
      <c r="G42" s="418"/>
      <c r="H42" s="418"/>
      <c r="I42" s="418"/>
      <c r="J42" s="418" t="s">
        <v>2714</v>
      </c>
      <c r="K42" s="418" t="s">
        <v>2676</v>
      </c>
      <c r="L42" s="418" t="s">
        <v>2676</v>
      </c>
      <c r="M42" s="418"/>
      <c r="N42" s="418"/>
      <c r="O42" s="418"/>
      <c r="P42" s="418"/>
      <c r="Q42" s="418"/>
      <c r="R42" s="553"/>
      <c r="S42" s="422"/>
      <c r="T42" s="441">
        <v>43591</v>
      </c>
      <c r="U42" s="553"/>
      <c r="V42" s="418"/>
      <c r="W42" s="545"/>
      <c r="X42" s="539"/>
      <c r="Y42" s="539"/>
      <c r="Z42" s="539"/>
    </row>
    <row r="43" spans="1:26" s="70" customFormat="1" ht="14.25" customHeight="1">
      <c r="A43" s="422" t="s">
        <v>2706</v>
      </c>
      <c r="B43" s="418" t="s">
        <v>306</v>
      </c>
      <c r="C43" s="418" t="s">
        <v>2305</v>
      </c>
      <c r="D43" s="470"/>
      <c r="E43" s="418">
        <v>196938</v>
      </c>
      <c r="F43" s="418" t="s">
        <v>2301</v>
      </c>
      <c r="G43" s="418"/>
      <c r="H43" s="418"/>
      <c r="I43" s="418"/>
      <c r="J43" s="418" t="s">
        <v>798</v>
      </c>
      <c r="K43" s="418" t="s">
        <v>798</v>
      </c>
      <c r="L43" s="418" t="s">
        <v>798</v>
      </c>
      <c r="M43" s="418"/>
      <c r="N43" s="418">
        <v>20.640909189999999</v>
      </c>
      <c r="O43" s="418">
        <v>92.979751590000006</v>
      </c>
      <c r="P43" s="418" t="s">
        <v>799</v>
      </c>
      <c r="Q43" s="418" t="s">
        <v>2260</v>
      </c>
      <c r="R43" s="421"/>
      <c r="S43" s="422"/>
      <c r="T43" s="441">
        <v>43465</v>
      </c>
      <c r="U43" s="423" t="s">
        <v>2303</v>
      </c>
      <c r="V43" s="418" t="s">
        <v>2299</v>
      </c>
      <c r="W43" s="418"/>
      <c r="X43" s="539"/>
      <c r="Y43" s="539"/>
      <c r="Z43" s="539"/>
    </row>
    <row r="44" spans="1:26" s="70" customFormat="1" ht="14.25" customHeight="1">
      <c r="A44" s="546" t="s">
        <v>2706</v>
      </c>
      <c r="B44" s="539" t="s">
        <v>306</v>
      </c>
      <c r="C44" s="539" t="s">
        <v>649</v>
      </c>
      <c r="D44" s="470" t="s">
        <v>2786</v>
      </c>
      <c r="E44" s="70" t="s">
        <v>1400</v>
      </c>
      <c r="F44" s="70" t="s">
        <v>1753</v>
      </c>
      <c r="G44" s="70" t="s">
        <v>1754</v>
      </c>
      <c r="J44" s="70" t="s">
        <v>798</v>
      </c>
      <c r="K44" s="70" t="s">
        <v>798</v>
      </c>
      <c r="L44" s="70" t="s">
        <v>821</v>
      </c>
      <c r="M44" s="70" t="s">
        <v>795</v>
      </c>
      <c r="N44" s="70">
        <v>20.886997999999998</v>
      </c>
      <c r="O44" s="70">
        <v>93.006497999999993</v>
      </c>
      <c r="P44" s="70" t="s">
        <v>799</v>
      </c>
      <c r="Q44" s="70" t="s">
        <v>780</v>
      </c>
      <c r="R44" s="545">
        <v>97</v>
      </c>
      <c r="S44" s="99">
        <v>557</v>
      </c>
      <c r="T44" s="104"/>
      <c r="U44" s="547"/>
      <c r="V44" s="70" t="s">
        <v>649</v>
      </c>
      <c r="W44" s="539"/>
      <c r="X44" s="539"/>
      <c r="Y44" s="539"/>
      <c r="Z44" s="539"/>
    </row>
    <row r="45" spans="1:26" s="70" customFormat="1" ht="14.25" customHeight="1">
      <c r="A45" s="549" t="s">
        <v>2706</v>
      </c>
      <c r="B45" s="549" t="s">
        <v>306</v>
      </c>
      <c r="C45" s="550" t="s">
        <v>2837</v>
      </c>
      <c r="D45" s="544"/>
      <c r="E45" s="418">
        <v>196865</v>
      </c>
      <c r="F45" s="418"/>
      <c r="G45" s="418"/>
      <c r="H45" s="418"/>
      <c r="I45" s="418"/>
      <c r="J45" s="418" t="s">
        <v>2714</v>
      </c>
      <c r="K45" s="418" t="s">
        <v>2676</v>
      </c>
      <c r="L45" s="418" t="s">
        <v>2676</v>
      </c>
      <c r="M45" s="418"/>
      <c r="N45" s="418">
        <v>20.8122158050537</v>
      </c>
      <c r="O45" s="418">
        <v>93.061012268066406</v>
      </c>
      <c r="P45" s="418"/>
      <c r="Q45" s="418"/>
      <c r="R45" s="553"/>
      <c r="S45" s="422"/>
      <c r="T45" s="441">
        <v>43591</v>
      </c>
      <c r="U45" s="553"/>
      <c r="V45" s="418"/>
      <c r="W45" s="545"/>
      <c r="X45" s="539"/>
      <c r="Y45" s="539"/>
      <c r="Z45" s="539"/>
    </row>
    <row r="46" spans="1:26" s="70" customFormat="1" ht="14.25" customHeight="1">
      <c r="A46" s="422" t="s">
        <v>2706</v>
      </c>
      <c r="B46" s="418" t="s">
        <v>306</v>
      </c>
      <c r="C46" s="418" t="s">
        <v>658</v>
      </c>
      <c r="D46" s="470" t="s">
        <v>1654</v>
      </c>
      <c r="E46" s="418">
        <v>196807</v>
      </c>
      <c r="F46" s="418"/>
      <c r="G46" s="418"/>
      <c r="H46" s="418"/>
      <c r="I46" s="418"/>
      <c r="J46" s="418" t="s">
        <v>804</v>
      </c>
      <c r="K46" s="418" t="s">
        <v>798</v>
      </c>
      <c r="L46" s="418" t="s">
        <v>804</v>
      </c>
      <c r="M46" s="418" t="s">
        <v>2009</v>
      </c>
      <c r="N46" s="418">
        <v>20.895059589999999</v>
      </c>
      <c r="O46" s="418">
        <v>92.90735626</v>
      </c>
      <c r="P46" s="418" t="s">
        <v>923</v>
      </c>
      <c r="Q46" s="418" t="s">
        <v>926</v>
      </c>
      <c r="R46" s="421"/>
      <c r="S46" s="422"/>
      <c r="T46" s="441">
        <v>43011</v>
      </c>
      <c r="U46" s="423" t="s">
        <v>927</v>
      </c>
      <c r="V46" s="418"/>
      <c r="W46" s="418"/>
      <c r="X46" s="539"/>
      <c r="Y46" s="539"/>
      <c r="Z46" s="539"/>
    </row>
    <row r="47" spans="1:26" s="70" customFormat="1" ht="14.25" customHeight="1">
      <c r="A47" s="422" t="s">
        <v>2706</v>
      </c>
      <c r="B47" s="418" t="s">
        <v>306</v>
      </c>
      <c r="C47" s="70" t="s">
        <v>619</v>
      </c>
      <c r="D47" s="470" t="s">
        <v>1654</v>
      </c>
      <c r="E47" s="70">
        <v>196882</v>
      </c>
      <c r="J47" s="70" t="s">
        <v>804</v>
      </c>
      <c r="K47" s="70" t="s">
        <v>798</v>
      </c>
      <c r="L47" s="70" t="s">
        <v>804</v>
      </c>
      <c r="M47" s="70" t="s">
        <v>2009</v>
      </c>
      <c r="N47" s="70">
        <v>20.807970050000002</v>
      </c>
      <c r="O47" s="70">
        <v>92.929046630000002</v>
      </c>
      <c r="P47" s="70" t="s">
        <v>923</v>
      </c>
      <c r="Q47" s="70" t="s">
        <v>926</v>
      </c>
      <c r="R47" s="98"/>
      <c r="S47" s="422"/>
      <c r="T47" s="104">
        <v>43011</v>
      </c>
      <c r="U47" s="100" t="s">
        <v>927</v>
      </c>
      <c r="X47" s="539"/>
      <c r="Y47" s="539"/>
      <c r="Z47" s="539"/>
    </row>
    <row r="48" spans="1:26" s="70" customFormat="1" ht="14.25" customHeight="1">
      <c r="A48" s="422" t="s">
        <v>2706</v>
      </c>
      <c r="B48" s="418" t="s">
        <v>306</v>
      </c>
      <c r="C48" s="418" t="s">
        <v>701</v>
      </c>
      <c r="D48" s="470" t="s">
        <v>1654</v>
      </c>
      <c r="E48" s="418">
        <v>196875</v>
      </c>
      <c r="F48" s="418"/>
      <c r="G48" s="418"/>
      <c r="H48" s="418"/>
      <c r="I48" s="418"/>
      <c r="J48" s="418" t="s">
        <v>798</v>
      </c>
      <c r="K48" s="418" t="s">
        <v>798</v>
      </c>
      <c r="L48" s="418" t="s">
        <v>798</v>
      </c>
      <c r="M48" s="418" t="s">
        <v>298</v>
      </c>
      <c r="N48" s="418">
        <v>20.60802078</v>
      </c>
      <c r="O48" s="418">
        <v>93.035400390000007</v>
      </c>
      <c r="P48" s="418" t="s">
        <v>799</v>
      </c>
      <c r="Q48" s="418" t="s">
        <v>780</v>
      </c>
      <c r="R48" s="421"/>
      <c r="S48" s="422"/>
      <c r="T48" s="441"/>
      <c r="U48" s="423"/>
      <c r="V48" s="418"/>
      <c r="W48" s="418"/>
      <c r="X48" s="539"/>
      <c r="Y48" s="539"/>
      <c r="Z48" s="539"/>
    </row>
    <row r="49" spans="1:26" s="70" customFormat="1" ht="14.25" customHeight="1">
      <c r="A49" s="422" t="s">
        <v>2706</v>
      </c>
      <c r="B49" s="418" t="s">
        <v>306</v>
      </c>
      <c r="C49" s="418" t="s">
        <v>699</v>
      </c>
      <c r="D49" s="470" t="s">
        <v>1654</v>
      </c>
      <c r="E49" s="418">
        <v>196971</v>
      </c>
      <c r="F49" s="418"/>
      <c r="G49" s="418"/>
      <c r="H49" s="418"/>
      <c r="I49" s="418"/>
      <c r="J49" s="70" t="s">
        <v>798</v>
      </c>
      <c r="K49" s="70" t="s">
        <v>798</v>
      </c>
      <c r="L49" s="70" t="s">
        <v>798</v>
      </c>
      <c r="M49" s="418" t="s">
        <v>298</v>
      </c>
      <c r="N49" s="418">
        <v>20.716699599999998</v>
      </c>
      <c r="O49" s="418">
        <v>92.997863769999995</v>
      </c>
      <c r="P49" s="70" t="s">
        <v>799</v>
      </c>
      <c r="Q49" s="418" t="s">
        <v>780</v>
      </c>
      <c r="R49" s="421"/>
      <c r="S49" s="422"/>
      <c r="T49" s="441"/>
      <c r="U49" s="423"/>
      <c r="V49" s="418"/>
      <c r="X49" s="539"/>
      <c r="Y49" s="539"/>
      <c r="Z49" s="539"/>
    </row>
    <row r="50" spans="1:26" s="70" customFormat="1" ht="14.25" customHeight="1">
      <c r="A50" s="422" t="s">
        <v>2706</v>
      </c>
      <c r="B50" s="418" t="s">
        <v>306</v>
      </c>
      <c r="C50" s="418" t="s">
        <v>920</v>
      </c>
      <c r="D50" s="470" t="s">
        <v>1654</v>
      </c>
      <c r="E50" s="70">
        <v>196926</v>
      </c>
      <c r="J50" s="70" t="s">
        <v>798</v>
      </c>
      <c r="K50" s="70" t="s">
        <v>798</v>
      </c>
      <c r="L50" s="70" t="s">
        <v>798</v>
      </c>
      <c r="M50" s="70" t="s">
        <v>298</v>
      </c>
      <c r="N50" s="70">
        <v>20.644800190000002</v>
      </c>
      <c r="O50" s="70">
        <v>92.945426940000004</v>
      </c>
      <c r="P50" s="70" t="s">
        <v>799</v>
      </c>
      <c r="R50" s="421"/>
      <c r="S50" s="99"/>
      <c r="T50" s="104"/>
      <c r="U50" s="100"/>
      <c r="V50" s="70" t="s">
        <v>920</v>
      </c>
      <c r="X50" s="539"/>
      <c r="Y50" s="539"/>
      <c r="Z50" s="539"/>
    </row>
    <row r="51" spans="1:26" s="70" customFormat="1" ht="14.25" customHeight="1">
      <c r="A51" s="422" t="s">
        <v>2706</v>
      </c>
      <c r="B51" s="418" t="s">
        <v>306</v>
      </c>
      <c r="C51" s="418" t="s">
        <v>614</v>
      </c>
      <c r="D51" s="470" t="s">
        <v>2786</v>
      </c>
      <c r="E51" s="418" t="s">
        <v>1392</v>
      </c>
      <c r="F51" s="418" t="s">
        <v>1750</v>
      </c>
      <c r="G51" s="418" t="s">
        <v>618</v>
      </c>
      <c r="H51" s="418"/>
      <c r="I51" s="418"/>
      <c r="J51" s="418" t="s">
        <v>798</v>
      </c>
      <c r="K51" s="418" t="s">
        <v>798</v>
      </c>
      <c r="L51" s="418" t="s">
        <v>883</v>
      </c>
      <c r="M51" s="418" t="s">
        <v>795</v>
      </c>
      <c r="N51" s="418">
        <v>20.805734000000001</v>
      </c>
      <c r="O51" s="418">
        <v>92.982675999999998</v>
      </c>
      <c r="P51" s="418" t="s">
        <v>799</v>
      </c>
      <c r="Q51" s="418" t="s">
        <v>780</v>
      </c>
      <c r="R51" s="421">
        <v>18</v>
      </c>
      <c r="S51" s="422">
        <v>157</v>
      </c>
      <c r="T51" s="441"/>
      <c r="U51" s="423"/>
      <c r="V51" s="418" t="s">
        <v>614</v>
      </c>
      <c r="W51" s="418"/>
      <c r="X51" s="539"/>
      <c r="Y51" s="539"/>
      <c r="Z51" s="539"/>
    </row>
    <row r="52" spans="1:26" s="70" customFormat="1" ht="14.25" customHeight="1">
      <c r="A52" s="546" t="s">
        <v>2706</v>
      </c>
      <c r="B52" s="539" t="s">
        <v>306</v>
      </c>
      <c r="C52" s="539" t="s">
        <v>600</v>
      </c>
      <c r="D52" s="470" t="s">
        <v>1654</v>
      </c>
      <c r="E52" s="418">
        <v>196887</v>
      </c>
      <c r="J52" s="70" t="s">
        <v>804</v>
      </c>
      <c r="K52" s="70" t="s">
        <v>798</v>
      </c>
      <c r="L52" s="70" t="s">
        <v>804</v>
      </c>
      <c r="M52" s="70" t="s">
        <v>2009</v>
      </c>
      <c r="N52" s="70">
        <v>20.785770419999999</v>
      </c>
      <c r="O52" s="70">
        <v>92.931426999999999</v>
      </c>
      <c r="P52" s="70" t="s">
        <v>923</v>
      </c>
      <c r="Q52" s="70" t="s">
        <v>926</v>
      </c>
      <c r="R52" s="545"/>
      <c r="S52" s="422"/>
      <c r="T52" s="104">
        <v>43011</v>
      </c>
      <c r="U52" s="547" t="s">
        <v>927</v>
      </c>
      <c r="W52" s="539"/>
      <c r="X52" s="539"/>
      <c r="Y52" s="539"/>
      <c r="Z52" s="539"/>
    </row>
    <row r="53" spans="1:26" s="70" customFormat="1" ht="14.25" customHeight="1">
      <c r="A53" s="549" t="s">
        <v>2706</v>
      </c>
      <c r="B53" s="549" t="s">
        <v>306</v>
      </c>
      <c r="C53" s="550" t="s">
        <v>2832</v>
      </c>
      <c r="D53" s="544"/>
      <c r="E53" s="70" t="s">
        <v>2861</v>
      </c>
      <c r="J53" s="70" t="s">
        <v>2714</v>
      </c>
      <c r="K53" s="70" t="s">
        <v>2676</v>
      </c>
      <c r="L53" s="70" t="s">
        <v>2676</v>
      </c>
      <c r="R53" s="553"/>
      <c r="S53" s="422"/>
      <c r="T53" s="104">
        <v>43591</v>
      </c>
      <c r="U53" s="553"/>
      <c r="W53" s="545"/>
      <c r="X53" s="539"/>
      <c r="Y53" s="539"/>
      <c r="Z53" s="539"/>
    </row>
    <row r="54" spans="1:26" s="70" customFormat="1" ht="14.25" customHeight="1">
      <c r="A54" s="546" t="s">
        <v>2706</v>
      </c>
      <c r="B54" s="539" t="s">
        <v>306</v>
      </c>
      <c r="C54" s="539" t="s">
        <v>559</v>
      </c>
      <c r="D54" s="470" t="s">
        <v>1654</v>
      </c>
      <c r="E54" s="70">
        <v>196944</v>
      </c>
      <c r="J54" s="70" t="s">
        <v>804</v>
      </c>
      <c r="K54" s="70" t="s">
        <v>798</v>
      </c>
      <c r="L54" s="70" t="s">
        <v>804</v>
      </c>
      <c r="M54" s="70" t="s">
        <v>298</v>
      </c>
      <c r="N54" s="70">
        <v>20.71134949</v>
      </c>
      <c r="O54" s="70">
        <v>92.980506899999995</v>
      </c>
      <c r="P54" s="70" t="s">
        <v>923</v>
      </c>
      <c r="Q54" s="70" t="s">
        <v>926</v>
      </c>
      <c r="R54" s="545"/>
      <c r="S54" s="422"/>
      <c r="T54" s="104">
        <v>43011</v>
      </c>
      <c r="U54" s="547" t="s">
        <v>927</v>
      </c>
      <c r="W54" s="539"/>
      <c r="X54" s="539"/>
      <c r="Y54" s="539"/>
      <c r="Z54" s="539"/>
    </row>
    <row r="55" spans="1:26" s="70" customFormat="1" ht="14.25" customHeight="1">
      <c r="A55" s="549" t="s">
        <v>2706</v>
      </c>
      <c r="B55" s="549" t="s">
        <v>306</v>
      </c>
      <c r="C55" s="550" t="s">
        <v>2829</v>
      </c>
      <c r="D55" s="420"/>
      <c r="E55" s="539">
        <v>220632</v>
      </c>
      <c r="F55" s="539"/>
      <c r="G55" s="539"/>
      <c r="H55" s="539"/>
      <c r="I55" s="539"/>
      <c r="J55" s="539" t="s">
        <v>2714</v>
      </c>
      <c r="K55" s="539" t="s">
        <v>2676</v>
      </c>
      <c r="L55" s="539" t="s">
        <v>2676</v>
      </c>
      <c r="M55" s="539"/>
      <c r="N55" s="539">
        <v>20.746028900146499</v>
      </c>
      <c r="O55" s="539">
        <v>92.839714050292997</v>
      </c>
      <c r="P55" s="539"/>
      <c r="Q55" s="539"/>
      <c r="R55" s="553"/>
      <c r="S55" s="546"/>
      <c r="T55" s="565">
        <v>43591</v>
      </c>
      <c r="U55" s="553"/>
      <c r="V55" s="539"/>
      <c r="W55" s="421"/>
      <c r="X55" s="539"/>
      <c r="Y55" s="539"/>
      <c r="Z55" s="539"/>
    </row>
    <row r="56" spans="1:26" s="70" customFormat="1" ht="14.25" customHeight="1">
      <c r="A56" s="422" t="s">
        <v>2706</v>
      </c>
      <c r="B56" s="205" t="s">
        <v>306</v>
      </c>
      <c r="C56" s="206" t="s">
        <v>695</v>
      </c>
      <c r="D56" s="420" t="s">
        <v>1654</v>
      </c>
      <c r="E56" s="201">
        <v>196884</v>
      </c>
      <c r="F56" s="201"/>
      <c r="G56" s="201"/>
      <c r="H56" s="201"/>
      <c r="I56" s="201"/>
      <c r="J56" s="201" t="s">
        <v>804</v>
      </c>
      <c r="K56" s="201" t="s">
        <v>879</v>
      </c>
      <c r="L56" s="201" t="s">
        <v>804</v>
      </c>
      <c r="M56" s="201" t="s">
        <v>298</v>
      </c>
      <c r="N56" s="201">
        <v>20.786739350000001</v>
      </c>
      <c r="O56" s="201">
        <v>92.944313050000005</v>
      </c>
      <c r="P56" s="201" t="s">
        <v>923</v>
      </c>
      <c r="Q56" s="201" t="s">
        <v>780</v>
      </c>
      <c r="R56" s="202"/>
      <c r="S56" s="200"/>
      <c r="T56" s="203"/>
      <c r="U56" s="204"/>
      <c r="V56" s="201"/>
      <c r="W56" s="421"/>
      <c r="X56" s="539"/>
      <c r="Y56" s="539"/>
      <c r="Z56" s="539"/>
    </row>
    <row r="57" spans="1:26" s="70" customFormat="1" ht="14.25" customHeight="1">
      <c r="A57" s="422" t="s">
        <v>2706</v>
      </c>
      <c r="B57" s="197" t="s">
        <v>306</v>
      </c>
      <c r="C57" s="198" t="s">
        <v>2247</v>
      </c>
      <c r="D57" s="544"/>
      <c r="E57" s="193">
        <v>196813</v>
      </c>
      <c r="F57" s="193"/>
      <c r="G57" s="193"/>
      <c r="H57" s="193"/>
      <c r="I57" s="193"/>
      <c r="J57" s="193" t="s">
        <v>798</v>
      </c>
      <c r="K57" s="193" t="s">
        <v>798</v>
      </c>
      <c r="L57" s="193" t="s">
        <v>798</v>
      </c>
      <c r="M57" s="193"/>
      <c r="N57" s="193">
        <v>20.883239750000001</v>
      </c>
      <c r="O57" s="193">
        <v>92.936859130000002</v>
      </c>
      <c r="P57" s="193" t="s">
        <v>799</v>
      </c>
      <c r="Q57" s="193"/>
      <c r="R57" s="194"/>
      <c r="S57" s="192"/>
      <c r="T57" s="195"/>
      <c r="U57" s="196"/>
      <c r="V57" s="193" t="s">
        <v>2240</v>
      </c>
      <c r="W57" s="545"/>
      <c r="X57" s="539"/>
      <c r="Y57" s="539"/>
      <c r="Z57" s="539"/>
    </row>
    <row r="58" spans="1:26" s="70" customFormat="1" ht="14.25" customHeight="1">
      <c r="A58" s="422" t="s">
        <v>2706</v>
      </c>
      <c r="B58" s="418" t="s">
        <v>306</v>
      </c>
      <c r="C58" s="418" t="s">
        <v>620</v>
      </c>
      <c r="D58" s="470" t="s">
        <v>1654</v>
      </c>
      <c r="E58" s="70">
        <v>196881</v>
      </c>
      <c r="J58" s="70" t="s">
        <v>804</v>
      </c>
      <c r="K58" s="70" t="s">
        <v>798</v>
      </c>
      <c r="L58" s="70" t="s">
        <v>804</v>
      </c>
      <c r="M58" s="70" t="s">
        <v>2009</v>
      </c>
      <c r="N58" s="70">
        <v>20.809240339999999</v>
      </c>
      <c r="O58" s="70">
        <v>92.923919679999997</v>
      </c>
      <c r="P58" s="70" t="s">
        <v>923</v>
      </c>
      <c r="Q58" s="70" t="s">
        <v>926</v>
      </c>
      <c r="R58" s="421"/>
      <c r="S58" s="99"/>
      <c r="T58" s="104">
        <v>43011</v>
      </c>
      <c r="U58" s="100" t="s">
        <v>927</v>
      </c>
      <c r="W58" s="418"/>
      <c r="X58" s="539"/>
      <c r="Y58" s="539"/>
      <c r="Z58" s="539"/>
    </row>
    <row r="59" spans="1:26" s="70" customFormat="1" ht="14.25" customHeight="1">
      <c r="A59" s="546" t="s">
        <v>2706</v>
      </c>
      <c r="B59" s="539" t="s">
        <v>306</v>
      </c>
      <c r="C59" s="539" t="s">
        <v>943</v>
      </c>
      <c r="D59" s="470" t="s">
        <v>2786</v>
      </c>
      <c r="E59" s="70" t="s">
        <v>1399</v>
      </c>
      <c r="F59" s="70" t="s">
        <v>1752</v>
      </c>
      <c r="G59" s="70" t="s">
        <v>944</v>
      </c>
      <c r="H59" s="70" t="s">
        <v>42</v>
      </c>
      <c r="J59" s="70" t="s">
        <v>44</v>
      </c>
      <c r="K59" s="70" t="s">
        <v>44</v>
      </c>
      <c r="L59" s="70" t="s">
        <v>797</v>
      </c>
      <c r="M59" s="70" t="s">
        <v>795</v>
      </c>
      <c r="N59" s="418">
        <v>20.865687000000001</v>
      </c>
      <c r="O59" s="418">
        <v>92.965980999999999</v>
      </c>
      <c r="P59" s="70" t="s">
        <v>761</v>
      </c>
      <c r="Q59" s="70" t="s">
        <v>780</v>
      </c>
      <c r="R59" s="545"/>
      <c r="S59" s="422"/>
      <c r="T59" s="104"/>
      <c r="U59" s="547"/>
      <c r="V59" s="70" t="s">
        <v>944</v>
      </c>
      <c r="W59" s="539"/>
      <c r="X59" s="539"/>
      <c r="Y59" s="539"/>
      <c r="Z59" s="539"/>
    </row>
    <row r="60" spans="1:26" s="70" customFormat="1" ht="14.25" customHeight="1">
      <c r="A60" s="422" t="s">
        <v>2706</v>
      </c>
      <c r="B60" s="186" t="s">
        <v>306</v>
      </c>
      <c r="C60" s="186" t="s">
        <v>540</v>
      </c>
      <c r="D60" s="420" t="s">
        <v>1654</v>
      </c>
      <c r="E60" s="182">
        <v>196930</v>
      </c>
      <c r="F60" s="182"/>
      <c r="G60" s="182"/>
      <c r="H60" s="182"/>
      <c r="I60" s="182"/>
      <c r="J60" s="70" t="s">
        <v>804</v>
      </c>
      <c r="K60" s="418" t="s">
        <v>798</v>
      </c>
      <c r="L60" s="418" t="s">
        <v>804</v>
      </c>
      <c r="M60" s="182" t="s">
        <v>2008</v>
      </c>
      <c r="N60" s="182">
        <v>20.681715010000001</v>
      </c>
      <c r="O60" s="182">
        <v>92.94140625</v>
      </c>
      <c r="P60" s="70" t="s">
        <v>923</v>
      </c>
      <c r="Q60" s="182" t="s">
        <v>926</v>
      </c>
      <c r="R60" s="183"/>
      <c r="S60" s="181"/>
      <c r="T60" s="184">
        <v>43011</v>
      </c>
      <c r="U60" s="185" t="s">
        <v>927</v>
      </c>
      <c r="V60" s="182"/>
      <c r="W60" s="418"/>
      <c r="X60" s="539"/>
      <c r="Y60" s="539"/>
      <c r="Z60" s="539"/>
    </row>
    <row r="61" spans="1:26" s="70" customFormat="1" ht="14.25" customHeight="1">
      <c r="A61" s="422" t="s">
        <v>2706</v>
      </c>
      <c r="B61" s="418" t="s">
        <v>306</v>
      </c>
      <c r="C61" s="418" t="s">
        <v>660</v>
      </c>
      <c r="D61" s="470" t="s">
        <v>1654</v>
      </c>
      <c r="E61" s="70">
        <v>196787</v>
      </c>
      <c r="J61" s="70" t="s">
        <v>798</v>
      </c>
      <c r="K61" s="70" t="s">
        <v>798</v>
      </c>
      <c r="L61" s="70" t="s">
        <v>798</v>
      </c>
      <c r="M61" s="70" t="s">
        <v>795</v>
      </c>
      <c r="N61" s="70">
        <v>20.90377045</v>
      </c>
      <c r="O61" s="418">
        <v>93.004432679999994</v>
      </c>
      <c r="P61" s="70" t="s">
        <v>799</v>
      </c>
      <c r="Q61" s="70" t="s">
        <v>780</v>
      </c>
      <c r="R61" s="421"/>
      <c r="S61" s="422"/>
      <c r="T61" s="104"/>
      <c r="U61" s="100"/>
      <c r="V61" s="70" t="s">
        <v>660</v>
      </c>
      <c r="X61" s="539"/>
      <c r="Y61" s="539"/>
      <c r="Z61" s="539"/>
    </row>
    <row r="62" spans="1:26" s="70" customFormat="1" ht="14.25" customHeight="1">
      <c r="A62" s="425" t="s">
        <v>2706</v>
      </c>
      <c r="B62" s="425" t="s">
        <v>306</v>
      </c>
      <c r="C62" s="426" t="s">
        <v>2833</v>
      </c>
      <c r="D62" s="420"/>
      <c r="E62" s="70" t="s">
        <v>2862</v>
      </c>
      <c r="J62" s="70" t="s">
        <v>2714</v>
      </c>
      <c r="K62" s="70" t="s">
        <v>2676</v>
      </c>
      <c r="L62" s="70" t="s">
        <v>2676</v>
      </c>
      <c r="R62" s="429"/>
      <c r="S62" s="422"/>
      <c r="T62" s="104">
        <v>43591</v>
      </c>
      <c r="U62" s="429"/>
      <c r="W62" s="421"/>
      <c r="X62" s="539"/>
      <c r="Y62" s="539"/>
      <c r="Z62" s="539"/>
    </row>
    <row r="63" spans="1:26" s="70" customFormat="1" ht="14.25" customHeight="1">
      <c r="A63" s="422" t="s">
        <v>2706</v>
      </c>
      <c r="B63" s="197" t="s">
        <v>306</v>
      </c>
      <c r="C63" s="198" t="s">
        <v>337</v>
      </c>
      <c r="D63" s="420" t="s">
        <v>1654</v>
      </c>
      <c r="E63" s="193"/>
      <c r="F63" s="193"/>
      <c r="G63" s="193"/>
      <c r="H63" s="193"/>
      <c r="I63" s="193"/>
      <c r="J63" s="193" t="s">
        <v>804</v>
      </c>
      <c r="K63" s="193" t="s">
        <v>798</v>
      </c>
      <c r="L63" s="193" t="s">
        <v>804</v>
      </c>
      <c r="M63" s="193" t="s">
        <v>2009</v>
      </c>
      <c r="N63" s="193"/>
      <c r="O63" s="193"/>
      <c r="P63" s="193" t="s">
        <v>923</v>
      </c>
      <c r="Q63" s="193" t="s">
        <v>926</v>
      </c>
      <c r="R63" s="194"/>
      <c r="S63" s="192"/>
      <c r="T63" s="195">
        <v>43011</v>
      </c>
      <c r="U63" s="196" t="s">
        <v>927</v>
      </c>
      <c r="V63" s="193"/>
      <c r="W63" s="421"/>
      <c r="X63" s="539"/>
      <c r="Y63" s="539"/>
      <c r="Z63" s="539"/>
    </row>
    <row r="64" spans="1:26" s="70" customFormat="1" ht="14.25" customHeight="1">
      <c r="A64" s="422" t="s">
        <v>2706</v>
      </c>
      <c r="B64" s="418" t="s">
        <v>306</v>
      </c>
      <c r="C64" s="418" t="s">
        <v>1134</v>
      </c>
      <c r="D64" s="470" t="s">
        <v>1654</v>
      </c>
      <c r="E64" s="418">
        <v>196759</v>
      </c>
      <c r="J64" s="70" t="s">
        <v>798</v>
      </c>
      <c r="K64" s="70" t="s">
        <v>798</v>
      </c>
      <c r="L64" s="70" t="s">
        <v>798</v>
      </c>
      <c r="M64" s="70" t="s">
        <v>2009</v>
      </c>
      <c r="O64" s="418"/>
      <c r="P64" s="70" t="s">
        <v>799</v>
      </c>
      <c r="R64" s="421"/>
      <c r="S64" s="99"/>
      <c r="T64" s="104"/>
      <c r="U64" s="100"/>
      <c r="V64" s="70" t="s">
        <v>1134</v>
      </c>
      <c r="W64" s="418"/>
      <c r="X64" s="539"/>
      <c r="Y64" s="539"/>
      <c r="Z64" s="539"/>
    </row>
    <row r="65" spans="1:26" s="70" customFormat="1" ht="14.25" customHeight="1">
      <c r="A65" s="422" t="s">
        <v>2706</v>
      </c>
      <c r="B65" s="425" t="s">
        <v>306</v>
      </c>
      <c r="C65" s="426" t="s">
        <v>2007</v>
      </c>
      <c r="D65" s="420" t="s">
        <v>1654</v>
      </c>
      <c r="J65" s="70" t="s">
        <v>804</v>
      </c>
      <c r="K65" s="70" t="s">
        <v>798</v>
      </c>
      <c r="L65" s="70" t="s">
        <v>804</v>
      </c>
      <c r="M65" s="70" t="s">
        <v>298</v>
      </c>
      <c r="P65" s="70" t="s">
        <v>923</v>
      </c>
      <c r="Q65" s="70" t="s">
        <v>926</v>
      </c>
      <c r="R65" s="429"/>
      <c r="S65" s="422"/>
      <c r="T65" s="104">
        <v>43011</v>
      </c>
      <c r="U65" s="100" t="s">
        <v>927</v>
      </c>
      <c r="W65" s="418"/>
      <c r="X65" s="539"/>
      <c r="Y65" s="539"/>
      <c r="Z65" s="539"/>
    </row>
    <row r="66" spans="1:26" s="70" customFormat="1" ht="14.25" customHeight="1">
      <c r="A66" s="422" t="s">
        <v>2706</v>
      </c>
      <c r="B66" s="425" t="s">
        <v>306</v>
      </c>
      <c r="C66" s="426" t="s">
        <v>340</v>
      </c>
      <c r="D66" s="420" t="s">
        <v>1654</v>
      </c>
      <c r="E66" s="418">
        <v>196815</v>
      </c>
      <c r="F66" s="418"/>
      <c r="G66" s="418"/>
      <c r="H66" s="418"/>
      <c r="I66" s="418"/>
      <c r="J66" s="70" t="s">
        <v>804</v>
      </c>
      <c r="K66" s="418" t="s">
        <v>798</v>
      </c>
      <c r="L66" s="418" t="s">
        <v>804</v>
      </c>
      <c r="M66" s="70" t="s">
        <v>2006</v>
      </c>
      <c r="N66" s="418"/>
      <c r="O66" s="418"/>
      <c r="P66" s="70" t="s">
        <v>923</v>
      </c>
      <c r="Q66" s="70" t="s">
        <v>926</v>
      </c>
      <c r="R66" s="429"/>
      <c r="S66" s="99"/>
      <c r="T66" s="104">
        <v>43011</v>
      </c>
      <c r="U66" s="100" t="s">
        <v>927</v>
      </c>
      <c r="X66" s="539"/>
      <c r="Y66" s="539"/>
      <c r="Z66" s="539"/>
    </row>
    <row r="67" spans="1:26" s="70" customFormat="1" ht="14.25" customHeight="1">
      <c r="A67" s="422" t="s">
        <v>2706</v>
      </c>
      <c r="B67" s="425" t="s">
        <v>306</v>
      </c>
      <c r="C67" s="426" t="s">
        <v>2251</v>
      </c>
      <c r="D67" s="420"/>
      <c r="E67" s="418">
        <v>196889</v>
      </c>
      <c r="F67" s="418"/>
      <c r="G67" s="418"/>
      <c r="H67" s="418"/>
      <c r="I67" s="418"/>
      <c r="J67" s="70" t="s">
        <v>798</v>
      </c>
      <c r="K67" s="418" t="s">
        <v>798</v>
      </c>
      <c r="L67" s="418" t="s">
        <v>798</v>
      </c>
      <c r="M67" s="418"/>
      <c r="N67" s="418">
        <v>20.785549159999999</v>
      </c>
      <c r="O67" s="418">
        <v>92.971076969999999</v>
      </c>
      <c r="P67" s="70" t="s">
        <v>799</v>
      </c>
      <c r="Q67" s="418"/>
      <c r="R67" s="429"/>
      <c r="S67" s="422"/>
      <c r="T67" s="441"/>
      <c r="U67" s="423"/>
      <c r="V67" s="418" t="s">
        <v>2244</v>
      </c>
      <c r="X67" s="539"/>
      <c r="Y67" s="539"/>
      <c r="Z67" s="539"/>
    </row>
    <row r="68" spans="1:26" s="70" customFormat="1" ht="14.25" customHeight="1">
      <c r="A68" s="422" t="s">
        <v>2706</v>
      </c>
      <c r="B68" s="425" t="s">
        <v>306</v>
      </c>
      <c r="C68" s="426" t="s">
        <v>2306</v>
      </c>
      <c r="D68" s="420"/>
      <c r="E68" s="70">
        <v>196939</v>
      </c>
      <c r="F68" s="70" t="s">
        <v>2301</v>
      </c>
      <c r="J68" s="70" t="s">
        <v>798</v>
      </c>
      <c r="K68" s="70" t="s">
        <v>798</v>
      </c>
      <c r="L68" s="70" t="s">
        <v>798</v>
      </c>
      <c r="N68" s="70">
        <v>20.648920059999998</v>
      </c>
      <c r="O68" s="70">
        <v>92.967460630000005</v>
      </c>
      <c r="P68" s="70" t="s">
        <v>799</v>
      </c>
      <c r="Q68" s="70" t="s">
        <v>2260</v>
      </c>
      <c r="R68" s="429"/>
      <c r="S68" s="99"/>
      <c r="T68" s="104">
        <v>43465</v>
      </c>
      <c r="U68" s="100" t="s">
        <v>2303</v>
      </c>
      <c r="V68" s="70" t="s">
        <v>2300</v>
      </c>
      <c r="X68" s="539"/>
      <c r="Y68" s="539"/>
      <c r="Z68" s="539"/>
    </row>
    <row r="69" spans="1:26" s="70" customFormat="1" ht="14.25" customHeight="1">
      <c r="A69" s="422" t="s">
        <v>2706</v>
      </c>
      <c r="B69" s="425" t="s">
        <v>306</v>
      </c>
      <c r="C69" s="426" t="s">
        <v>657</v>
      </c>
      <c r="D69" s="420" t="s">
        <v>1654</v>
      </c>
      <c r="E69" s="418">
        <v>196814</v>
      </c>
      <c r="F69" s="418"/>
      <c r="G69" s="418"/>
      <c r="H69" s="418"/>
      <c r="I69" s="418"/>
      <c r="J69" s="70" t="s">
        <v>804</v>
      </c>
      <c r="K69" s="70" t="s">
        <v>798</v>
      </c>
      <c r="L69" s="418" t="s">
        <v>804</v>
      </c>
      <c r="M69" s="418" t="s">
        <v>298</v>
      </c>
      <c r="N69" s="418">
        <v>20.894269940000001</v>
      </c>
      <c r="O69" s="418">
        <v>92.920730590000005</v>
      </c>
      <c r="P69" s="418" t="s">
        <v>923</v>
      </c>
      <c r="Q69" s="418" t="s">
        <v>926</v>
      </c>
      <c r="R69" s="429"/>
      <c r="S69" s="422"/>
      <c r="T69" s="441">
        <v>43011</v>
      </c>
      <c r="U69" s="423" t="s">
        <v>927</v>
      </c>
      <c r="V69" s="418"/>
      <c r="W69" s="418"/>
      <c r="X69" s="539"/>
      <c r="Y69" s="539"/>
      <c r="Z69" s="539"/>
    </row>
    <row r="70" spans="1:26" s="70" customFormat="1" ht="14.25" customHeight="1">
      <c r="A70" s="422" t="s">
        <v>2706</v>
      </c>
      <c r="B70" s="418" t="s">
        <v>306</v>
      </c>
      <c r="C70" s="418" t="s">
        <v>2238</v>
      </c>
      <c r="D70" s="470"/>
      <c r="E70" s="418"/>
      <c r="F70" s="418"/>
      <c r="G70" s="418"/>
      <c r="H70" s="418"/>
      <c r="I70" s="418"/>
      <c r="J70" s="418" t="s">
        <v>798</v>
      </c>
      <c r="K70" s="418" t="s">
        <v>798</v>
      </c>
      <c r="L70" s="418" t="s">
        <v>798</v>
      </c>
      <c r="M70" s="418"/>
      <c r="N70" s="418">
        <v>20.889249800000002</v>
      </c>
      <c r="O70" s="418">
        <v>92.939201350000005</v>
      </c>
      <c r="P70" s="418" t="s">
        <v>799</v>
      </c>
      <c r="Q70" s="418"/>
      <c r="R70" s="421"/>
      <c r="S70" s="422"/>
      <c r="T70" s="441"/>
      <c r="U70" s="423"/>
      <c r="V70" s="418" t="s">
        <v>2238</v>
      </c>
      <c r="W70" s="418"/>
      <c r="X70" s="539"/>
      <c r="Y70" s="539"/>
      <c r="Z70" s="539"/>
    </row>
    <row r="71" spans="1:26" s="70" customFormat="1" ht="14.25" customHeight="1">
      <c r="A71" s="422" t="s">
        <v>2706</v>
      </c>
      <c r="B71" s="418" t="s">
        <v>306</v>
      </c>
      <c r="C71" s="418" t="s">
        <v>698</v>
      </c>
      <c r="D71" s="470" t="s">
        <v>1654</v>
      </c>
      <c r="E71" s="70">
        <v>196929</v>
      </c>
      <c r="J71" s="70" t="s">
        <v>804</v>
      </c>
      <c r="K71" s="70" t="s">
        <v>798</v>
      </c>
      <c r="L71" s="70" t="s">
        <v>804</v>
      </c>
      <c r="M71" s="70" t="s">
        <v>298</v>
      </c>
      <c r="N71" s="433">
        <v>20.67705917</v>
      </c>
      <c r="O71" s="433">
        <v>92.953247070000003</v>
      </c>
      <c r="P71" s="70" t="s">
        <v>923</v>
      </c>
      <c r="Q71" s="70" t="s">
        <v>780</v>
      </c>
      <c r="R71" s="98"/>
      <c r="S71" s="422"/>
      <c r="T71" s="104"/>
      <c r="U71" s="100"/>
      <c r="X71" s="539"/>
      <c r="Y71" s="539"/>
      <c r="Z71" s="539"/>
    </row>
    <row r="72" spans="1:26" s="70" customFormat="1" ht="14.25" customHeight="1">
      <c r="A72" s="422" t="s">
        <v>2706</v>
      </c>
      <c r="B72" s="418" t="s">
        <v>306</v>
      </c>
      <c r="C72" s="418" t="s">
        <v>697</v>
      </c>
      <c r="D72" s="470" t="s">
        <v>1654</v>
      </c>
      <c r="E72" s="418">
        <v>196927</v>
      </c>
      <c r="F72" s="418" t="s">
        <v>697</v>
      </c>
      <c r="G72" s="418"/>
      <c r="H72" s="418"/>
      <c r="I72" s="418"/>
      <c r="J72" s="70" t="s">
        <v>798</v>
      </c>
      <c r="K72" s="70" t="s">
        <v>798</v>
      </c>
      <c r="L72" s="418" t="s">
        <v>798</v>
      </c>
      <c r="M72" s="418" t="s">
        <v>298</v>
      </c>
      <c r="N72" s="418">
        <v>20.697889329999999</v>
      </c>
      <c r="O72" s="418">
        <v>92.951232910000002</v>
      </c>
      <c r="P72" s="418" t="s">
        <v>799</v>
      </c>
      <c r="Q72" s="418" t="s">
        <v>780</v>
      </c>
      <c r="R72" s="421"/>
      <c r="S72" s="422"/>
      <c r="T72" s="441">
        <v>43465</v>
      </c>
      <c r="U72" s="423" t="s">
        <v>2303</v>
      </c>
      <c r="V72" s="418" t="s">
        <v>2302</v>
      </c>
      <c r="W72" s="418"/>
      <c r="X72" s="539"/>
      <c r="Y72" s="539"/>
      <c r="Z72" s="539"/>
    </row>
    <row r="73" spans="1:26" s="70" customFormat="1" ht="14.25" customHeight="1">
      <c r="A73" s="422" t="s">
        <v>2706</v>
      </c>
      <c r="B73" s="419" t="s">
        <v>306</v>
      </c>
      <c r="C73" s="419" t="s">
        <v>2248</v>
      </c>
      <c r="D73" s="470"/>
      <c r="E73" s="70">
        <v>220647</v>
      </c>
      <c r="J73" s="70" t="s">
        <v>798</v>
      </c>
      <c r="K73" s="70" t="s">
        <v>798</v>
      </c>
      <c r="L73" s="70" t="s">
        <v>798</v>
      </c>
      <c r="P73" s="70" t="s">
        <v>799</v>
      </c>
      <c r="R73" s="425"/>
      <c r="S73" s="426"/>
      <c r="T73" s="104"/>
      <c r="U73" s="100"/>
      <c r="V73" s="70" t="s">
        <v>2241</v>
      </c>
      <c r="W73" s="418"/>
      <c r="X73" s="539"/>
      <c r="Y73" s="539"/>
      <c r="Z73" s="539"/>
    </row>
    <row r="74" spans="1:26" s="70" customFormat="1" ht="14.25" customHeight="1">
      <c r="A74" s="422" t="s">
        <v>2706</v>
      </c>
      <c r="B74" s="419" t="s">
        <v>306</v>
      </c>
      <c r="C74" s="419" t="s">
        <v>2249</v>
      </c>
      <c r="D74" s="470"/>
      <c r="E74" s="70">
        <v>196755</v>
      </c>
      <c r="J74" s="70" t="s">
        <v>798</v>
      </c>
      <c r="K74" s="70" t="s">
        <v>798</v>
      </c>
      <c r="L74" s="70" t="s">
        <v>798</v>
      </c>
      <c r="N74" s="70">
        <v>20.932960510000001</v>
      </c>
      <c r="O74" s="70">
        <v>92.930267330000007</v>
      </c>
      <c r="P74" s="70" t="s">
        <v>799</v>
      </c>
      <c r="R74" s="421"/>
      <c r="S74" s="99"/>
      <c r="T74" s="104"/>
      <c r="U74" s="100"/>
      <c r="V74" s="70" t="s">
        <v>2242</v>
      </c>
      <c r="W74" s="418"/>
      <c r="X74" s="539"/>
      <c r="Y74" s="539"/>
      <c r="Z74" s="539"/>
    </row>
    <row r="75" spans="1:26" s="70" customFormat="1" ht="14.25" customHeight="1">
      <c r="A75" s="422" t="s">
        <v>2706</v>
      </c>
      <c r="B75" s="425" t="s">
        <v>306</v>
      </c>
      <c r="C75" s="426" t="s">
        <v>347</v>
      </c>
      <c r="D75" s="420" t="s">
        <v>1654</v>
      </c>
      <c r="J75" s="70" t="s">
        <v>798</v>
      </c>
      <c r="K75" s="70" t="s">
        <v>798</v>
      </c>
      <c r="L75" s="70" t="s">
        <v>798</v>
      </c>
      <c r="M75" s="70" t="s">
        <v>298</v>
      </c>
      <c r="P75" s="70" t="s">
        <v>799</v>
      </c>
      <c r="Q75" s="70" t="s">
        <v>780</v>
      </c>
      <c r="R75" s="429"/>
      <c r="S75" s="422"/>
      <c r="T75" s="104"/>
      <c r="U75" s="100"/>
      <c r="X75" s="539"/>
      <c r="Y75" s="539"/>
      <c r="Z75" s="539"/>
    </row>
    <row r="76" spans="1:26" s="70" customFormat="1" ht="14.25" customHeight="1">
      <c r="A76" s="422" t="s">
        <v>2706</v>
      </c>
      <c r="B76" s="425" t="s">
        <v>306</v>
      </c>
      <c r="C76" s="426" t="s">
        <v>634</v>
      </c>
      <c r="D76" s="420" t="s">
        <v>1654</v>
      </c>
      <c r="E76" s="418">
        <v>196880</v>
      </c>
      <c r="F76" s="418"/>
      <c r="G76" s="418"/>
      <c r="H76" s="418"/>
      <c r="I76" s="418"/>
      <c r="J76" s="418" t="s">
        <v>804</v>
      </c>
      <c r="K76" s="418" t="s">
        <v>798</v>
      </c>
      <c r="L76" s="418" t="s">
        <v>804</v>
      </c>
      <c r="M76" s="418" t="s">
        <v>2009</v>
      </c>
      <c r="N76" s="418">
        <v>20.831729889999998</v>
      </c>
      <c r="O76" s="419">
        <v>92.919639590000003</v>
      </c>
      <c r="P76" s="418" t="s">
        <v>923</v>
      </c>
      <c r="Q76" s="418" t="s">
        <v>926</v>
      </c>
      <c r="R76" s="429"/>
      <c r="S76" s="422"/>
      <c r="T76" s="441">
        <v>43011</v>
      </c>
      <c r="U76" s="423" t="s">
        <v>927</v>
      </c>
      <c r="V76" s="418"/>
      <c r="W76" s="418"/>
      <c r="X76" s="539"/>
      <c r="Y76" s="539"/>
      <c r="Z76" s="539"/>
    </row>
    <row r="77" spans="1:26" s="70" customFormat="1" ht="14.25" customHeight="1">
      <c r="A77" s="422" t="s">
        <v>2706</v>
      </c>
      <c r="B77" s="425" t="s">
        <v>306</v>
      </c>
      <c r="C77" s="426" t="s">
        <v>597</v>
      </c>
      <c r="D77" s="470" t="s">
        <v>2786</v>
      </c>
      <c r="E77" s="70" t="s">
        <v>1391</v>
      </c>
      <c r="F77" s="70" t="s">
        <v>1748</v>
      </c>
      <c r="G77" s="70" t="s">
        <v>1749</v>
      </c>
      <c r="J77" s="70" t="s">
        <v>798</v>
      </c>
      <c r="K77" s="418" t="s">
        <v>798</v>
      </c>
      <c r="L77" s="418" t="s">
        <v>883</v>
      </c>
      <c r="M77" s="70" t="s">
        <v>795</v>
      </c>
      <c r="N77" s="70">
        <v>20.78332</v>
      </c>
      <c r="O77" s="70">
        <v>92.987399999999994</v>
      </c>
      <c r="P77" s="70" t="s">
        <v>799</v>
      </c>
      <c r="Q77" s="70" t="s">
        <v>780</v>
      </c>
      <c r="R77" s="98">
        <v>144</v>
      </c>
      <c r="S77" s="422">
        <v>1006</v>
      </c>
      <c r="T77" s="104"/>
      <c r="U77" s="100"/>
      <c r="V77" s="70" t="s">
        <v>597</v>
      </c>
      <c r="W77" s="418"/>
      <c r="X77" s="539"/>
      <c r="Y77" s="539"/>
      <c r="Z77" s="539"/>
    </row>
    <row r="78" spans="1:26" s="70" customFormat="1" ht="14.25" customHeight="1">
      <c r="A78" s="422" t="s">
        <v>2706</v>
      </c>
      <c r="B78" s="419" t="s">
        <v>306</v>
      </c>
      <c r="C78" s="419" t="s">
        <v>599</v>
      </c>
      <c r="D78" s="470" t="s">
        <v>1654</v>
      </c>
      <c r="E78" s="70">
        <v>196869</v>
      </c>
      <c r="J78" s="70" t="s">
        <v>798</v>
      </c>
      <c r="K78" s="418" t="s">
        <v>798</v>
      </c>
      <c r="L78" s="418" t="s">
        <v>798</v>
      </c>
      <c r="M78" s="70" t="s">
        <v>298</v>
      </c>
      <c r="N78" s="433">
        <v>20.785699839999999</v>
      </c>
      <c r="O78" s="433">
        <v>92.986633299999994</v>
      </c>
      <c r="P78" s="70" t="s">
        <v>799</v>
      </c>
      <c r="Q78" s="70" t="s">
        <v>780</v>
      </c>
      <c r="R78" s="421"/>
      <c r="S78" s="422"/>
      <c r="T78" s="104"/>
      <c r="U78" s="100"/>
      <c r="V78" s="70" t="s">
        <v>599</v>
      </c>
      <c r="X78" s="539"/>
      <c r="Y78" s="539"/>
      <c r="Z78" s="539"/>
    </row>
    <row r="79" spans="1:26" s="70" customFormat="1" ht="14.25" customHeight="1">
      <c r="A79" s="422" t="s">
        <v>2706</v>
      </c>
      <c r="B79" s="425" t="s">
        <v>306</v>
      </c>
      <c r="C79" s="426" t="s">
        <v>950</v>
      </c>
      <c r="D79" s="470" t="s">
        <v>2786</v>
      </c>
      <c r="E79" s="70" t="s">
        <v>1403</v>
      </c>
      <c r="F79" s="70" t="s">
        <v>1859</v>
      </c>
      <c r="G79" s="70" t="s">
        <v>1860</v>
      </c>
      <c r="J79" s="70" t="s">
        <v>798</v>
      </c>
      <c r="K79" s="70" t="s">
        <v>798</v>
      </c>
      <c r="L79" s="70" t="s">
        <v>883</v>
      </c>
      <c r="M79" s="70" t="s">
        <v>795</v>
      </c>
      <c r="N79" s="70">
        <v>20.929649000000001</v>
      </c>
      <c r="O79" s="70">
        <v>93.000815000000003</v>
      </c>
      <c r="P79" s="70" t="s">
        <v>799</v>
      </c>
      <c r="R79" s="421">
        <v>63</v>
      </c>
      <c r="S79" s="99">
        <v>414</v>
      </c>
      <c r="T79" s="104"/>
      <c r="U79" s="100" t="s">
        <v>860</v>
      </c>
      <c r="V79" s="70" t="s">
        <v>950</v>
      </c>
      <c r="X79" s="539"/>
      <c r="Y79" s="539"/>
      <c r="Z79" s="539"/>
    </row>
    <row r="80" spans="1:26" s="70" customFormat="1" ht="14.25" customHeight="1">
      <c r="A80" s="422" t="s">
        <v>2706</v>
      </c>
      <c r="B80" s="419" t="s">
        <v>306</v>
      </c>
      <c r="C80" s="419" t="s">
        <v>694</v>
      </c>
      <c r="D80" s="470" t="s">
        <v>1654</v>
      </c>
      <c r="E80" s="70">
        <v>196823</v>
      </c>
      <c r="J80" s="70" t="s">
        <v>804</v>
      </c>
      <c r="K80" s="70" t="s">
        <v>798</v>
      </c>
      <c r="L80" s="70" t="s">
        <v>804</v>
      </c>
      <c r="M80" s="70" t="s">
        <v>795</v>
      </c>
      <c r="N80" s="70">
        <v>20.85956955</v>
      </c>
      <c r="O80" s="70">
        <v>92.941146849999996</v>
      </c>
      <c r="P80" s="70" t="s">
        <v>923</v>
      </c>
      <c r="Q80" s="70" t="s">
        <v>780</v>
      </c>
      <c r="R80" s="421"/>
      <c r="S80" s="99"/>
      <c r="T80" s="104"/>
      <c r="U80" s="100"/>
      <c r="W80" s="418"/>
      <c r="X80" s="539"/>
      <c r="Y80" s="539"/>
      <c r="Z80" s="539"/>
    </row>
    <row r="81" spans="1:26" s="70" customFormat="1" ht="14.25" customHeight="1">
      <c r="A81" s="422" t="s">
        <v>2706</v>
      </c>
      <c r="B81" s="419" t="s">
        <v>306</v>
      </c>
      <c r="C81" s="419" t="s">
        <v>642</v>
      </c>
      <c r="D81" s="470" t="s">
        <v>1654</v>
      </c>
      <c r="E81" s="70">
        <v>196817</v>
      </c>
      <c r="J81" s="70" t="s">
        <v>804</v>
      </c>
      <c r="K81" s="70" t="s">
        <v>798</v>
      </c>
      <c r="L81" s="70" t="s">
        <v>804</v>
      </c>
      <c r="M81" s="70" t="s">
        <v>795</v>
      </c>
      <c r="N81" s="70">
        <v>20.864519120000001</v>
      </c>
      <c r="O81" s="70">
        <v>92.940399170000006</v>
      </c>
      <c r="P81" s="70" t="s">
        <v>923</v>
      </c>
      <c r="Q81" s="70" t="s">
        <v>926</v>
      </c>
      <c r="R81" s="421"/>
      <c r="S81" s="99"/>
      <c r="T81" s="104">
        <v>43011</v>
      </c>
      <c r="U81" s="100" t="s">
        <v>927</v>
      </c>
      <c r="X81" s="539"/>
      <c r="Y81" s="539"/>
      <c r="Z81" s="539"/>
    </row>
    <row r="82" spans="1:26" s="70" customFormat="1" ht="14.25" customHeight="1">
      <c r="A82" s="422" t="s">
        <v>2706</v>
      </c>
      <c r="B82" s="425" t="s">
        <v>306</v>
      </c>
      <c r="C82" s="426" t="s">
        <v>2010</v>
      </c>
      <c r="D82" s="420" t="s">
        <v>1654</v>
      </c>
      <c r="E82" s="70">
        <v>196818</v>
      </c>
      <c r="J82" s="70" t="s">
        <v>804</v>
      </c>
      <c r="K82" s="70" t="s">
        <v>798</v>
      </c>
      <c r="L82" s="70" t="s">
        <v>804</v>
      </c>
      <c r="M82" s="70" t="s">
        <v>795</v>
      </c>
      <c r="P82" s="70" t="s">
        <v>923</v>
      </c>
      <c r="Q82" s="70" t="s">
        <v>926</v>
      </c>
      <c r="R82" s="429"/>
      <c r="S82" s="422"/>
      <c r="T82" s="104">
        <v>43011</v>
      </c>
      <c r="U82" s="100" t="s">
        <v>927</v>
      </c>
      <c r="X82" s="539"/>
      <c r="Y82" s="539"/>
      <c r="Z82" s="539"/>
    </row>
    <row r="83" spans="1:26" s="70" customFormat="1" ht="14.25" customHeight="1">
      <c r="A83" s="422" t="s">
        <v>2706</v>
      </c>
      <c r="B83" s="425" t="s">
        <v>306</v>
      </c>
      <c r="C83" s="426" t="s">
        <v>2794</v>
      </c>
      <c r="D83" s="420"/>
      <c r="E83" s="70">
        <v>196911</v>
      </c>
      <c r="J83" s="70" t="s">
        <v>2714</v>
      </c>
      <c r="K83" s="70" t="s">
        <v>2676</v>
      </c>
      <c r="L83" s="70" t="s">
        <v>2676</v>
      </c>
      <c r="N83" s="70">
        <v>20.674160003662099</v>
      </c>
      <c r="O83" s="70">
        <v>92.9078369140625</v>
      </c>
      <c r="R83" s="429"/>
      <c r="S83" s="422"/>
      <c r="T83" s="104">
        <v>43591</v>
      </c>
      <c r="U83" s="429"/>
      <c r="W83" s="421"/>
      <c r="X83" s="539"/>
      <c r="Y83" s="539"/>
      <c r="Z83" s="539"/>
    </row>
    <row r="84" spans="1:26" s="70" customFormat="1" ht="14.25" customHeight="1">
      <c r="A84" s="422" t="s">
        <v>2706</v>
      </c>
      <c r="B84" s="419" t="s">
        <v>306</v>
      </c>
      <c r="C84" s="419" t="s">
        <v>618</v>
      </c>
      <c r="D84" s="470" t="s">
        <v>1654</v>
      </c>
      <c r="E84" s="70">
        <v>196873</v>
      </c>
      <c r="F84" s="424"/>
      <c r="J84" s="70" t="s">
        <v>798</v>
      </c>
      <c r="K84" s="70" t="s">
        <v>798</v>
      </c>
      <c r="L84" s="70" t="s">
        <v>798</v>
      </c>
      <c r="M84" s="70" t="s">
        <v>298</v>
      </c>
      <c r="N84" s="70">
        <v>20.8064003</v>
      </c>
      <c r="O84" s="70">
        <v>92.982147220000002</v>
      </c>
      <c r="P84" s="70" t="s">
        <v>799</v>
      </c>
      <c r="Q84" s="70" t="s">
        <v>780</v>
      </c>
      <c r="R84" s="421"/>
      <c r="S84" s="422"/>
      <c r="T84" s="104"/>
      <c r="U84" s="100"/>
      <c r="V84" s="70" t="s">
        <v>618</v>
      </c>
      <c r="W84" s="418"/>
      <c r="X84" s="539"/>
      <c r="Y84" s="539"/>
      <c r="Z84" s="539"/>
    </row>
    <row r="85" spans="1:26" s="70" customFormat="1" ht="14.25" customHeight="1">
      <c r="A85" s="422" t="s">
        <v>2706</v>
      </c>
      <c r="B85" s="197" t="s">
        <v>306</v>
      </c>
      <c r="C85" s="198" t="s">
        <v>2588</v>
      </c>
      <c r="D85" s="420"/>
      <c r="E85" s="193">
        <v>196673</v>
      </c>
      <c r="F85" s="193"/>
      <c r="G85" s="193"/>
      <c r="H85" s="193"/>
      <c r="I85" s="193"/>
      <c r="J85" s="70" t="s">
        <v>2714</v>
      </c>
      <c r="K85" s="70" t="s">
        <v>2676</v>
      </c>
      <c r="L85" s="193" t="s">
        <v>2676</v>
      </c>
      <c r="M85" s="193"/>
      <c r="N85" s="193"/>
      <c r="O85" s="193"/>
      <c r="P85" s="193"/>
      <c r="Q85" s="193"/>
      <c r="R85" s="194"/>
      <c r="S85" s="192"/>
      <c r="T85" s="195"/>
      <c r="U85" s="196"/>
      <c r="V85" s="193"/>
      <c r="W85" s="421"/>
      <c r="X85" s="539"/>
      <c r="Y85" s="539"/>
      <c r="Z85" s="539"/>
    </row>
    <row r="86" spans="1:26" s="70" customFormat="1" ht="14.25" customHeight="1">
      <c r="A86" s="422" t="s">
        <v>2706</v>
      </c>
      <c r="B86" s="425" t="s">
        <v>306</v>
      </c>
      <c r="C86" s="426" t="s">
        <v>954</v>
      </c>
      <c r="D86" s="420" t="s">
        <v>1654</v>
      </c>
      <c r="E86" s="70">
        <v>196767</v>
      </c>
      <c r="J86" s="70" t="s">
        <v>798</v>
      </c>
      <c r="K86" s="70" t="s">
        <v>798</v>
      </c>
      <c r="L86" s="70" t="s">
        <v>798</v>
      </c>
      <c r="M86" s="70" t="s">
        <v>298</v>
      </c>
      <c r="N86" s="70">
        <v>21.006929400000001</v>
      </c>
      <c r="O86" s="70">
        <v>92.981040949999993</v>
      </c>
      <c r="P86" s="70" t="s">
        <v>799</v>
      </c>
      <c r="R86" s="429"/>
      <c r="S86" s="99"/>
      <c r="T86" s="104"/>
      <c r="U86" s="100"/>
      <c r="V86" s="70" t="s">
        <v>954</v>
      </c>
      <c r="W86" s="418"/>
      <c r="X86" s="539"/>
      <c r="Y86" s="539"/>
      <c r="Z86" s="539"/>
    </row>
    <row r="87" spans="1:26" s="70" customFormat="1" ht="14.25" customHeight="1">
      <c r="A87" s="422" t="s">
        <v>2706</v>
      </c>
      <c r="B87" s="419" t="s">
        <v>306</v>
      </c>
      <c r="C87" s="419" t="s">
        <v>696</v>
      </c>
      <c r="D87" s="470" t="s">
        <v>1654</v>
      </c>
      <c r="E87" s="70">
        <v>196886</v>
      </c>
      <c r="J87" s="70" t="s">
        <v>804</v>
      </c>
      <c r="K87" s="70" t="s">
        <v>798</v>
      </c>
      <c r="L87" s="70" t="s">
        <v>804</v>
      </c>
      <c r="M87" s="70" t="s">
        <v>298</v>
      </c>
      <c r="N87" s="70">
        <v>20.803710939999998</v>
      </c>
      <c r="O87" s="70">
        <v>92.946136469999999</v>
      </c>
      <c r="P87" s="70" t="s">
        <v>923</v>
      </c>
      <c r="Q87" s="70" t="s">
        <v>780</v>
      </c>
      <c r="R87" s="98"/>
      <c r="S87" s="422"/>
      <c r="T87" s="104"/>
      <c r="U87" s="100"/>
      <c r="W87" s="418"/>
      <c r="X87" s="539"/>
      <c r="Y87" s="539"/>
      <c r="Z87" s="539"/>
    </row>
    <row r="88" spans="1:26" s="70" customFormat="1" ht="14.25" customHeight="1">
      <c r="A88" s="422" t="s">
        <v>2706</v>
      </c>
      <c r="B88" s="425" t="s">
        <v>306</v>
      </c>
      <c r="C88" s="426" t="s">
        <v>939</v>
      </c>
      <c r="D88" s="420" t="s">
        <v>1654</v>
      </c>
      <c r="E88" s="70">
        <v>196885</v>
      </c>
      <c r="J88" s="70" t="s">
        <v>804</v>
      </c>
      <c r="K88" s="70" t="s">
        <v>798</v>
      </c>
      <c r="L88" s="70" t="s">
        <v>804</v>
      </c>
      <c r="N88" s="70">
        <v>20.80635071</v>
      </c>
      <c r="O88" s="70">
        <v>92.948310849999999</v>
      </c>
      <c r="P88" s="70" t="s">
        <v>923</v>
      </c>
      <c r="Q88" s="70" t="s">
        <v>926</v>
      </c>
      <c r="R88" s="429"/>
      <c r="S88" s="422"/>
      <c r="T88" s="104">
        <v>43011</v>
      </c>
      <c r="U88" s="100" t="s">
        <v>927</v>
      </c>
      <c r="W88" s="418"/>
      <c r="X88" s="539"/>
      <c r="Y88" s="539"/>
      <c r="Z88" s="539"/>
    </row>
    <row r="89" spans="1:26" s="70" customFormat="1" ht="14.25" customHeight="1">
      <c r="A89" s="422" t="s">
        <v>2706</v>
      </c>
      <c r="B89" s="425" t="s">
        <v>306</v>
      </c>
      <c r="C89" s="426" t="s">
        <v>2304</v>
      </c>
      <c r="D89" s="420"/>
      <c r="E89" s="70">
        <v>196932</v>
      </c>
      <c r="F89" s="70" t="s">
        <v>871</v>
      </c>
      <c r="J89" s="70" t="s">
        <v>798</v>
      </c>
      <c r="K89" s="70" t="s">
        <v>798</v>
      </c>
      <c r="L89" s="70" t="s">
        <v>798</v>
      </c>
      <c r="N89" s="70">
        <v>20.655569</v>
      </c>
      <c r="O89" s="70">
        <v>92.959709000000004</v>
      </c>
      <c r="P89" s="70" t="s">
        <v>799</v>
      </c>
      <c r="Q89" s="70" t="s">
        <v>2260</v>
      </c>
      <c r="R89" s="429"/>
      <c r="S89" s="99"/>
      <c r="T89" s="104">
        <v>43465</v>
      </c>
      <c r="U89" s="100" t="s">
        <v>2303</v>
      </c>
      <c r="V89" s="70" t="s">
        <v>2298</v>
      </c>
      <c r="W89" s="418"/>
      <c r="X89" s="539"/>
      <c r="Y89" s="539"/>
      <c r="Z89" s="539"/>
    </row>
    <row r="90" spans="1:26" s="70" customFormat="1" ht="14.25" customHeight="1">
      <c r="A90" s="422" t="s">
        <v>2706</v>
      </c>
      <c r="B90" s="419" t="s">
        <v>306</v>
      </c>
      <c r="C90" s="419" t="s">
        <v>2250</v>
      </c>
      <c r="D90" s="470"/>
      <c r="E90" s="70">
        <v>196893</v>
      </c>
      <c r="J90" s="70" t="s">
        <v>798</v>
      </c>
      <c r="K90" s="70" t="s">
        <v>798</v>
      </c>
      <c r="L90" s="70" t="s">
        <v>798</v>
      </c>
      <c r="N90" s="70">
        <v>20.760820389999999</v>
      </c>
      <c r="O90" s="70">
        <v>92.960083010000005</v>
      </c>
      <c r="P90" s="70" t="s">
        <v>799</v>
      </c>
      <c r="R90" s="421"/>
      <c r="S90" s="99"/>
      <c r="T90" s="104"/>
      <c r="U90" s="423"/>
      <c r="V90" s="70" t="s">
        <v>2243</v>
      </c>
      <c r="W90" s="418"/>
      <c r="X90" s="539"/>
      <c r="Y90" s="539"/>
      <c r="Z90" s="539"/>
    </row>
    <row r="91" spans="1:26" s="70" customFormat="1" ht="14.25" customHeight="1">
      <c r="A91" s="422" t="s">
        <v>2706</v>
      </c>
      <c r="B91" s="419" t="s">
        <v>306</v>
      </c>
      <c r="C91" s="419" t="s">
        <v>353</v>
      </c>
      <c r="D91" s="470" t="s">
        <v>1654</v>
      </c>
      <c r="J91" s="70" t="s">
        <v>804</v>
      </c>
      <c r="K91" s="70" t="s">
        <v>798</v>
      </c>
      <c r="L91" s="70" t="s">
        <v>804</v>
      </c>
      <c r="M91" s="70" t="s">
        <v>298</v>
      </c>
      <c r="N91" s="418"/>
      <c r="O91" s="418"/>
      <c r="P91" s="70" t="s">
        <v>923</v>
      </c>
      <c r="Q91" s="70" t="s">
        <v>926</v>
      </c>
      <c r="R91" s="98"/>
      <c r="S91" s="99"/>
      <c r="T91" s="104">
        <v>43011</v>
      </c>
      <c r="U91" s="100" t="s">
        <v>927</v>
      </c>
      <c r="X91" s="539"/>
      <c r="Y91" s="539"/>
      <c r="Z91" s="539"/>
    </row>
    <row r="92" spans="1:26" s="70" customFormat="1" ht="14.25" customHeight="1">
      <c r="A92" s="422" t="s">
        <v>2706</v>
      </c>
      <c r="B92" s="419" t="s">
        <v>306</v>
      </c>
      <c r="C92" s="419" t="s">
        <v>932</v>
      </c>
      <c r="D92" s="470" t="s">
        <v>1654</v>
      </c>
      <c r="E92" s="70">
        <v>196950</v>
      </c>
      <c r="J92" s="70" t="s">
        <v>798</v>
      </c>
      <c r="K92" s="70" t="s">
        <v>798</v>
      </c>
      <c r="L92" s="70" t="s">
        <v>798</v>
      </c>
      <c r="M92" s="70" t="s">
        <v>2009</v>
      </c>
      <c r="N92" s="70">
        <v>20.720500950000002</v>
      </c>
      <c r="O92" s="70">
        <v>92.937339780000002</v>
      </c>
      <c r="P92" s="70" t="s">
        <v>799</v>
      </c>
      <c r="R92" s="98"/>
      <c r="S92" s="99"/>
      <c r="T92" s="104"/>
      <c r="U92" s="100"/>
      <c r="V92" s="70" t="s">
        <v>932</v>
      </c>
      <c r="X92" s="539"/>
      <c r="Y92" s="539"/>
      <c r="Z92" s="539"/>
    </row>
    <row r="93" spans="1:26" s="70" customFormat="1" ht="14.25" customHeight="1">
      <c r="A93" s="422" t="s">
        <v>2706</v>
      </c>
      <c r="B93" s="419" t="s">
        <v>306</v>
      </c>
      <c r="C93" s="419" t="s">
        <v>2860</v>
      </c>
      <c r="D93" s="470"/>
      <c r="E93" s="70">
        <v>196923</v>
      </c>
      <c r="J93" s="70" t="s">
        <v>2714</v>
      </c>
      <c r="K93" s="70" t="s">
        <v>2676</v>
      </c>
      <c r="L93" s="70" t="s">
        <v>2676</v>
      </c>
      <c r="N93" s="70">
        <v>20.675489425659201</v>
      </c>
      <c r="O93" s="70">
        <v>92.916961669921903</v>
      </c>
      <c r="R93" s="98"/>
      <c r="S93" s="99"/>
      <c r="T93" s="104"/>
      <c r="U93" s="423"/>
      <c r="X93" s="539"/>
      <c r="Y93" s="539"/>
      <c r="Z93" s="539"/>
    </row>
    <row r="94" spans="1:26" s="70" customFormat="1" ht="14.25" customHeight="1">
      <c r="A94" s="422" t="s">
        <v>2706</v>
      </c>
      <c r="B94" s="419" t="s">
        <v>306</v>
      </c>
      <c r="C94" s="419" t="s">
        <v>2027</v>
      </c>
      <c r="D94" s="470"/>
      <c r="E94" s="418">
        <v>196828</v>
      </c>
      <c r="F94" s="418" t="s">
        <v>1752</v>
      </c>
      <c r="G94" s="418"/>
      <c r="H94" s="418"/>
      <c r="I94" s="418"/>
      <c r="J94" s="418" t="s">
        <v>798</v>
      </c>
      <c r="K94" s="418" t="s">
        <v>798</v>
      </c>
      <c r="L94" s="418" t="s">
        <v>798</v>
      </c>
      <c r="M94" s="418"/>
      <c r="N94" s="418">
        <v>20.860509870000001</v>
      </c>
      <c r="O94" s="418">
        <v>92.966751099999996</v>
      </c>
      <c r="P94" s="418" t="s">
        <v>799</v>
      </c>
      <c r="Q94" s="418"/>
      <c r="R94" s="421"/>
      <c r="S94" s="422"/>
      <c r="T94" s="441">
        <v>43297</v>
      </c>
      <c r="U94" s="423"/>
      <c r="V94" s="418"/>
      <c r="W94" s="418"/>
      <c r="X94" s="539"/>
      <c r="Y94" s="539"/>
      <c r="Z94" s="539"/>
    </row>
    <row r="95" spans="1:26" s="70" customFormat="1" ht="14.25" customHeight="1">
      <c r="A95" s="422" t="s">
        <v>2706</v>
      </c>
      <c r="B95" s="425" t="s">
        <v>306</v>
      </c>
      <c r="C95" s="426" t="s">
        <v>577</v>
      </c>
      <c r="D95" s="470" t="s">
        <v>2786</v>
      </c>
      <c r="E95" s="70" t="s">
        <v>1390</v>
      </c>
      <c r="F95" s="70" t="s">
        <v>570</v>
      </c>
      <c r="G95" s="70" t="s">
        <v>577</v>
      </c>
      <c r="J95" s="70" t="s">
        <v>798</v>
      </c>
      <c r="K95" s="70" t="s">
        <v>798</v>
      </c>
      <c r="L95" s="70" t="s">
        <v>883</v>
      </c>
      <c r="M95" s="70" t="s">
        <v>795</v>
      </c>
      <c r="N95" s="70">
        <v>20.727589999999999</v>
      </c>
      <c r="O95" s="70">
        <v>92.969350000000006</v>
      </c>
      <c r="P95" s="418" t="s">
        <v>799</v>
      </c>
      <c r="Q95" s="70" t="s">
        <v>780</v>
      </c>
      <c r="R95" s="98">
        <v>112</v>
      </c>
      <c r="S95" s="422">
        <v>738</v>
      </c>
      <c r="T95" s="104"/>
      <c r="U95" s="100"/>
      <c r="V95" s="70" t="s">
        <v>577</v>
      </c>
      <c r="W95" s="418"/>
      <c r="X95" s="539"/>
      <c r="Y95" s="539"/>
      <c r="Z95" s="539"/>
    </row>
    <row r="96" spans="1:26" s="70" customFormat="1" ht="14.25" customHeight="1">
      <c r="A96" s="422" t="s">
        <v>2706</v>
      </c>
      <c r="B96" s="425" t="s">
        <v>306</v>
      </c>
      <c r="C96" s="426" t="s">
        <v>573</v>
      </c>
      <c r="D96" s="420" t="s">
        <v>1654</v>
      </c>
      <c r="E96" s="70">
        <v>196951</v>
      </c>
      <c r="J96" s="70" t="s">
        <v>798</v>
      </c>
      <c r="K96" s="70" t="s">
        <v>798</v>
      </c>
      <c r="L96" s="70" t="s">
        <v>798</v>
      </c>
      <c r="M96" s="70" t="s">
        <v>298</v>
      </c>
      <c r="N96" s="70">
        <v>20.723630910000001</v>
      </c>
      <c r="O96" s="70">
        <v>92.974327090000003</v>
      </c>
      <c r="P96" s="70" t="s">
        <v>799</v>
      </c>
      <c r="Q96" s="70" t="s">
        <v>780</v>
      </c>
      <c r="R96" s="429"/>
      <c r="S96" s="422"/>
      <c r="T96" s="104"/>
      <c r="U96" s="100"/>
      <c r="V96" s="70" t="s">
        <v>573</v>
      </c>
      <c r="X96" s="539"/>
      <c r="Y96" s="539"/>
      <c r="Z96" s="539"/>
    </row>
    <row r="97" spans="1:26" s="70" customFormat="1" ht="14.25" customHeight="1">
      <c r="A97" s="425" t="s">
        <v>2706</v>
      </c>
      <c r="B97" s="425" t="s">
        <v>306</v>
      </c>
      <c r="C97" s="426" t="s">
        <v>2838</v>
      </c>
      <c r="D97" s="420"/>
      <c r="E97" s="70">
        <v>196981</v>
      </c>
      <c r="J97" s="70" t="s">
        <v>2714</v>
      </c>
      <c r="K97" s="418" t="s">
        <v>2676</v>
      </c>
      <c r="L97" s="418" t="s">
        <v>2676</v>
      </c>
      <c r="N97" s="70">
        <v>20.656810760498001</v>
      </c>
      <c r="O97" s="70">
        <v>93.029953002929702</v>
      </c>
      <c r="R97" s="429"/>
      <c r="S97" s="99"/>
      <c r="T97" s="104">
        <v>43591</v>
      </c>
      <c r="U97" s="429"/>
      <c r="W97" s="421"/>
      <c r="X97" s="539"/>
      <c r="Y97" s="539"/>
      <c r="Z97" s="539"/>
    </row>
    <row r="98" spans="1:26" s="70" customFormat="1" ht="14.25" customHeight="1">
      <c r="A98" s="422" t="s">
        <v>2706</v>
      </c>
      <c r="B98" s="418" t="s">
        <v>316</v>
      </c>
      <c r="C98" s="418" t="s">
        <v>876</v>
      </c>
      <c r="D98" s="470" t="s">
        <v>1654</v>
      </c>
      <c r="E98" s="70">
        <v>197171</v>
      </c>
      <c r="F98" s="444" t="s">
        <v>520</v>
      </c>
      <c r="J98" s="70" t="s">
        <v>798</v>
      </c>
      <c r="K98" s="70" t="s">
        <v>798</v>
      </c>
      <c r="L98" s="418" t="s">
        <v>798</v>
      </c>
      <c r="N98" s="70">
        <v>20.225250240000001</v>
      </c>
      <c r="O98" s="70">
        <v>93.418876650000001</v>
      </c>
      <c r="P98" s="418" t="s">
        <v>799</v>
      </c>
      <c r="R98" s="98"/>
      <c r="S98" s="422"/>
      <c r="T98" s="104"/>
      <c r="U98" s="100"/>
      <c r="V98" s="70" t="s">
        <v>877</v>
      </c>
      <c r="W98" s="418"/>
      <c r="X98" s="539"/>
      <c r="Y98" s="539"/>
      <c r="Z98" s="539"/>
    </row>
    <row r="99" spans="1:26" s="70" customFormat="1" ht="14.25" customHeight="1">
      <c r="A99" s="422" t="s">
        <v>2706</v>
      </c>
      <c r="B99" s="418" t="s">
        <v>316</v>
      </c>
      <c r="C99" s="418" t="s">
        <v>2652</v>
      </c>
      <c r="D99" s="470"/>
      <c r="E99" s="70">
        <v>197034</v>
      </c>
      <c r="J99" s="70" t="s">
        <v>798</v>
      </c>
      <c r="K99" s="70" t="s">
        <v>798</v>
      </c>
      <c r="L99" s="70" t="s">
        <v>798</v>
      </c>
      <c r="R99" s="421"/>
      <c r="S99" s="99"/>
      <c r="T99" s="104"/>
      <c r="U99" s="100"/>
      <c r="W99" s="418"/>
      <c r="X99" s="539"/>
      <c r="Y99" s="539"/>
      <c r="Z99" s="539"/>
    </row>
    <row r="100" spans="1:26" s="70" customFormat="1" ht="14.25" customHeight="1">
      <c r="A100" s="422" t="s">
        <v>2706</v>
      </c>
      <c r="B100" s="418" t="s">
        <v>316</v>
      </c>
      <c r="C100" s="418" t="s">
        <v>2649</v>
      </c>
      <c r="D100" s="470"/>
      <c r="E100" s="70">
        <v>197020</v>
      </c>
      <c r="J100" s="70" t="s">
        <v>798</v>
      </c>
      <c r="K100" s="70" t="s">
        <v>798</v>
      </c>
      <c r="L100" s="70" t="s">
        <v>798</v>
      </c>
      <c r="R100" s="421"/>
      <c r="S100" s="422"/>
      <c r="T100" s="104"/>
      <c r="U100" s="100"/>
      <c r="X100" s="539"/>
      <c r="Y100" s="539"/>
      <c r="Z100" s="539"/>
    </row>
    <row r="101" spans="1:26" s="70" customFormat="1" ht="14.25" customHeight="1">
      <c r="A101" s="422" t="s">
        <v>2706</v>
      </c>
      <c r="B101" s="418" t="s">
        <v>316</v>
      </c>
      <c r="C101" s="70" t="s">
        <v>2667</v>
      </c>
      <c r="D101" s="470"/>
      <c r="E101" s="418">
        <v>220651</v>
      </c>
      <c r="J101" s="70" t="s">
        <v>798</v>
      </c>
      <c r="K101" s="70" t="s">
        <v>798</v>
      </c>
      <c r="L101" s="70" t="s">
        <v>798</v>
      </c>
      <c r="N101" s="418"/>
      <c r="O101" s="418"/>
      <c r="R101" s="98"/>
      <c r="S101" s="422"/>
      <c r="T101" s="104"/>
      <c r="U101" s="100"/>
      <c r="X101" s="539"/>
      <c r="Y101" s="539"/>
      <c r="Z101" s="539"/>
    </row>
    <row r="102" spans="1:26" s="70" customFormat="1" ht="14.25" customHeight="1">
      <c r="A102" s="422" t="s">
        <v>2706</v>
      </c>
      <c r="B102" s="418" t="s">
        <v>316</v>
      </c>
      <c r="C102" s="70" t="s">
        <v>899</v>
      </c>
      <c r="D102" s="470" t="s">
        <v>2786</v>
      </c>
      <c r="E102" s="70" t="s">
        <v>1378</v>
      </c>
      <c r="F102" s="70" t="s">
        <v>880</v>
      </c>
      <c r="G102" s="70" t="s">
        <v>899</v>
      </c>
      <c r="J102" s="70" t="s">
        <v>798</v>
      </c>
      <c r="K102" s="70" t="s">
        <v>798</v>
      </c>
      <c r="L102" s="70" t="s">
        <v>883</v>
      </c>
      <c r="M102" s="70" t="s">
        <v>795</v>
      </c>
      <c r="N102" s="70">
        <v>20.480898</v>
      </c>
      <c r="O102" s="70">
        <v>93.299485000000004</v>
      </c>
      <c r="P102" s="70" t="s">
        <v>799</v>
      </c>
      <c r="R102" s="98">
        <v>87</v>
      </c>
      <c r="S102" s="99">
        <v>444</v>
      </c>
      <c r="T102" s="104"/>
      <c r="U102" s="100" t="s">
        <v>860</v>
      </c>
      <c r="V102" s="70" t="s">
        <v>899</v>
      </c>
      <c r="W102" s="418"/>
      <c r="X102" s="539"/>
      <c r="Y102" s="539"/>
      <c r="Z102" s="539"/>
    </row>
    <row r="103" spans="1:26" s="70" customFormat="1" ht="14.25" customHeight="1">
      <c r="A103" s="422" t="s">
        <v>2706</v>
      </c>
      <c r="B103" s="418" t="s">
        <v>316</v>
      </c>
      <c r="C103" s="418" t="s">
        <v>2661</v>
      </c>
      <c r="D103" s="470"/>
      <c r="E103" s="70">
        <v>197090</v>
      </c>
      <c r="J103" s="70" t="s">
        <v>798</v>
      </c>
      <c r="K103" s="70" t="s">
        <v>798</v>
      </c>
      <c r="L103" s="418" t="s">
        <v>798</v>
      </c>
      <c r="P103" s="418"/>
      <c r="R103" s="98"/>
      <c r="S103" s="422"/>
      <c r="T103" s="104"/>
      <c r="U103" s="423"/>
      <c r="W103" s="418"/>
      <c r="X103" s="539"/>
      <c r="Y103" s="539"/>
      <c r="Z103" s="539"/>
    </row>
    <row r="104" spans="1:26" s="70" customFormat="1" ht="14.25" customHeight="1">
      <c r="A104" s="99" t="s">
        <v>2706</v>
      </c>
      <c r="B104" s="418" t="s">
        <v>316</v>
      </c>
      <c r="C104" s="418" t="s">
        <v>466</v>
      </c>
      <c r="D104" s="470" t="s">
        <v>1654</v>
      </c>
      <c r="E104" s="418">
        <v>196994</v>
      </c>
      <c r="J104" s="70" t="s">
        <v>798</v>
      </c>
      <c r="K104" s="70" t="s">
        <v>798</v>
      </c>
      <c r="L104" s="70" t="s">
        <v>798</v>
      </c>
      <c r="M104" s="70" t="s">
        <v>889</v>
      </c>
      <c r="N104" s="418">
        <v>20.394809720000001</v>
      </c>
      <c r="O104" s="418">
        <v>93.251609799999997</v>
      </c>
      <c r="P104" s="418" t="s">
        <v>799</v>
      </c>
      <c r="Q104" s="70" t="s">
        <v>780</v>
      </c>
      <c r="R104" s="421"/>
      <c r="S104" s="422"/>
      <c r="T104" s="104"/>
      <c r="U104" s="100"/>
      <c r="V104" s="70" t="s">
        <v>890</v>
      </c>
      <c r="W104" s="418"/>
      <c r="X104" s="539"/>
      <c r="Y104" s="539"/>
      <c r="Z104" s="539"/>
    </row>
    <row r="105" spans="1:26" s="70" customFormat="1" ht="14.25" customHeight="1">
      <c r="A105" s="422" t="s">
        <v>2706</v>
      </c>
      <c r="B105" s="418" t="s">
        <v>316</v>
      </c>
      <c r="C105" s="418" t="s">
        <v>317</v>
      </c>
      <c r="D105" s="470" t="s">
        <v>1654</v>
      </c>
      <c r="E105" s="70">
        <v>197174</v>
      </c>
      <c r="F105" s="418"/>
      <c r="J105" s="70" t="s">
        <v>798</v>
      </c>
      <c r="K105" s="418" t="s">
        <v>798</v>
      </c>
      <c r="L105" s="418" t="s">
        <v>798</v>
      </c>
      <c r="M105" s="70" t="s">
        <v>298</v>
      </c>
      <c r="P105" s="70" t="s">
        <v>799</v>
      </c>
      <c r="Q105" s="70" t="s">
        <v>780</v>
      </c>
      <c r="R105" s="421"/>
      <c r="S105" s="422"/>
      <c r="T105" s="104" t="s">
        <v>805</v>
      </c>
      <c r="U105" s="100"/>
      <c r="W105" s="418"/>
      <c r="X105" s="539"/>
      <c r="Y105" s="539"/>
      <c r="Z105" s="539"/>
    </row>
    <row r="106" spans="1:26" s="70" customFormat="1" ht="14.25" customHeight="1">
      <c r="A106" s="422" t="s">
        <v>2706</v>
      </c>
      <c r="B106" s="418" t="s">
        <v>316</v>
      </c>
      <c r="C106" s="418" t="s">
        <v>2665</v>
      </c>
      <c r="D106" s="470"/>
      <c r="E106" s="70">
        <v>197099</v>
      </c>
      <c r="J106" s="70" t="s">
        <v>798</v>
      </c>
      <c r="K106" s="70" t="s">
        <v>798</v>
      </c>
      <c r="L106" s="70" t="s">
        <v>798</v>
      </c>
      <c r="P106" s="418"/>
      <c r="R106" s="98"/>
      <c r="S106" s="422"/>
      <c r="T106" s="104"/>
      <c r="U106" s="423"/>
      <c r="W106" s="418"/>
      <c r="X106" s="539"/>
      <c r="Y106" s="539"/>
      <c r="Z106" s="539"/>
    </row>
    <row r="107" spans="1:26" s="70" customFormat="1" ht="14.25" customHeight="1">
      <c r="A107" s="422" t="s">
        <v>2706</v>
      </c>
      <c r="B107" s="418" t="s">
        <v>316</v>
      </c>
      <c r="C107" s="418" t="s">
        <v>871</v>
      </c>
      <c r="D107" s="470" t="s">
        <v>1654</v>
      </c>
      <c r="E107" s="70">
        <v>197176</v>
      </c>
      <c r="F107" s="70" t="s">
        <v>520</v>
      </c>
      <c r="J107" s="70" t="s">
        <v>798</v>
      </c>
      <c r="K107" s="70" t="s">
        <v>798</v>
      </c>
      <c r="L107" s="70" t="s">
        <v>798</v>
      </c>
      <c r="M107" s="70" t="s">
        <v>795</v>
      </c>
      <c r="N107" s="70">
        <v>20.203340529999998</v>
      </c>
      <c r="O107" s="70">
        <v>93.426139829999997</v>
      </c>
      <c r="P107" s="70" t="s">
        <v>799</v>
      </c>
      <c r="R107" s="421"/>
      <c r="S107" s="422"/>
      <c r="T107" s="104"/>
      <c r="U107" s="418"/>
      <c r="V107" s="70" t="s">
        <v>872</v>
      </c>
      <c r="X107" s="539"/>
      <c r="Y107" s="539"/>
      <c r="Z107" s="539"/>
    </row>
    <row r="108" spans="1:26" s="70" customFormat="1" ht="14.25" customHeight="1">
      <c r="A108" s="422" t="s">
        <v>2706</v>
      </c>
      <c r="B108" s="418" t="s">
        <v>316</v>
      </c>
      <c r="C108" s="418" t="s">
        <v>2670</v>
      </c>
      <c r="D108" s="470"/>
      <c r="E108" s="418">
        <v>197111</v>
      </c>
      <c r="F108" s="418"/>
      <c r="G108" s="418"/>
      <c r="H108" s="418"/>
      <c r="I108" s="418"/>
      <c r="J108" s="70" t="s">
        <v>798</v>
      </c>
      <c r="K108" s="418" t="s">
        <v>798</v>
      </c>
      <c r="L108" s="418" t="s">
        <v>798</v>
      </c>
      <c r="R108" s="421"/>
      <c r="S108" s="422"/>
      <c r="T108" s="104"/>
      <c r="U108" s="100"/>
      <c r="X108" s="539"/>
      <c r="Y108" s="539"/>
      <c r="Z108" s="539"/>
    </row>
    <row r="109" spans="1:26" s="70" customFormat="1" ht="14.25" customHeight="1">
      <c r="A109" s="425" t="s">
        <v>2706</v>
      </c>
      <c r="B109" s="425" t="s">
        <v>316</v>
      </c>
      <c r="C109" s="426" t="s">
        <v>2800</v>
      </c>
      <c r="D109" s="420"/>
      <c r="J109" s="70" t="s">
        <v>2714</v>
      </c>
      <c r="K109" s="70" t="s">
        <v>2676</v>
      </c>
      <c r="L109" s="70" t="s">
        <v>2676</v>
      </c>
      <c r="R109" s="429"/>
      <c r="S109" s="422"/>
      <c r="T109" s="104">
        <v>43591</v>
      </c>
      <c r="U109" s="429"/>
      <c r="W109" s="421"/>
      <c r="X109" s="539"/>
      <c r="Y109" s="539"/>
      <c r="Z109" s="539"/>
    </row>
    <row r="110" spans="1:26" s="70" customFormat="1" ht="14.25" customHeight="1">
      <c r="A110" s="422" t="s">
        <v>2706</v>
      </c>
      <c r="B110" s="418" t="s">
        <v>316</v>
      </c>
      <c r="C110" s="418" t="s">
        <v>2658</v>
      </c>
      <c r="D110" s="470"/>
      <c r="E110" s="70">
        <v>197042</v>
      </c>
      <c r="J110" s="70" t="s">
        <v>798</v>
      </c>
      <c r="K110" s="70" t="s">
        <v>798</v>
      </c>
      <c r="L110" s="70" t="s">
        <v>798</v>
      </c>
      <c r="R110" s="98"/>
      <c r="S110" s="422"/>
      <c r="T110" s="104"/>
      <c r="U110" s="100"/>
      <c r="X110" s="539"/>
      <c r="Y110" s="539"/>
      <c r="Z110" s="539"/>
    </row>
    <row r="111" spans="1:26" s="70" customFormat="1" ht="14.25" customHeight="1">
      <c r="A111" s="422" t="s">
        <v>2706</v>
      </c>
      <c r="B111" s="418" t="s">
        <v>316</v>
      </c>
      <c r="C111" s="418" t="s">
        <v>468</v>
      </c>
      <c r="D111" s="470" t="s">
        <v>1654</v>
      </c>
      <c r="E111" s="70">
        <v>196996</v>
      </c>
      <c r="J111" s="70" t="s">
        <v>798</v>
      </c>
      <c r="K111" s="70" t="s">
        <v>798</v>
      </c>
      <c r="L111" s="70" t="s">
        <v>798</v>
      </c>
      <c r="M111" s="70" t="s">
        <v>298</v>
      </c>
      <c r="N111" s="70">
        <v>20.398889539999999</v>
      </c>
      <c r="O111" s="70">
        <v>93.25405121</v>
      </c>
      <c r="P111" s="70" t="s">
        <v>799</v>
      </c>
      <c r="Q111" s="70" t="s">
        <v>780</v>
      </c>
      <c r="R111" s="421"/>
      <c r="S111" s="422"/>
      <c r="T111" s="104"/>
      <c r="U111" s="100"/>
      <c r="V111" s="70" t="s">
        <v>468</v>
      </c>
      <c r="X111" s="539"/>
      <c r="Y111" s="539"/>
      <c r="Z111" s="539"/>
    </row>
    <row r="112" spans="1:26" s="70" customFormat="1" ht="14.25" customHeight="1">
      <c r="A112" s="422" t="s">
        <v>2706</v>
      </c>
      <c r="B112" s="418" t="s">
        <v>316</v>
      </c>
      <c r="C112" s="418" t="s">
        <v>2659</v>
      </c>
      <c r="D112" s="470"/>
      <c r="E112" s="70">
        <v>197043</v>
      </c>
      <c r="J112" s="70" t="s">
        <v>798</v>
      </c>
      <c r="K112" s="70" t="s">
        <v>798</v>
      </c>
      <c r="L112" s="70" t="s">
        <v>798</v>
      </c>
      <c r="R112" s="421"/>
      <c r="S112" s="99"/>
      <c r="T112" s="104"/>
      <c r="U112" s="100"/>
      <c r="W112" s="418"/>
      <c r="X112" s="539"/>
      <c r="Y112" s="539"/>
      <c r="Z112" s="539"/>
    </row>
    <row r="113" spans="1:26" s="70" customFormat="1" ht="14.25" customHeight="1">
      <c r="A113" s="422" t="s">
        <v>2706</v>
      </c>
      <c r="B113" s="418" t="s">
        <v>316</v>
      </c>
      <c r="C113" s="418" t="s">
        <v>448</v>
      </c>
      <c r="D113" s="470" t="s">
        <v>1654</v>
      </c>
      <c r="E113" s="70">
        <v>220671</v>
      </c>
      <c r="J113" s="70" t="s">
        <v>798</v>
      </c>
      <c r="K113" s="70" t="s">
        <v>798</v>
      </c>
      <c r="L113" s="70" t="s">
        <v>798</v>
      </c>
      <c r="M113" s="70" t="s">
        <v>298</v>
      </c>
      <c r="N113" s="70">
        <v>20.218471529999999</v>
      </c>
      <c r="O113" s="70">
        <v>93.424331670000001</v>
      </c>
      <c r="P113" s="70" t="s">
        <v>799</v>
      </c>
      <c r="Q113" s="70" t="s">
        <v>780</v>
      </c>
      <c r="R113" s="421"/>
      <c r="S113" s="422"/>
      <c r="T113" s="104"/>
      <c r="U113" s="100"/>
      <c r="V113" s="70" t="s">
        <v>874</v>
      </c>
      <c r="W113" s="418"/>
      <c r="X113" s="539"/>
      <c r="Y113" s="539"/>
      <c r="Z113" s="539"/>
    </row>
    <row r="114" spans="1:26" s="70" customFormat="1" ht="14.25" customHeight="1">
      <c r="A114" s="422" t="s">
        <v>2706</v>
      </c>
      <c r="B114" s="418" t="s">
        <v>316</v>
      </c>
      <c r="C114" s="418" t="s">
        <v>2647</v>
      </c>
      <c r="D114" s="470"/>
      <c r="E114" s="70">
        <v>197017</v>
      </c>
      <c r="J114" s="70" t="s">
        <v>798</v>
      </c>
      <c r="K114" s="70" t="s">
        <v>798</v>
      </c>
      <c r="L114" s="70" t="s">
        <v>798</v>
      </c>
      <c r="R114" s="98"/>
      <c r="S114" s="422"/>
      <c r="T114" s="104"/>
      <c r="U114" s="100"/>
      <c r="X114" s="539"/>
      <c r="Y114" s="539"/>
      <c r="Z114" s="539"/>
    </row>
    <row r="115" spans="1:26" s="70" customFormat="1" ht="14.25" customHeight="1">
      <c r="A115" s="99" t="s">
        <v>2706</v>
      </c>
      <c r="B115" s="425" t="s">
        <v>316</v>
      </c>
      <c r="C115" s="426" t="s">
        <v>2795</v>
      </c>
      <c r="D115" s="420"/>
      <c r="E115" s="70">
        <v>197065</v>
      </c>
      <c r="J115" s="70" t="s">
        <v>2714</v>
      </c>
      <c r="K115" s="418" t="s">
        <v>2676</v>
      </c>
      <c r="L115" s="418" t="s">
        <v>2676</v>
      </c>
      <c r="N115" s="70">
        <v>20.593980789184599</v>
      </c>
      <c r="O115" s="70">
        <v>93.261528015136705</v>
      </c>
      <c r="R115" s="429"/>
      <c r="S115" s="99"/>
      <c r="T115" s="104">
        <v>43591</v>
      </c>
      <c r="U115" s="429"/>
      <c r="W115" s="421"/>
      <c r="X115" s="539"/>
      <c r="Y115" s="539"/>
      <c r="Z115" s="539"/>
    </row>
    <row r="116" spans="1:26" s="70" customFormat="1" ht="14.25" customHeight="1">
      <c r="A116" s="422" t="s">
        <v>2706</v>
      </c>
      <c r="B116" s="418" t="s">
        <v>316</v>
      </c>
      <c r="C116" s="418" t="s">
        <v>2657</v>
      </c>
      <c r="D116" s="470"/>
      <c r="E116" s="70">
        <v>197041</v>
      </c>
      <c r="J116" s="70" t="s">
        <v>798</v>
      </c>
      <c r="K116" s="70" t="s">
        <v>798</v>
      </c>
      <c r="L116" s="70" t="s">
        <v>798</v>
      </c>
      <c r="R116" s="98"/>
      <c r="S116" s="99"/>
      <c r="T116" s="104"/>
      <c r="U116" s="100"/>
      <c r="W116" s="418"/>
      <c r="X116" s="539"/>
      <c r="Y116" s="539"/>
      <c r="Z116" s="539"/>
    </row>
    <row r="117" spans="1:26" s="70" customFormat="1" ht="14.25" customHeight="1">
      <c r="A117" s="425" t="s">
        <v>2706</v>
      </c>
      <c r="B117" s="425" t="s">
        <v>316</v>
      </c>
      <c r="C117" s="426" t="s">
        <v>2819</v>
      </c>
      <c r="D117" s="420"/>
      <c r="J117" s="70" t="s">
        <v>2714</v>
      </c>
      <c r="K117" s="70" t="s">
        <v>2676</v>
      </c>
      <c r="L117" s="70" t="s">
        <v>2676</v>
      </c>
      <c r="R117" s="429"/>
      <c r="S117" s="422"/>
      <c r="T117" s="104">
        <v>43591</v>
      </c>
      <c r="U117" s="429"/>
      <c r="W117" s="421"/>
      <c r="X117" s="539"/>
      <c r="Y117" s="539"/>
      <c r="Z117" s="539"/>
    </row>
    <row r="118" spans="1:26" s="70" customFormat="1" ht="14.25" customHeight="1">
      <c r="A118" s="422" t="s">
        <v>2706</v>
      </c>
      <c r="B118" s="418" t="s">
        <v>316</v>
      </c>
      <c r="C118" s="418" t="s">
        <v>2668</v>
      </c>
      <c r="D118" s="470"/>
      <c r="E118" s="70">
        <v>197103</v>
      </c>
      <c r="J118" s="70" t="s">
        <v>798</v>
      </c>
      <c r="K118" s="70" t="s">
        <v>798</v>
      </c>
      <c r="L118" s="70" t="s">
        <v>798</v>
      </c>
      <c r="P118" s="418"/>
      <c r="R118" s="421"/>
      <c r="S118" s="422"/>
      <c r="T118" s="104"/>
      <c r="U118" s="100"/>
      <c r="W118" s="418"/>
      <c r="X118" s="539"/>
      <c r="Y118" s="539"/>
      <c r="Z118" s="539"/>
    </row>
    <row r="119" spans="1:26" s="70" customFormat="1" ht="14.25" customHeight="1">
      <c r="A119" s="422" t="s">
        <v>2706</v>
      </c>
      <c r="B119" s="418" t="s">
        <v>316</v>
      </c>
      <c r="C119" s="418" t="s">
        <v>2651</v>
      </c>
      <c r="D119" s="470"/>
      <c r="E119" s="70">
        <v>197028</v>
      </c>
      <c r="J119" s="70" t="s">
        <v>798</v>
      </c>
      <c r="K119" s="418" t="s">
        <v>798</v>
      </c>
      <c r="L119" s="418" t="s">
        <v>798</v>
      </c>
      <c r="P119" s="418"/>
      <c r="R119" s="98"/>
      <c r="S119" s="422"/>
      <c r="T119" s="104"/>
      <c r="U119" s="100"/>
      <c r="X119" s="539"/>
      <c r="Y119" s="539"/>
      <c r="Z119" s="539"/>
    </row>
    <row r="120" spans="1:26" s="70" customFormat="1" ht="14.25" customHeight="1">
      <c r="A120" s="422" t="s">
        <v>2706</v>
      </c>
      <c r="B120" s="418" t="s">
        <v>316</v>
      </c>
      <c r="C120" s="418" t="s">
        <v>2650</v>
      </c>
      <c r="D120" s="470"/>
      <c r="E120" s="70">
        <v>197027</v>
      </c>
      <c r="J120" s="70" t="s">
        <v>798</v>
      </c>
      <c r="K120" s="418" t="s">
        <v>798</v>
      </c>
      <c r="L120" s="418" t="s">
        <v>798</v>
      </c>
      <c r="R120" s="98"/>
      <c r="S120" s="99"/>
      <c r="T120" s="104"/>
      <c r="U120" s="100"/>
      <c r="X120" s="539"/>
      <c r="Y120" s="539"/>
      <c r="Z120" s="539"/>
    </row>
    <row r="121" spans="1:26" s="70" customFormat="1" ht="14.25" customHeight="1">
      <c r="A121" s="422" t="s">
        <v>2706</v>
      </c>
      <c r="B121" s="418" t="s">
        <v>316</v>
      </c>
      <c r="C121" s="418" t="s">
        <v>886</v>
      </c>
      <c r="D121" s="470" t="s">
        <v>2786</v>
      </c>
      <c r="E121" s="416" t="s">
        <v>1370</v>
      </c>
      <c r="F121" s="70" t="s">
        <v>1744</v>
      </c>
      <c r="G121" s="70" t="s">
        <v>1744</v>
      </c>
      <c r="J121" s="70" t="s">
        <v>798</v>
      </c>
      <c r="K121" s="70" t="s">
        <v>798</v>
      </c>
      <c r="L121" s="70" t="s">
        <v>883</v>
      </c>
      <c r="M121" s="70" t="s">
        <v>795</v>
      </c>
      <c r="N121" s="432">
        <v>20.377523</v>
      </c>
      <c r="O121" s="434">
        <v>93.271642</v>
      </c>
      <c r="P121" s="70" t="s">
        <v>799</v>
      </c>
      <c r="R121" s="98">
        <v>19</v>
      </c>
      <c r="S121" s="422">
        <v>142</v>
      </c>
      <c r="T121" s="104"/>
      <c r="U121" s="100" t="s">
        <v>860</v>
      </c>
      <c r="V121" s="70" t="s">
        <v>886</v>
      </c>
      <c r="X121" s="539"/>
      <c r="Y121" s="539"/>
      <c r="Z121" s="539"/>
    </row>
    <row r="122" spans="1:26" s="70" customFormat="1" ht="14.25" customHeight="1">
      <c r="A122" s="422" t="s">
        <v>2706</v>
      </c>
      <c r="B122" s="418" t="s">
        <v>316</v>
      </c>
      <c r="C122" s="418" t="s">
        <v>662</v>
      </c>
      <c r="D122" s="470"/>
      <c r="E122" s="70">
        <v>197110</v>
      </c>
      <c r="F122" s="70" t="s">
        <v>2753</v>
      </c>
      <c r="J122" s="70" t="s">
        <v>798</v>
      </c>
      <c r="K122" s="70" t="s">
        <v>798</v>
      </c>
      <c r="L122" s="70" t="s">
        <v>798</v>
      </c>
      <c r="R122" s="98"/>
      <c r="S122" s="422"/>
      <c r="T122" s="104"/>
      <c r="U122" s="100"/>
      <c r="X122" s="539"/>
      <c r="Y122" s="539"/>
      <c r="Z122" s="539"/>
    </row>
    <row r="123" spans="1:26" s="70" customFormat="1" ht="14.25" customHeight="1">
      <c r="A123" s="425" t="s">
        <v>2706</v>
      </c>
      <c r="B123" s="425" t="s">
        <v>316</v>
      </c>
      <c r="C123" s="426" t="s">
        <v>2799</v>
      </c>
      <c r="D123" s="420"/>
      <c r="E123" s="70">
        <v>197051</v>
      </c>
      <c r="J123" s="70" t="s">
        <v>2714</v>
      </c>
      <c r="K123" s="70" t="s">
        <v>2676</v>
      </c>
      <c r="L123" s="70" t="s">
        <v>2676</v>
      </c>
      <c r="N123" s="418">
        <v>20.599809646606399</v>
      </c>
      <c r="O123" s="418">
        <v>93.265541076660199</v>
      </c>
      <c r="R123" s="429"/>
      <c r="S123" s="422"/>
      <c r="T123" s="104">
        <v>43591</v>
      </c>
      <c r="U123" s="429"/>
      <c r="W123" s="421"/>
      <c r="X123" s="539"/>
      <c r="Y123" s="539"/>
      <c r="Z123" s="539"/>
    </row>
    <row r="124" spans="1:26" s="70" customFormat="1" ht="14.25" customHeight="1">
      <c r="A124" s="422" t="s">
        <v>2706</v>
      </c>
      <c r="B124" s="419" t="s">
        <v>316</v>
      </c>
      <c r="C124" s="419" t="s">
        <v>880</v>
      </c>
      <c r="D124" s="470"/>
      <c r="E124" s="70">
        <v>197149</v>
      </c>
      <c r="F124" s="70" t="s">
        <v>880</v>
      </c>
      <c r="J124" s="70" t="s">
        <v>798</v>
      </c>
      <c r="K124" s="70" t="s">
        <v>798</v>
      </c>
      <c r="L124" s="70" t="s">
        <v>798</v>
      </c>
      <c r="R124" s="421"/>
      <c r="S124" s="422"/>
      <c r="T124" s="104"/>
      <c r="U124" s="100"/>
      <c r="W124" s="418"/>
      <c r="X124" s="539"/>
      <c r="Y124" s="539"/>
      <c r="Z124" s="539"/>
    </row>
    <row r="125" spans="1:26" s="70" customFormat="1" ht="14.25" customHeight="1">
      <c r="A125" s="422" t="s">
        <v>2706</v>
      </c>
      <c r="B125" s="419" t="s">
        <v>316</v>
      </c>
      <c r="C125" s="419" t="s">
        <v>895</v>
      </c>
      <c r="D125" s="470" t="s">
        <v>2786</v>
      </c>
      <c r="E125" s="418" t="s">
        <v>1374</v>
      </c>
      <c r="F125" s="418" t="s">
        <v>1850</v>
      </c>
      <c r="G125" s="418" t="s">
        <v>1851</v>
      </c>
      <c r="H125" s="418"/>
      <c r="I125" s="418"/>
      <c r="J125" s="70" t="s">
        <v>798</v>
      </c>
      <c r="K125" s="70" t="s">
        <v>798</v>
      </c>
      <c r="L125" s="70" t="s">
        <v>883</v>
      </c>
      <c r="M125" s="418" t="s">
        <v>795</v>
      </c>
      <c r="N125" s="418">
        <v>20.407971</v>
      </c>
      <c r="O125" s="418">
        <v>93.313627999999994</v>
      </c>
      <c r="P125" s="70" t="s">
        <v>799</v>
      </c>
      <c r="Q125" s="418"/>
      <c r="R125" s="421">
        <v>228</v>
      </c>
      <c r="S125" s="422">
        <v>1377</v>
      </c>
      <c r="T125" s="441"/>
      <c r="U125" s="423" t="s">
        <v>860</v>
      </c>
      <c r="V125" s="418" t="s">
        <v>895</v>
      </c>
      <c r="W125" s="418"/>
      <c r="X125" s="539"/>
      <c r="Y125" s="539"/>
      <c r="Z125" s="539"/>
    </row>
    <row r="126" spans="1:26" s="70" customFormat="1" ht="14.25" customHeight="1">
      <c r="A126" s="422" t="s">
        <v>2706</v>
      </c>
      <c r="B126" s="419" t="s">
        <v>316</v>
      </c>
      <c r="C126" s="419" t="s">
        <v>469</v>
      </c>
      <c r="D126" s="470" t="s">
        <v>2786</v>
      </c>
      <c r="E126" s="418" t="s">
        <v>1372</v>
      </c>
      <c r="F126" s="418" t="s">
        <v>466</v>
      </c>
      <c r="G126" s="418" t="s">
        <v>469</v>
      </c>
      <c r="H126" s="418"/>
      <c r="I126" s="418"/>
      <c r="J126" s="418" t="s">
        <v>798</v>
      </c>
      <c r="K126" s="418" t="s">
        <v>798</v>
      </c>
      <c r="L126" s="418" t="s">
        <v>883</v>
      </c>
      <c r="M126" s="418" t="s">
        <v>795</v>
      </c>
      <c r="N126" s="418">
        <v>20.39902</v>
      </c>
      <c r="O126" s="418">
        <v>93.249669999999995</v>
      </c>
      <c r="P126" s="418" t="s">
        <v>799</v>
      </c>
      <c r="Q126" s="418" t="s">
        <v>780</v>
      </c>
      <c r="R126" s="421">
        <v>86</v>
      </c>
      <c r="S126" s="422">
        <v>476</v>
      </c>
      <c r="T126" s="441"/>
      <c r="U126" s="423"/>
      <c r="V126" s="418" t="s">
        <v>894</v>
      </c>
      <c r="W126" s="418"/>
      <c r="X126" s="539"/>
      <c r="Y126" s="539"/>
      <c r="Z126" s="539"/>
    </row>
    <row r="127" spans="1:26" s="70" customFormat="1" ht="14.25" customHeight="1">
      <c r="A127" s="422" t="s">
        <v>2706</v>
      </c>
      <c r="B127" s="419" t="s">
        <v>316</v>
      </c>
      <c r="C127" s="419" t="s">
        <v>2656</v>
      </c>
      <c r="D127" s="470"/>
      <c r="E127" s="70">
        <v>197039</v>
      </c>
      <c r="J127" s="70" t="s">
        <v>798</v>
      </c>
      <c r="K127" s="70" t="s">
        <v>798</v>
      </c>
      <c r="L127" s="70" t="s">
        <v>798</v>
      </c>
      <c r="R127" s="98"/>
      <c r="S127" s="99"/>
      <c r="T127" s="104"/>
      <c r="U127" s="100"/>
      <c r="X127" s="539"/>
      <c r="Y127" s="539"/>
      <c r="Z127" s="539"/>
    </row>
    <row r="128" spans="1:26" s="70" customFormat="1" ht="14.25" customHeight="1">
      <c r="A128" s="422" t="s">
        <v>2706</v>
      </c>
      <c r="B128" s="419" t="s">
        <v>316</v>
      </c>
      <c r="C128" s="419" t="s">
        <v>1853</v>
      </c>
      <c r="D128" s="470"/>
      <c r="E128" s="70">
        <v>197023</v>
      </c>
      <c r="J128" s="70" t="s">
        <v>798</v>
      </c>
      <c r="K128" s="70" t="s">
        <v>798</v>
      </c>
      <c r="L128" s="70" t="s">
        <v>798</v>
      </c>
      <c r="R128" s="98"/>
      <c r="S128" s="422"/>
      <c r="T128" s="104"/>
      <c r="U128" s="100"/>
      <c r="X128" s="539"/>
      <c r="Y128" s="539"/>
      <c r="Z128" s="539"/>
    </row>
    <row r="129" spans="1:26" s="70" customFormat="1" ht="14.25" customHeight="1">
      <c r="A129" s="422" t="s">
        <v>2706</v>
      </c>
      <c r="B129" s="419" t="s">
        <v>316</v>
      </c>
      <c r="C129" s="419" t="s">
        <v>2648</v>
      </c>
      <c r="D129" s="470"/>
      <c r="E129" s="70">
        <v>197022</v>
      </c>
      <c r="J129" s="70" t="s">
        <v>798</v>
      </c>
      <c r="K129" s="70" t="s">
        <v>798</v>
      </c>
      <c r="L129" s="70" t="s">
        <v>798</v>
      </c>
      <c r="O129" s="418"/>
      <c r="R129" s="421"/>
      <c r="S129" s="422"/>
      <c r="T129" s="104"/>
      <c r="U129" s="100"/>
      <c r="W129" s="418"/>
      <c r="X129" s="539"/>
      <c r="Y129" s="539"/>
      <c r="Z129" s="539"/>
    </row>
    <row r="130" spans="1:26" s="70" customFormat="1" ht="14.25" customHeight="1">
      <c r="A130" s="422" t="s">
        <v>2706</v>
      </c>
      <c r="B130" s="419" t="s">
        <v>316</v>
      </c>
      <c r="C130" s="419" t="s">
        <v>2669</v>
      </c>
      <c r="D130" s="470"/>
      <c r="E130" s="70">
        <v>197114</v>
      </c>
      <c r="F130" s="70" t="s">
        <v>2753</v>
      </c>
      <c r="J130" s="70" t="s">
        <v>798</v>
      </c>
      <c r="K130" s="418" t="s">
        <v>798</v>
      </c>
      <c r="L130" s="418" t="s">
        <v>798</v>
      </c>
      <c r="R130" s="421"/>
      <c r="S130" s="99"/>
      <c r="T130" s="104"/>
      <c r="U130" s="100"/>
      <c r="X130" s="539"/>
      <c r="Y130" s="539"/>
      <c r="Z130" s="539"/>
    </row>
    <row r="131" spans="1:26" s="70" customFormat="1" ht="14.25" customHeight="1">
      <c r="A131" s="422" t="s">
        <v>2706</v>
      </c>
      <c r="B131" s="419" t="s">
        <v>316</v>
      </c>
      <c r="C131" s="419" t="s">
        <v>896</v>
      </c>
      <c r="D131" s="470" t="s">
        <v>2786</v>
      </c>
      <c r="E131" s="70" t="s">
        <v>1376</v>
      </c>
      <c r="F131" s="70" t="s">
        <v>1852</v>
      </c>
      <c r="G131" s="70" t="s">
        <v>1853</v>
      </c>
      <c r="J131" s="70" t="s">
        <v>798</v>
      </c>
      <c r="K131" s="70" t="s">
        <v>798</v>
      </c>
      <c r="L131" s="70" t="s">
        <v>883</v>
      </c>
      <c r="M131" s="70" t="s">
        <v>298</v>
      </c>
      <c r="N131" s="70">
        <v>20.409645000000001</v>
      </c>
      <c r="O131" s="70">
        <v>93.314695</v>
      </c>
      <c r="P131" s="70" t="s">
        <v>799</v>
      </c>
      <c r="R131" s="421">
        <v>18</v>
      </c>
      <c r="S131" s="422">
        <v>72</v>
      </c>
      <c r="T131" s="104"/>
      <c r="U131" s="100" t="s">
        <v>860</v>
      </c>
      <c r="V131" s="70" t="s">
        <v>896</v>
      </c>
      <c r="X131" s="539"/>
      <c r="Y131" s="539"/>
      <c r="Z131" s="539"/>
    </row>
    <row r="132" spans="1:26" s="70" customFormat="1" ht="14.25" customHeight="1">
      <c r="A132" s="422" t="s">
        <v>2706</v>
      </c>
      <c r="B132" s="418" t="s">
        <v>316</v>
      </c>
      <c r="C132" s="419" t="s">
        <v>494</v>
      </c>
      <c r="D132" s="470" t="s">
        <v>1654</v>
      </c>
      <c r="E132" s="70">
        <v>197067</v>
      </c>
      <c r="J132" s="70" t="s">
        <v>798</v>
      </c>
      <c r="K132" s="70" t="s">
        <v>798</v>
      </c>
      <c r="L132" s="70" t="s">
        <v>798</v>
      </c>
      <c r="M132" s="70" t="s">
        <v>298</v>
      </c>
      <c r="N132" s="70">
        <v>20.51997948</v>
      </c>
      <c r="O132" s="70">
        <v>93.277252200000007</v>
      </c>
      <c r="P132" s="70" t="s">
        <v>799</v>
      </c>
      <c r="Q132" s="70" t="s">
        <v>780</v>
      </c>
      <c r="R132" s="421"/>
      <c r="S132" s="422"/>
      <c r="T132" s="104"/>
      <c r="U132" s="100"/>
      <c r="W132" s="418"/>
      <c r="X132" s="539"/>
      <c r="Y132" s="539"/>
      <c r="Z132" s="539"/>
    </row>
    <row r="133" spans="1:26" s="70" customFormat="1" ht="14.25" customHeight="1">
      <c r="A133" s="422" t="s">
        <v>2706</v>
      </c>
      <c r="B133" s="419" t="s">
        <v>316</v>
      </c>
      <c r="C133" s="419" t="s">
        <v>1137</v>
      </c>
      <c r="D133" s="470" t="s">
        <v>1654</v>
      </c>
      <c r="E133" s="70">
        <v>196999</v>
      </c>
      <c r="J133" s="70" t="s">
        <v>798</v>
      </c>
      <c r="K133" s="70" t="s">
        <v>798</v>
      </c>
      <c r="L133" s="70" t="s">
        <v>798</v>
      </c>
      <c r="M133" s="70" t="s">
        <v>795</v>
      </c>
      <c r="P133" s="70" t="s">
        <v>799</v>
      </c>
      <c r="R133" s="98"/>
      <c r="S133" s="422"/>
      <c r="T133" s="104"/>
      <c r="U133" s="100"/>
      <c r="X133" s="539"/>
      <c r="Y133" s="539"/>
      <c r="Z133" s="539"/>
    </row>
    <row r="134" spans="1:26" s="70" customFormat="1" ht="14.25" customHeight="1">
      <c r="A134" s="422" t="s">
        <v>2706</v>
      </c>
      <c r="B134" s="419" t="s">
        <v>316</v>
      </c>
      <c r="C134" s="419" t="s">
        <v>467</v>
      </c>
      <c r="D134" s="470" t="s">
        <v>1654</v>
      </c>
      <c r="E134" s="70">
        <v>196998</v>
      </c>
      <c r="J134" s="70" t="s">
        <v>798</v>
      </c>
      <c r="K134" s="70" t="s">
        <v>798</v>
      </c>
      <c r="L134" s="70" t="s">
        <v>798</v>
      </c>
      <c r="M134" s="70" t="s">
        <v>298</v>
      </c>
      <c r="N134" s="70">
        <v>20.396680830000001</v>
      </c>
      <c r="O134" s="70">
        <v>93.252868649999996</v>
      </c>
      <c r="P134" s="70" t="s">
        <v>799</v>
      </c>
      <c r="Q134" s="70" t="s">
        <v>780</v>
      </c>
      <c r="R134" s="98"/>
      <c r="S134" s="99"/>
      <c r="T134" s="104"/>
      <c r="U134" s="100"/>
      <c r="V134" s="70" t="s">
        <v>891</v>
      </c>
      <c r="X134" s="539"/>
      <c r="Y134" s="539"/>
      <c r="Z134" s="539"/>
    </row>
    <row r="135" spans="1:26" s="70" customFormat="1" ht="14.25" customHeight="1">
      <c r="A135" s="422" t="s">
        <v>2706</v>
      </c>
      <c r="B135" s="419" t="s">
        <v>316</v>
      </c>
      <c r="C135" s="419" t="s">
        <v>2672</v>
      </c>
      <c r="D135" s="470"/>
      <c r="E135" s="70">
        <v>220653</v>
      </c>
      <c r="J135" s="70" t="s">
        <v>798</v>
      </c>
      <c r="K135" s="70" t="s">
        <v>798</v>
      </c>
      <c r="L135" s="70" t="s">
        <v>798</v>
      </c>
      <c r="R135" s="98"/>
      <c r="S135" s="99"/>
      <c r="T135" s="104"/>
      <c r="U135" s="100"/>
      <c r="X135" s="539"/>
      <c r="Y135" s="539"/>
      <c r="Z135" s="539"/>
    </row>
    <row r="136" spans="1:26" s="70" customFormat="1" ht="14.25" customHeight="1">
      <c r="A136" s="422" t="s">
        <v>2706</v>
      </c>
      <c r="B136" s="419" t="s">
        <v>316</v>
      </c>
      <c r="C136" s="419" t="s">
        <v>2663</v>
      </c>
      <c r="D136" s="470"/>
      <c r="E136" s="70">
        <v>197092</v>
      </c>
      <c r="J136" s="70" t="s">
        <v>798</v>
      </c>
      <c r="K136" s="70" t="s">
        <v>798</v>
      </c>
      <c r="L136" s="70" t="s">
        <v>798</v>
      </c>
      <c r="R136" s="421"/>
      <c r="S136" s="99"/>
      <c r="T136" s="104"/>
      <c r="U136" s="100"/>
      <c r="W136" s="418"/>
      <c r="X136" s="539"/>
      <c r="Y136" s="539"/>
      <c r="Z136" s="539"/>
    </row>
    <row r="137" spans="1:26" s="70" customFormat="1" ht="14.25" customHeight="1">
      <c r="A137" s="422" t="s">
        <v>2706</v>
      </c>
      <c r="B137" s="419" t="s">
        <v>316</v>
      </c>
      <c r="C137" s="419" t="s">
        <v>2664</v>
      </c>
      <c r="D137" s="470"/>
      <c r="E137" s="70">
        <v>197100</v>
      </c>
      <c r="F137" s="418" t="s">
        <v>2754</v>
      </c>
      <c r="J137" s="70" t="s">
        <v>798</v>
      </c>
      <c r="K137" s="70" t="s">
        <v>798</v>
      </c>
      <c r="L137" s="70" t="s">
        <v>798</v>
      </c>
      <c r="Q137" s="418"/>
      <c r="R137" s="421"/>
      <c r="S137" s="422"/>
      <c r="T137" s="441"/>
      <c r="U137" s="100"/>
      <c r="W137" s="418"/>
      <c r="X137" s="539"/>
      <c r="Y137" s="539"/>
      <c r="Z137" s="539"/>
    </row>
    <row r="138" spans="1:26" s="70" customFormat="1" ht="14.25" customHeight="1">
      <c r="A138" s="422" t="s">
        <v>2706</v>
      </c>
      <c r="B138" s="419" t="s">
        <v>316</v>
      </c>
      <c r="C138" s="419" t="s">
        <v>2655</v>
      </c>
      <c r="D138" s="470"/>
      <c r="E138" s="70">
        <v>197040</v>
      </c>
      <c r="J138" s="70" t="s">
        <v>798</v>
      </c>
      <c r="K138" s="70" t="s">
        <v>798</v>
      </c>
      <c r="L138" s="70" t="s">
        <v>798</v>
      </c>
      <c r="R138" s="421"/>
      <c r="S138" s="422"/>
      <c r="T138" s="104"/>
      <c r="U138" s="100"/>
      <c r="W138" s="418"/>
      <c r="X138" s="539"/>
      <c r="Y138" s="539"/>
      <c r="Z138" s="539"/>
    </row>
    <row r="139" spans="1:26" s="70" customFormat="1" ht="14.25" customHeight="1">
      <c r="A139" s="422" t="s">
        <v>2706</v>
      </c>
      <c r="B139" s="419" t="s">
        <v>316</v>
      </c>
      <c r="C139" s="419" t="s">
        <v>2671</v>
      </c>
      <c r="D139" s="470"/>
      <c r="E139" s="70">
        <v>197112</v>
      </c>
      <c r="J139" s="70" t="s">
        <v>798</v>
      </c>
      <c r="K139" s="70" t="s">
        <v>798</v>
      </c>
      <c r="L139" s="418" t="s">
        <v>798</v>
      </c>
      <c r="R139" s="421"/>
      <c r="S139" s="99"/>
      <c r="T139" s="104"/>
      <c r="U139" s="100"/>
      <c r="W139" s="418"/>
      <c r="X139" s="539"/>
      <c r="Y139" s="539"/>
      <c r="Z139" s="539"/>
    </row>
    <row r="140" spans="1:26" s="70" customFormat="1" ht="14.25" customHeight="1">
      <c r="A140" s="422" t="s">
        <v>2706</v>
      </c>
      <c r="B140" s="419" t="s">
        <v>316</v>
      </c>
      <c r="C140" s="74" t="s">
        <v>2662</v>
      </c>
      <c r="D140" s="470"/>
      <c r="E140" s="418"/>
      <c r="F140" s="418"/>
      <c r="G140" s="418"/>
      <c r="H140" s="418"/>
      <c r="I140" s="418"/>
      <c r="J140" s="70" t="s">
        <v>798</v>
      </c>
      <c r="K140" s="418" t="s">
        <v>798</v>
      </c>
      <c r="L140" s="418" t="s">
        <v>798</v>
      </c>
      <c r="M140" s="418"/>
      <c r="N140" s="418"/>
      <c r="O140" s="418"/>
      <c r="Q140" s="418"/>
      <c r="R140" s="421"/>
      <c r="S140" s="422"/>
      <c r="T140" s="441"/>
      <c r="U140" s="423"/>
      <c r="V140" s="418"/>
      <c r="W140" s="418"/>
      <c r="X140" s="539"/>
      <c r="Y140" s="539"/>
      <c r="Z140" s="539"/>
    </row>
    <row r="141" spans="1:26" s="70" customFormat="1" ht="14.25" customHeight="1">
      <c r="A141" s="422" t="s">
        <v>2706</v>
      </c>
      <c r="B141" s="419" t="s">
        <v>316</v>
      </c>
      <c r="C141" s="419" t="s">
        <v>464</v>
      </c>
      <c r="D141" s="470" t="s">
        <v>2786</v>
      </c>
      <c r="E141" s="70" t="s">
        <v>1371</v>
      </c>
      <c r="F141" s="418" t="s">
        <v>1744</v>
      </c>
      <c r="G141" s="70" t="s">
        <v>1745</v>
      </c>
      <c r="J141" s="70" t="s">
        <v>798</v>
      </c>
      <c r="K141" s="418" t="s">
        <v>798</v>
      </c>
      <c r="L141" s="418" t="s">
        <v>883</v>
      </c>
      <c r="M141" s="70" t="s">
        <v>795</v>
      </c>
      <c r="N141" s="70">
        <v>20.392137999999999</v>
      </c>
      <c r="O141" s="70">
        <v>93.257272</v>
      </c>
      <c r="P141" s="70" t="s">
        <v>799</v>
      </c>
      <c r="Q141" s="70" t="s">
        <v>780</v>
      </c>
      <c r="R141" s="421">
        <v>203</v>
      </c>
      <c r="S141" s="422">
        <v>1420</v>
      </c>
      <c r="T141" s="104"/>
      <c r="U141" s="100"/>
      <c r="V141" s="70" t="s">
        <v>888</v>
      </c>
      <c r="W141" s="418"/>
      <c r="X141" s="539"/>
      <c r="Y141" s="539"/>
      <c r="Z141" s="539"/>
    </row>
    <row r="142" spans="1:26" s="70" customFormat="1" ht="14.25" customHeight="1">
      <c r="A142" s="422" t="s">
        <v>2706</v>
      </c>
      <c r="B142" s="419" t="s">
        <v>316</v>
      </c>
      <c r="C142" s="419" t="s">
        <v>509</v>
      </c>
      <c r="D142" s="470" t="s">
        <v>2786</v>
      </c>
      <c r="E142" s="70" t="s">
        <v>1383</v>
      </c>
      <c r="F142" s="70" t="s">
        <v>1746</v>
      </c>
      <c r="G142" s="70" t="s">
        <v>1746</v>
      </c>
      <c r="J142" s="70" t="s">
        <v>798</v>
      </c>
      <c r="K142" s="70" t="s">
        <v>798</v>
      </c>
      <c r="L142" s="70" t="s">
        <v>883</v>
      </c>
      <c r="M142" s="70" t="s">
        <v>795</v>
      </c>
      <c r="N142" s="418">
        <v>20.587142</v>
      </c>
      <c r="O142" s="418">
        <v>93.258573999999996</v>
      </c>
      <c r="P142" s="70" t="s">
        <v>799</v>
      </c>
      <c r="R142" s="421">
        <v>275</v>
      </c>
      <c r="S142" s="422">
        <v>1707</v>
      </c>
      <c r="T142" s="104"/>
      <c r="U142" s="100" t="s">
        <v>860</v>
      </c>
      <c r="V142" s="70" t="s">
        <v>509</v>
      </c>
      <c r="X142" s="539"/>
      <c r="Y142" s="539"/>
      <c r="Z142" s="539"/>
    </row>
    <row r="143" spans="1:26" s="70" customFormat="1" ht="14.25" customHeight="1">
      <c r="A143" s="422" t="s">
        <v>2706</v>
      </c>
      <c r="B143" s="419" t="s">
        <v>316</v>
      </c>
      <c r="C143" s="419" t="s">
        <v>2654</v>
      </c>
      <c r="D143" s="470"/>
      <c r="E143" s="418">
        <v>197033</v>
      </c>
      <c r="F143" s="418"/>
      <c r="G143" s="418"/>
      <c r="H143" s="418"/>
      <c r="I143" s="418"/>
      <c r="J143" s="70" t="s">
        <v>798</v>
      </c>
      <c r="K143" s="70" t="s">
        <v>798</v>
      </c>
      <c r="L143" s="70" t="s">
        <v>798</v>
      </c>
      <c r="M143" s="418"/>
      <c r="N143" s="418"/>
      <c r="O143" s="418"/>
      <c r="Q143" s="418"/>
      <c r="R143" s="421"/>
      <c r="S143" s="422"/>
      <c r="T143" s="441"/>
      <c r="U143" s="423"/>
      <c r="V143" s="418"/>
      <c r="W143" s="418"/>
      <c r="X143" s="539"/>
      <c r="Y143" s="539"/>
      <c r="Z143" s="539"/>
    </row>
    <row r="144" spans="1:26" s="70" customFormat="1" ht="14.25" customHeight="1">
      <c r="A144" s="422" t="s">
        <v>2706</v>
      </c>
      <c r="B144" s="419" t="s">
        <v>316</v>
      </c>
      <c r="C144" s="419" t="s">
        <v>1745</v>
      </c>
      <c r="D144" s="470"/>
      <c r="E144" s="70">
        <v>196997</v>
      </c>
      <c r="F144" s="418"/>
      <c r="J144" s="70" t="s">
        <v>798</v>
      </c>
      <c r="K144" s="70" t="s">
        <v>798</v>
      </c>
      <c r="L144" s="70" t="s">
        <v>798</v>
      </c>
      <c r="R144" s="421"/>
      <c r="S144" s="422"/>
      <c r="T144" s="104"/>
      <c r="U144" s="100"/>
      <c r="W144" s="418"/>
      <c r="X144" s="539"/>
      <c r="Y144" s="539"/>
      <c r="Z144" s="539"/>
    </row>
    <row r="145" spans="1:26" s="70" customFormat="1" ht="14.25" customHeight="1">
      <c r="A145" s="422" t="s">
        <v>2706</v>
      </c>
      <c r="B145" s="419" t="s">
        <v>316</v>
      </c>
      <c r="C145" s="419" t="s">
        <v>2653</v>
      </c>
      <c r="D145" s="470"/>
      <c r="E145" s="70">
        <v>197036</v>
      </c>
      <c r="J145" s="70" t="s">
        <v>798</v>
      </c>
      <c r="K145" s="70" t="s">
        <v>798</v>
      </c>
      <c r="L145" s="70" t="s">
        <v>798</v>
      </c>
      <c r="R145" s="98"/>
      <c r="S145" s="422"/>
      <c r="T145" s="104"/>
      <c r="U145" s="100"/>
      <c r="X145" s="539"/>
      <c r="Y145" s="539"/>
      <c r="Z145" s="539"/>
    </row>
    <row r="146" spans="1:26" s="70" customFormat="1" ht="14.25" customHeight="1">
      <c r="A146" s="422" t="s">
        <v>2706</v>
      </c>
      <c r="B146" s="419" t="s">
        <v>316</v>
      </c>
      <c r="C146" s="419" t="s">
        <v>2660</v>
      </c>
      <c r="D146" s="470"/>
      <c r="E146" s="70">
        <v>197089</v>
      </c>
      <c r="J146" s="70" t="s">
        <v>798</v>
      </c>
      <c r="K146" s="70" t="s">
        <v>798</v>
      </c>
      <c r="L146" s="70" t="s">
        <v>798</v>
      </c>
      <c r="R146" s="98"/>
      <c r="S146" s="422"/>
      <c r="T146" s="104"/>
      <c r="U146" s="100"/>
      <c r="W146" s="418"/>
      <c r="X146" s="539"/>
      <c r="Y146" s="539"/>
      <c r="Z146" s="539"/>
    </row>
    <row r="147" spans="1:26" s="70" customFormat="1" ht="14.25" customHeight="1">
      <c r="A147" s="422" t="s">
        <v>2706</v>
      </c>
      <c r="B147" s="419" t="s">
        <v>316</v>
      </c>
      <c r="C147" s="419" t="s">
        <v>2666</v>
      </c>
      <c r="D147" s="470"/>
      <c r="E147" s="70">
        <v>197102</v>
      </c>
      <c r="F147" s="418" t="s">
        <v>2755</v>
      </c>
      <c r="J147" s="70" t="s">
        <v>798</v>
      </c>
      <c r="K147" s="70" t="s">
        <v>798</v>
      </c>
      <c r="L147" s="70" t="s">
        <v>798</v>
      </c>
      <c r="R147" s="98"/>
      <c r="S147" s="422"/>
      <c r="T147" s="104"/>
      <c r="U147" s="100"/>
      <c r="X147" s="539"/>
      <c r="Y147" s="539"/>
      <c r="Z147" s="539"/>
    </row>
    <row r="148" spans="1:26" s="70" customFormat="1" ht="14.25" customHeight="1">
      <c r="A148" s="425" t="s">
        <v>2706</v>
      </c>
      <c r="B148" s="425" t="s">
        <v>316</v>
      </c>
      <c r="C148" s="426" t="s">
        <v>2801</v>
      </c>
      <c r="D148" s="420"/>
      <c r="E148" s="70">
        <v>197047</v>
      </c>
      <c r="J148" s="70" t="s">
        <v>2714</v>
      </c>
      <c r="K148" s="70" t="s">
        <v>2676</v>
      </c>
      <c r="L148" s="70" t="s">
        <v>2676</v>
      </c>
      <c r="N148" s="70">
        <v>20.454280853271499</v>
      </c>
      <c r="O148" s="70">
        <v>93.281562805175795</v>
      </c>
      <c r="R148" s="429"/>
      <c r="S148" s="422"/>
      <c r="T148" s="104">
        <v>43591</v>
      </c>
      <c r="U148" s="429"/>
      <c r="W148" s="421"/>
      <c r="X148" s="539"/>
      <c r="Y148" s="539"/>
      <c r="Z148" s="539"/>
    </row>
    <row r="149" spans="1:26" s="70" customFormat="1" ht="14.25" customHeight="1">
      <c r="A149" s="425" t="s">
        <v>2706</v>
      </c>
      <c r="B149" s="425" t="s">
        <v>316</v>
      </c>
      <c r="C149" s="426" t="s">
        <v>2820</v>
      </c>
      <c r="D149" s="420"/>
      <c r="E149" s="70">
        <v>197051</v>
      </c>
      <c r="J149" s="70" t="s">
        <v>2714</v>
      </c>
      <c r="K149" s="70" t="s">
        <v>2676</v>
      </c>
      <c r="L149" s="70" t="s">
        <v>2676</v>
      </c>
      <c r="N149" s="418">
        <v>20.599809646606399</v>
      </c>
      <c r="O149" s="418">
        <v>93.265541076660199</v>
      </c>
      <c r="R149" s="429"/>
      <c r="S149" s="99"/>
      <c r="T149" s="104">
        <v>43591</v>
      </c>
      <c r="U149" s="429"/>
      <c r="W149" s="421"/>
      <c r="X149" s="539"/>
      <c r="Y149" s="539"/>
      <c r="Z149" s="539"/>
    </row>
    <row r="150" spans="1:26" s="70" customFormat="1" ht="14.25" customHeight="1">
      <c r="A150" s="422" t="s">
        <v>2706</v>
      </c>
      <c r="B150" s="418" t="s">
        <v>475</v>
      </c>
      <c r="C150" s="418" t="s">
        <v>552</v>
      </c>
      <c r="D150" s="470" t="s">
        <v>1654</v>
      </c>
      <c r="E150" s="418">
        <v>196643</v>
      </c>
      <c r="F150" s="418"/>
      <c r="G150" s="418"/>
      <c r="H150" s="418"/>
      <c r="I150" s="418"/>
      <c r="J150" s="418" t="s">
        <v>798</v>
      </c>
      <c r="K150" s="418" t="s">
        <v>798</v>
      </c>
      <c r="L150" s="418" t="s">
        <v>798</v>
      </c>
      <c r="M150" s="418" t="s">
        <v>795</v>
      </c>
      <c r="N150" s="418">
        <v>20.69722939</v>
      </c>
      <c r="O150" s="418">
        <v>93.044059750000002</v>
      </c>
      <c r="P150" s="70" t="s">
        <v>799</v>
      </c>
      <c r="Q150" s="418" t="s">
        <v>780</v>
      </c>
      <c r="R150" s="421"/>
      <c r="S150" s="422"/>
      <c r="T150" s="441"/>
      <c r="U150" s="423"/>
      <c r="V150" s="418" t="s">
        <v>929</v>
      </c>
      <c r="W150" s="418"/>
      <c r="X150" s="539"/>
      <c r="Y150" s="539"/>
      <c r="Z150" s="539"/>
    </row>
    <row r="151" spans="1:26" s="70" customFormat="1" ht="14.25" customHeight="1">
      <c r="A151" s="425" t="s">
        <v>2706</v>
      </c>
      <c r="B151" s="425" t="s">
        <v>475</v>
      </c>
      <c r="C151" s="426" t="s">
        <v>2863</v>
      </c>
      <c r="D151" s="420"/>
      <c r="E151" s="70">
        <v>196610</v>
      </c>
      <c r="F151" s="418"/>
      <c r="J151" s="70" t="s">
        <v>2714</v>
      </c>
      <c r="K151" s="70" t="s">
        <v>2676</v>
      </c>
      <c r="L151" s="70" t="s">
        <v>2676</v>
      </c>
      <c r="N151" s="70">
        <v>20.710781097412099</v>
      </c>
      <c r="O151" s="70">
        <v>93.127502441406307</v>
      </c>
      <c r="R151" s="429"/>
      <c r="S151" s="422"/>
      <c r="T151" s="104">
        <v>43591</v>
      </c>
      <c r="U151" s="429"/>
      <c r="W151" s="421"/>
      <c r="X151" s="539"/>
      <c r="Y151" s="539"/>
      <c r="Z151" s="539"/>
    </row>
    <row r="152" spans="1:26" s="70" customFormat="1" ht="14.25" customHeight="1">
      <c r="A152" s="425" t="s">
        <v>2706</v>
      </c>
      <c r="B152" s="425" t="s">
        <v>475</v>
      </c>
      <c r="C152" s="426" t="s">
        <v>2810</v>
      </c>
      <c r="D152" s="420"/>
      <c r="E152" s="70" t="s">
        <v>2864</v>
      </c>
      <c r="J152" s="70" t="s">
        <v>2714</v>
      </c>
      <c r="K152" s="70" t="s">
        <v>2676</v>
      </c>
      <c r="L152" s="70" t="s">
        <v>2676</v>
      </c>
      <c r="R152" s="429"/>
      <c r="S152" s="422"/>
      <c r="T152" s="104">
        <v>43591</v>
      </c>
      <c r="U152" s="429"/>
      <c r="W152" s="421"/>
      <c r="X152" s="539"/>
      <c r="Y152" s="539"/>
      <c r="Z152" s="539"/>
    </row>
    <row r="153" spans="1:26" s="70" customFormat="1" ht="14.25" customHeight="1">
      <c r="A153" s="425" t="s">
        <v>2706</v>
      </c>
      <c r="B153" s="425" t="s">
        <v>475</v>
      </c>
      <c r="C153" s="426" t="s">
        <v>2811</v>
      </c>
      <c r="D153" s="420"/>
      <c r="E153" s="70" t="s">
        <v>2864</v>
      </c>
      <c r="J153" s="70" t="s">
        <v>2714</v>
      </c>
      <c r="K153" s="70" t="s">
        <v>2676</v>
      </c>
      <c r="L153" s="70" t="s">
        <v>2676</v>
      </c>
      <c r="R153" s="429"/>
      <c r="S153" s="422"/>
      <c r="T153" s="104">
        <v>43591</v>
      </c>
      <c r="U153" s="429"/>
      <c r="W153" s="421"/>
      <c r="X153" s="539"/>
      <c r="Y153" s="539"/>
      <c r="Z153" s="539"/>
    </row>
    <row r="154" spans="1:26" s="70" customFormat="1" ht="14.25" customHeight="1">
      <c r="A154" s="425" t="s">
        <v>2706</v>
      </c>
      <c r="B154" s="425" t="s">
        <v>475</v>
      </c>
      <c r="C154" s="426" t="s">
        <v>2812</v>
      </c>
      <c r="D154" s="420"/>
      <c r="E154" s="418" t="s">
        <v>2864</v>
      </c>
      <c r="F154" s="418"/>
      <c r="J154" s="70" t="s">
        <v>2714</v>
      </c>
      <c r="K154" s="418" t="s">
        <v>2676</v>
      </c>
      <c r="L154" s="418" t="s">
        <v>2676</v>
      </c>
      <c r="R154" s="429"/>
      <c r="S154" s="422"/>
      <c r="T154" s="104">
        <v>43591</v>
      </c>
      <c r="U154" s="429"/>
      <c r="W154" s="421"/>
      <c r="X154" s="539"/>
      <c r="Y154" s="539"/>
      <c r="Z154" s="539"/>
    </row>
    <row r="155" spans="1:26" s="70" customFormat="1" ht="14.25" customHeight="1">
      <c r="A155" s="425" t="s">
        <v>2706</v>
      </c>
      <c r="B155" s="425" t="s">
        <v>475</v>
      </c>
      <c r="C155" s="426" t="s">
        <v>2813</v>
      </c>
      <c r="D155" s="420"/>
      <c r="E155" s="70" t="s">
        <v>2864</v>
      </c>
      <c r="F155" s="418"/>
      <c r="J155" s="70" t="s">
        <v>2714</v>
      </c>
      <c r="K155" s="418" t="s">
        <v>2676</v>
      </c>
      <c r="L155" s="418" t="s">
        <v>2676</v>
      </c>
      <c r="R155" s="429"/>
      <c r="S155" s="422"/>
      <c r="T155" s="104">
        <v>43591</v>
      </c>
      <c r="U155" s="429"/>
      <c r="W155" s="421"/>
      <c r="X155" s="539"/>
      <c r="Y155" s="539"/>
      <c r="Z155" s="539"/>
    </row>
    <row r="156" spans="1:26" s="70" customFormat="1" ht="14.25" customHeight="1">
      <c r="A156" s="425" t="s">
        <v>2706</v>
      </c>
      <c r="B156" s="425" t="s">
        <v>475</v>
      </c>
      <c r="C156" s="426" t="s">
        <v>2814</v>
      </c>
      <c r="D156" s="420"/>
      <c r="E156" s="418" t="s">
        <v>2864</v>
      </c>
      <c r="J156" s="70" t="s">
        <v>2714</v>
      </c>
      <c r="K156" s="70" t="s">
        <v>2676</v>
      </c>
      <c r="L156" s="70" t="s">
        <v>2676</v>
      </c>
      <c r="R156" s="429"/>
      <c r="S156" s="422"/>
      <c r="T156" s="104">
        <v>43591</v>
      </c>
      <c r="U156" s="429"/>
      <c r="W156" s="421"/>
      <c r="X156" s="539"/>
      <c r="Y156" s="539"/>
      <c r="Z156" s="539"/>
    </row>
    <row r="157" spans="1:26" s="70" customFormat="1" ht="14.25" customHeight="1">
      <c r="A157" s="99" t="s">
        <v>2706</v>
      </c>
      <c r="B157" s="418" t="s">
        <v>475</v>
      </c>
      <c r="C157" s="418" t="s">
        <v>487</v>
      </c>
      <c r="D157" s="470" t="s">
        <v>1654</v>
      </c>
      <c r="E157" s="70">
        <v>196508</v>
      </c>
      <c r="F157" s="418"/>
      <c r="J157" s="70" t="s">
        <v>798</v>
      </c>
      <c r="K157" s="418" t="s">
        <v>798</v>
      </c>
      <c r="L157" s="418" t="s">
        <v>798</v>
      </c>
      <c r="M157" s="70" t="s">
        <v>298</v>
      </c>
      <c r="N157" s="70">
        <v>20.489089969999998</v>
      </c>
      <c r="O157" s="70">
        <v>93.211738589999996</v>
      </c>
      <c r="P157" s="70" t="s">
        <v>799</v>
      </c>
      <c r="Q157" s="70" t="s">
        <v>780</v>
      </c>
      <c r="R157" s="421"/>
      <c r="S157" s="422"/>
      <c r="T157" s="104"/>
      <c r="U157" s="100"/>
      <c r="V157" s="70" t="s">
        <v>900</v>
      </c>
      <c r="X157" s="539"/>
      <c r="Y157" s="539"/>
      <c r="Z157" s="539"/>
    </row>
    <row r="158" spans="1:26" s="70" customFormat="1" ht="14.25" customHeight="1">
      <c r="A158" s="422" t="s">
        <v>2706</v>
      </c>
      <c r="B158" s="418" t="s">
        <v>475</v>
      </c>
      <c r="C158" s="418" t="s">
        <v>2625</v>
      </c>
      <c r="D158" s="470"/>
      <c r="F158" s="418"/>
      <c r="J158" s="70" t="s">
        <v>2714</v>
      </c>
      <c r="K158" s="70" t="s">
        <v>2676</v>
      </c>
      <c r="L158" s="70" t="s">
        <v>2676</v>
      </c>
      <c r="R158" s="421"/>
      <c r="S158" s="422"/>
      <c r="T158" s="104"/>
      <c r="U158" s="100"/>
      <c r="X158" s="539"/>
      <c r="Y158" s="539"/>
      <c r="Z158" s="539"/>
    </row>
    <row r="159" spans="1:26" s="70" customFormat="1" ht="14.25" customHeight="1">
      <c r="A159" s="425" t="s">
        <v>2706</v>
      </c>
      <c r="B159" s="425" t="s">
        <v>475</v>
      </c>
      <c r="C159" s="426" t="s">
        <v>555</v>
      </c>
      <c r="D159" s="420"/>
      <c r="J159" s="70" t="s">
        <v>2714</v>
      </c>
      <c r="K159" s="70" t="s">
        <v>2676</v>
      </c>
      <c r="L159" s="70" t="s">
        <v>2676</v>
      </c>
      <c r="R159" s="429"/>
      <c r="S159" s="422"/>
      <c r="T159" s="104">
        <v>43591</v>
      </c>
      <c r="U159" s="429"/>
      <c r="W159" s="421"/>
      <c r="X159" s="539"/>
      <c r="Y159" s="539"/>
      <c r="Z159" s="539"/>
    </row>
    <row r="160" spans="1:26" s="70" customFormat="1" ht="14.25" customHeight="1">
      <c r="A160" s="425" t="s">
        <v>2706</v>
      </c>
      <c r="B160" s="425" t="s">
        <v>475</v>
      </c>
      <c r="C160" s="426" t="s">
        <v>2865</v>
      </c>
      <c r="D160" s="420"/>
      <c r="E160" s="70">
        <v>196475</v>
      </c>
      <c r="J160" s="70" t="s">
        <v>2714</v>
      </c>
      <c r="K160" s="70" t="s">
        <v>2676</v>
      </c>
      <c r="L160" s="70" t="s">
        <v>2676</v>
      </c>
      <c r="R160" s="429"/>
      <c r="S160" s="422"/>
      <c r="T160" s="104">
        <v>43591</v>
      </c>
      <c r="U160" s="429"/>
      <c r="W160" s="421"/>
      <c r="X160" s="539"/>
      <c r="Y160" s="539"/>
      <c r="Z160" s="539"/>
    </row>
    <row r="161" spans="1:26" s="70" customFormat="1" ht="14.25" customHeight="1">
      <c r="A161" s="425" t="s">
        <v>2706</v>
      </c>
      <c r="B161" s="425" t="s">
        <v>475</v>
      </c>
      <c r="C161" s="426" t="s">
        <v>2817</v>
      </c>
      <c r="D161" s="420"/>
      <c r="J161" s="70" t="s">
        <v>2714</v>
      </c>
      <c r="K161" s="70" t="s">
        <v>2676</v>
      </c>
      <c r="L161" s="70" t="s">
        <v>2676</v>
      </c>
      <c r="R161" s="429"/>
      <c r="S161" s="422"/>
      <c r="T161" s="104">
        <v>43591</v>
      </c>
      <c r="U161" s="429"/>
      <c r="W161" s="421"/>
      <c r="X161" s="539"/>
      <c r="Y161" s="539"/>
      <c r="Z161" s="539"/>
    </row>
    <row r="162" spans="1:26" s="70" customFormat="1" ht="14.25" customHeight="1">
      <c r="A162" s="422" t="s">
        <v>2706</v>
      </c>
      <c r="B162" s="418" t="s">
        <v>475</v>
      </c>
      <c r="C162" s="418" t="s">
        <v>2618</v>
      </c>
      <c r="D162" s="470"/>
      <c r="J162" s="70" t="s">
        <v>2714</v>
      </c>
      <c r="K162" s="70" t="s">
        <v>2676</v>
      </c>
      <c r="L162" s="70" t="s">
        <v>2713</v>
      </c>
      <c r="R162" s="421"/>
      <c r="S162" s="422"/>
      <c r="T162" s="104"/>
      <c r="U162" s="100" t="s">
        <v>2614</v>
      </c>
      <c r="X162" s="539"/>
      <c r="Y162" s="539"/>
      <c r="Z162" s="539"/>
    </row>
    <row r="163" spans="1:26" s="70" customFormat="1" ht="14.25" customHeight="1">
      <c r="A163" s="422" t="s">
        <v>2706</v>
      </c>
      <c r="B163" s="418" t="s">
        <v>475</v>
      </c>
      <c r="C163" s="418" t="s">
        <v>478</v>
      </c>
      <c r="D163" s="470" t="s">
        <v>1654</v>
      </c>
      <c r="E163" s="70">
        <v>196496</v>
      </c>
      <c r="J163" s="70" t="s">
        <v>798</v>
      </c>
      <c r="K163" s="70" t="s">
        <v>798</v>
      </c>
      <c r="L163" s="70" t="s">
        <v>798</v>
      </c>
      <c r="M163" s="70" t="s">
        <v>298</v>
      </c>
      <c r="N163" s="70">
        <v>20.46477509</v>
      </c>
      <c r="O163" s="70">
        <v>93.269363400000003</v>
      </c>
      <c r="P163" s="70" t="s">
        <v>799</v>
      </c>
      <c r="Q163" s="70" t="s">
        <v>780</v>
      </c>
      <c r="R163" s="421"/>
      <c r="S163" s="422"/>
      <c r="T163" s="104"/>
      <c r="U163" s="100"/>
      <c r="V163" s="70" t="s">
        <v>478</v>
      </c>
      <c r="X163" s="539"/>
      <c r="Y163" s="539"/>
      <c r="Z163" s="539"/>
    </row>
    <row r="164" spans="1:26" s="70" customFormat="1" ht="14.25" customHeight="1">
      <c r="A164" s="422" t="s">
        <v>2706</v>
      </c>
      <c r="B164" s="418" t="s">
        <v>475</v>
      </c>
      <c r="C164" s="418" t="s">
        <v>476</v>
      </c>
      <c r="D164" s="470" t="s">
        <v>1654</v>
      </c>
      <c r="E164" s="70">
        <v>220626</v>
      </c>
      <c r="F164" s="418"/>
      <c r="J164" s="70" t="s">
        <v>798</v>
      </c>
      <c r="K164" s="70" t="s">
        <v>798</v>
      </c>
      <c r="L164" s="70" t="s">
        <v>798</v>
      </c>
      <c r="M164" s="70" t="s">
        <v>298</v>
      </c>
      <c r="N164" s="70">
        <v>20.46252441</v>
      </c>
      <c r="O164" s="70">
        <v>93.257278439999993</v>
      </c>
      <c r="P164" s="418" t="s">
        <v>799</v>
      </c>
      <c r="Q164" s="70" t="s">
        <v>780</v>
      </c>
      <c r="R164" s="421"/>
      <c r="S164" s="422"/>
      <c r="T164" s="104"/>
      <c r="U164" s="100"/>
      <c r="V164" s="70" t="s">
        <v>898</v>
      </c>
      <c r="W164" s="418"/>
      <c r="X164" s="539"/>
      <c r="Y164" s="539"/>
      <c r="Z164" s="539"/>
    </row>
    <row r="165" spans="1:26" s="70" customFormat="1" ht="14.25" customHeight="1">
      <c r="A165" s="422" t="s">
        <v>2706</v>
      </c>
      <c r="B165" s="543" t="s">
        <v>475</v>
      </c>
      <c r="C165" s="543" t="s">
        <v>2866</v>
      </c>
      <c r="D165" s="470"/>
      <c r="E165" s="70">
        <v>196661</v>
      </c>
      <c r="J165" s="70" t="s">
        <v>2714</v>
      </c>
      <c r="K165" s="70" t="s">
        <v>2676</v>
      </c>
      <c r="L165" s="70" t="s">
        <v>2676</v>
      </c>
      <c r="N165" s="70">
        <v>20.829959869384801</v>
      </c>
      <c r="O165" s="70">
        <v>93.073478698730497</v>
      </c>
      <c r="R165" s="421"/>
      <c r="S165" s="422"/>
      <c r="T165" s="104"/>
      <c r="U165" s="100"/>
      <c r="X165" s="539"/>
      <c r="Y165" s="539"/>
      <c r="Z165" s="539"/>
    </row>
    <row r="166" spans="1:26" s="70" customFormat="1" ht="14.25" customHeight="1">
      <c r="A166" s="422" t="s">
        <v>2706</v>
      </c>
      <c r="B166" s="418" t="s">
        <v>475</v>
      </c>
      <c r="C166" s="418" t="s">
        <v>2617</v>
      </c>
      <c r="D166" s="470"/>
      <c r="E166" s="418"/>
      <c r="F166" s="418"/>
      <c r="G166" s="418"/>
      <c r="H166" s="418"/>
      <c r="I166" s="418"/>
      <c r="J166" s="418" t="s">
        <v>2714</v>
      </c>
      <c r="K166" s="418" t="s">
        <v>2676</v>
      </c>
      <c r="L166" s="418" t="s">
        <v>2713</v>
      </c>
      <c r="M166" s="418"/>
      <c r="N166" s="418"/>
      <c r="O166" s="418"/>
      <c r="P166" s="418"/>
      <c r="Q166" s="418"/>
      <c r="R166" s="421"/>
      <c r="S166" s="422"/>
      <c r="T166" s="441"/>
      <c r="U166" s="423" t="s">
        <v>2614</v>
      </c>
      <c r="V166" s="418"/>
      <c r="W166" s="418"/>
      <c r="X166" s="539"/>
      <c r="Y166" s="539"/>
      <c r="Z166" s="539"/>
    </row>
    <row r="167" spans="1:26" s="70" customFormat="1" ht="14.25" customHeight="1">
      <c r="A167" s="546" t="s">
        <v>2706</v>
      </c>
      <c r="B167" s="539" t="s">
        <v>475</v>
      </c>
      <c r="C167" s="539" t="s">
        <v>2624</v>
      </c>
      <c r="D167" s="470"/>
      <c r="E167" s="418"/>
      <c r="F167" s="418"/>
      <c r="J167" s="70" t="s">
        <v>2714</v>
      </c>
      <c r="K167" s="70" t="s">
        <v>2676</v>
      </c>
      <c r="L167" s="70" t="s">
        <v>2676</v>
      </c>
      <c r="P167" s="418"/>
      <c r="R167" s="545"/>
      <c r="S167" s="422"/>
      <c r="T167" s="104"/>
      <c r="U167" s="547"/>
      <c r="W167" s="539"/>
      <c r="X167" s="539"/>
      <c r="Y167" s="539"/>
      <c r="Z167" s="539"/>
    </row>
    <row r="168" spans="1:26" s="70" customFormat="1" ht="14.25" customHeight="1">
      <c r="A168" s="425" t="s">
        <v>2706</v>
      </c>
      <c r="B168" s="425" t="s">
        <v>475</v>
      </c>
      <c r="C168" s="426" t="s">
        <v>2815</v>
      </c>
      <c r="D168" s="420"/>
      <c r="E168" s="418"/>
      <c r="J168" s="70" t="s">
        <v>2714</v>
      </c>
      <c r="K168" s="70" t="s">
        <v>2676</v>
      </c>
      <c r="L168" s="70" t="s">
        <v>2676</v>
      </c>
      <c r="R168" s="429"/>
      <c r="S168" s="422"/>
      <c r="T168" s="104">
        <v>43591</v>
      </c>
      <c r="U168" s="429"/>
      <c r="W168" s="421"/>
      <c r="X168" s="539"/>
      <c r="Y168" s="539"/>
      <c r="Z168" s="539"/>
    </row>
    <row r="169" spans="1:26" s="70" customFormat="1" ht="14.25" customHeight="1">
      <c r="A169" s="549" t="s">
        <v>2706</v>
      </c>
      <c r="B169" s="549" t="s">
        <v>475</v>
      </c>
      <c r="C169" s="550" t="s">
        <v>2818</v>
      </c>
      <c r="D169" s="544"/>
      <c r="E169" s="70">
        <v>196448</v>
      </c>
      <c r="F169" s="418"/>
      <c r="J169" s="70" t="s">
        <v>2714</v>
      </c>
      <c r="K169" s="418" t="s">
        <v>2676</v>
      </c>
      <c r="L169" s="418" t="s">
        <v>2676</v>
      </c>
      <c r="N169" s="70">
        <v>20.6728000640869</v>
      </c>
      <c r="O169" s="70">
        <v>93.243469238281307</v>
      </c>
      <c r="R169" s="553"/>
      <c r="S169" s="422"/>
      <c r="T169" s="104">
        <v>43591</v>
      </c>
      <c r="U169" s="553"/>
      <c r="W169" s="545"/>
      <c r="X169" s="539"/>
      <c r="Y169" s="539"/>
      <c r="Z169" s="539"/>
    </row>
    <row r="170" spans="1:26" s="70" customFormat="1" ht="14.25" customHeight="1">
      <c r="A170" s="422" t="s">
        <v>2706</v>
      </c>
      <c r="B170" s="418" t="s">
        <v>475</v>
      </c>
      <c r="C170" s="418" t="s">
        <v>553</v>
      </c>
      <c r="D170" s="470" t="s">
        <v>1654</v>
      </c>
      <c r="E170" s="418">
        <v>196642</v>
      </c>
      <c r="I170" s="418"/>
      <c r="J170" s="70" t="s">
        <v>798</v>
      </c>
      <c r="K170" s="70" t="s">
        <v>798</v>
      </c>
      <c r="L170" s="70" t="s">
        <v>798</v>
      </c>
      <c r="M170" s="70" t="s">
        <v>298</v>
      </c>
      <c r="N170" s="70">
        <v>20.70355034</v>
      </c>
      <c r="O170" s="70">
        <v>93.060462950000002</v>
      </c>
      <c r="P170" s="70" t="s">
        <v>799</v>
      </c>
      <c r="Q170" s="70" t="s">
        <v>780</v>
      </c>
      <c r="R170" s="98"/>
      <c r="S170" s="422"/>
      <c r="T170" s="104"/>
      <c r="U170" s="100"/>
      <c r="V170" s="70" t="s">
        <v>553</v>
      </c>
      <c r="W170" s="418"/>
      <c r="X170" s="539"/>
      <c r="Y170" s="539"/>
      <c r="Z170" s="539"/>
    </row>
    <row r="171" spans="1:26" s="70" customFormat="1" ht="14.25" customHeight="1">
      <c r="A171" s="422" t="s">
        <v>2706</v>
      </c>
      <c r="B171" s="539" t="s">
        <v>475</v>
      </c>
      <c r="C171" s="539" t="s">
        <v>2621</v>
      </c>
      <c r="D171" s="470"/>
      <c r="F171" s="539"/>
      <c r="J171" s="70" t="s">
        <v>2714</v>
      </c>
      <c r="K171" s="418" t="s">
        <v>2676</v>
      </c>
      <c r="L171" s="418" t="s">
        <v>2676</v>
      </c>
      <c r="Q171" s="539"/>
      <c r="R171" s="421"/>
      <c r="S171" s="422"/>
      <c r="T171" s="565"/>
      <c r="U171" s="100"/>
      <c r="X171" s="539"/>
      <c r="Y171" s="539"/>
      <c r="Z171" s="539"/>
    </row>
    <row r="172" spans="1:26" s="70" customFormat="1" ht="14.25" customHeight="1">
      <c r="A172" s="422" t="s">
        <v>2706</v>
      </c>
      <c r="B172" s="549" t="s">
        <v>475</v>
      </c>
      <c r="C172" s="543" t="s">
        <v>909</v>
      </c>
      <c r="D172" s="470" t="s">
        <v>2786</v>
      </c>
      <c r="E172" s="70" t="s">
        <v>1382</v>
      </c>
      <c r="F172" s="543" t="s">
        <v>1856</v>
      </c>
      <c r="G172" s="70" t="s">
        <v>1856</v>
      </c>
      <c r="J172" s="70" t="s">
        <v>798</v>
      </c>
      <c r="K172" s="418" t="s">
        <v>798</v>
      </c>
      <c r="L172" s="418" t="s">
        <v>883</v>
      </c>
      <c r="M172" s="70" t="s">
        <v>795</v>
      </c>
      <c r="N172" s="70">
        <v>20.576577</v>
      </c>
      <c r="O172" s="70">
        <v>93.245551000000006</v>
      </c>
      <c r="P172" s="418" t="s">
        <v>799</v>
      </c>
      <c r="Q172" s="543"/>
      <c r="R172" s="421">
        <v>204</v>
      </c>
      <c r="S172" s="422">
        <v>1265</v>
      </c>
      <c r="T172" s="566"/>
      <c r="U172" s="100" t="s">
        <v>860</v>
      </c>
      <c r="V172" s="70" t="s">
        <v>909</v>
      </c>
      <c r="W172" s="418"/>
      <c r="X172" s="539"/>
      <c r="Y172" s="539"/>
      <c r="Z172" s="539"/>
    </row>
    <row r="173" spans="1:26" s="70" customFormat="1" ht="14.25" customHeight="1">
      <c r="A173" s="422" t="s">
        <v>2706</v>
      </c>
      <c r="B173" s="418" t="s">
        <v>475</v>
      </c>
      <c r="C173" s="418" t="s">
        <v>2623</v>
      </c>
      <c r="D173" s="470"/>
      <c r="E173" s="418"/>
      <c r="F173" s="418"/>
      <c r="G173" s="418"/>
      <c r="H173" s="418"/>
      <c r="I173" s="418"/>
      <c r="J173" s="418" t="s">
        <v>2714</v>
      </c>
      <c r="K173" s="418" t="s">
        <v>2676</v>
      </c>
      <c r="L173" s="418" t="s">
        <v>2713</v>
      </c>
      <c r="M173" s="418"/>
      <c r="N173" s="418"/>
      <c r="O173" s="418"/>
      <c r="P173" s="418"/>
      <c r="Q173" s="418"/>
      <c r="R173" s="421"/>
      <c r="S173" s="422"/>
      <c r="T173" s="441"/>
      <c r="U173" s="423" t="s">
        <v>2614</v>
      </c>
      <c r="V173" s="418"/>
      <c r="W173" s="418"/>
      <c r="X173" s="539"/>
      <c r="Y173" s="539"/>
      <c r="Z173" s="539"/>
    </row>
    <row r="174" spans="1:26" s="70" customFormat="1" ht="14.25" customHeight="1">
      <c r="A174" s="546" t="s">
        <v>2706</v>
      </c>
      <c r="B174" s="539" t="s">
        <v>475</v>
      </c>
      <c r="C174" s="539" t="s">
        <v>2619</v>
      </c>
      <c r="D174" s="470"/>
      <c r="J174" s="70" t="s">
        <v>2714</v>
      </c>
      <c r="K174" s="418" t="s">
        <v>2676</v>
      </c>
      <c r="L174" s="418" t="s">
        <v>2713</v>
      </c>
      <c r="R174" s="545"/>
      <c r="S174" s="422"/>
      <c r="T174" s="104"/>
      <c r="U174" s="547" t="s">
        <v>2614</v>
      </c>
      <c r="W174" s="539"/>
      <c r="X174" s="539"/>
      <c r="Y174" s="539"/>
      <c r="Z174" s="539"/>
    </row>
    <row r="175" spans="1:26" s="70" customFormat="1" ht="14.25" customHeight="1">
      <c r="A175" s="549" t="s">
        <v>2706</v>
      </c>
      <c r="B175" s="425" t="s">
        <v>475</v>
      </c>
      <c r="C175" s="550" t="s">
        <v>2809</v>
      </c>
      <c r="D175" s="544"/>
      <c r="E175" s="539"/>
      <c r="F175" s="539"/>
      <c r="G175" s="539"/>
      <c r="H175" s="539"/>
      <c r="I175" s="539"/>
      <c r="J175" s="70" t="s">
        <v>2714</v>
      </c>
      <c r="K175" s="418" t="s">
        <v>2676</v>
      </c>
      <c r="L175" s="418" t="s">
        <v>2676</v>
      </c>
      <c r="M175" s="539"/>
      <c r="N175" s="539"/>
      <c r="O175" s="539"/>
      <c r="Q175" s="539"/>
      <c r="R175" s="553"/>
      <c r="S175" s="546"/>
      <c r="T175" s="565">
        <v>43591</v>
      </c>
      <c r="U175" s="553"/>
      <c r="V175" s="539"/>
      <c r="W175" s="545"/>
      <c r="X175" s="539"/>
      <c r="Y175" s="539"/>
      <c r="Z175" s="539"/>
    </row>
    <row r="176" spans="1:26" s="70" customFormat="1" ht="14.25" customHeight="1">
      <c r="A176" s="422" t="s">
        <v>2706</v>
      </c>
      <c r="B176" s="549" t="s">
        <v>475</v>
      </c>
      <c r="C176" s="419" t="s">
        <v>912</v>
      </c>
      <c r="D176" s="471" t="s">
        <v>1654</v>
      </c>
      <c r="E176" s="543">
        <v>196429</v>
      </c>
      <c r="F176" s="543"/>
      <c r="G176" s="543"/>
      <c r="H176" s="543"/>
      <c r="I176" s="543"/>
      <c r="J176" s="70" t="s">
        <v>798</v>
      </c>
      <c r="K176" s="418" t="s">
        <v>798</v>
      </c>
      <c r="L176" s="418" t="s">
        <v>798</v>
      </c>
      <c r="M176" s="543" t="s">
        <v>298</v>
      </c>
      <c r="N176" s="543">
        <v>20.58151054</v>
      </c>
      <c r="O176" s="543">
        <v>93.24609375</v>
      </c>
      <c r="P176" s="70" t="s">
        <v>799</v>
      </c>
      <c r="Q176" s="543"/>
      <c r="R176" s="554"/>
      <c r="S176" s="550"/>
      <c r="T176" s="566"/>
      <c r="U176" s="551"/>
      <c r="V176" s="543" t="s">
        <v>912</v>
      </c>
      <c r="W176" s="418"/>
      <c r="X176" s="539"/>
      <c r="Y176" s="539"/>
      <c r="Z176" s="539"/>
    </row>
    <row r="177" spans="1:26" s="70" customFormat="1" ht="14.25" customHeight="1">
      <c r="A177" s="422" t="s">
        <v>2706</v>
      </c>
      <c r="B177" s="419" t="s">
        <v>475</v>
      </c>
      <c r="C177" s="419" t="s">
        <v>917</v>
      </c>
      <c r="D177" s="470" t="s">
        <v>2786</v>
      </c>
      <c r="E177" s="70" t="s">
        <v>1384</v>
      </c>
      <c r="F177" s="70" t="s">
        <v>495</v>
      </c>
      <c r="G177" s="70" t="s">
        <v>1857</v>
      </c>
      <c r="J177" s="70" t="s">
        <v>798</v>
      </c>
      <c r="K177" s="70" t="s">
        <v>798</v>
      </c>
      <c r="L177" s="70" t="s">
        <v>821</v>
      </c>
      <c r="M177" s="70" t="s">
        <v>298</v>
      </c>
      <c r="N177" s="70">
        <v>20.61692</v>
      </c>
      <c r="O177" s="70">
        <v>93.239519999999999</v>
      </c>
      <c r="P177" s="70" t="s">
        <v>799</v>
      </c>
      <c r="R177" s="421">
        <v>10</v>
      </c>
      <c r="S177" s="422">
        <v>64</v>
      </c>
      <c r="T177" s="104"/>
      <c r="U177" s="100" t="s">
        <v>860</v>
      </c>
      <c r="V177" s="70" t="s">
        <v>917</v>
      </c>
      <c r="X177" s="539"/>
      <c r="Y177" s="539"/>
      <c r="Z177" s="539"/>
    </row>
    <row r="178" spans="1:26" s="70" customFormat="1" ht="14.25" customHeight="1">
      <c r="A178" s="422" t="s">
        <v>2706</v>
      </c>
      <c r="B178" s="419" t="s">
        <v>475</v>
      </c>
      <c r="C178" s="419" t="s">
        <v>2616</v>
      </c>
      <c r="D178" s="470"/>
      <c r="E178" s="70">
        <v>196465</v>
      </c>
      <c r="J178" s="70" t="s">
        <v>2714</v>
      </c>
      <c r="K178" s="70" t="s">
        <v>2676</v>
      </c>
      <c r="L178" s="418" t="s">
        <v>2676</v>
      </c>
      <c r="N178" s="70">
        <v>20.7270202636719</v>
      </c>
      <c r="O178" s="70">
        <v>93.249069213867202</v>
      </c>
      <c r="R178" s="421"/>
      <c r="S178" s="422"/>
      <c r="T178" s="104"/>
      <c r="U178" s="100"/>
      <c r="X178" s="539"/>
      <c r="Y178" s="539"/>
      <c r="Z178" s="539"/>
    </row>
    <row r="179" spans="1:26" s="70" customFormat="1" ht="14.25" customHeight="1">
      <c r="A179" s="422" t="s">
        <v>2706</v>
      </c>
      <c r="B179" s="419" t="s">
        <v>475</v>
      </c>
      <c r="C179" s="419" t="s">
        <v>2615</v>
      </c>
      <c r="D179" s="470"/>
      <c r="F179" s="419"/>
      <c r="J179" s="70" t="s">
        <v>2714</v>
      </c>
      <c r="K179" s="418" t="s">
        <v>2676</v>
      </c>
      <c r="L179" s="418" t="s">
        <v>2713</v>
      </c>
      <c r="R179" s="98"/>
      <c r="S179" s="422"/>
      <c r="T179" s="104"/>
      <c r="U179" s="100" t="s">
        <v>2614</v>
      </c>
      <c r="X179" s="539"/>
      <c r="Y179" s="539"/>
      <c r="Z179" s="539"/>
    </row>
    <row r="180" spans="1:26" s="70" customFormat="1" ht="14.25" customHeight="1">
      <c r="A180" s="422" t="s">
        <v>2706</v>
      </c>
      <c r="B180" s="419" t="s">
        <v>475</v>
      </c>
      <c r="C180" s="419" t="s">
        <v>2622</v>
      </c>
      <c r="D180" s="470"/>
      <c r="J180" s="70" t="s">
        <v>2714</v>
      </c>
      <c r="K180" s="418" t="s">
        <v>2676</v>
      </c>
      <c r="L180" s="418" t="s">
        <v>2676</v>
      </c>
      <c r="N180" s="418"/>
      <c r="O180" s="418"/>
      <c r="P180" s="418"/>
      <c r="R180" s="98"/>
      <c r="S180" s="422"/>
      <c r="T180" s="104"/>
      <c r="U180" s="100"/>
      <c r="W180" s="418"/>
      <c r="X180" s="539"/>
      <c r="Y180" s="539"/>
      <c r="Z180" s="539"/>
    </row>
    <row r="181" spans="1:26" s="70" customFormat="1" ht="14.25" customHeight="1">
      <c r="A181" s="422" t="s">
        <v>2706</v>
      </c>
      <c r="B181" s="419" t="s">
        <v>475</v>
      </c>
      <c r="C181" s="419" t="s">
        <v>2867</v>
      </c>
      <c r="D181" s="470"/>
      <c r="E181" s="418">
        <v>196453</v>
      </c>
      <c r="F181" s="543"/>
      <c r="G181" s="418"/>
      <c r="H181" s="418"/>
      <c r="I181" s="418"/>
      <c r="J181" s="418" t="s">
        <v>2714</v>
      </c>
      <c r="K181" s="418" t="s">
        <v>2676</v>
      </c>
      <c r="L181" s="418" t="s">
        <v>2676</v>
      </c>
      <c r="M181" s="418"/>
      <c r="N181" s="418">
        <v>20.686229705810501</v>
      </c>
      <c r="O181" s="418">
        <v>93.220001220703097</v>
      </c>
      <c r="P181" s="418"/>
      <c r="Q181" s="418"/>
      <c r="R181" s="549"/>
      <c r="S181" s="550"/>
      <c r="T181" s="441"/>
      <c r="U181" s="423"/>
      <c r="V181" s="418"/>
      <c r="W181" s="418"/>
      <c r="X181" s="539"/>
      <c r="Y181" s="539"/>
      <c r="Z181" s="539"/>
    </row>
    <row r="182" spans="1:26" s="70" customFormat="1" ht="14.25" customHeight="1">
      <c r="A182" s="422" t="s">
        <v>2706</v>
      </c>
      <c r="B182" s="419" t="s">
        <v>475</v>
      </c>
      <c r="C182" s="419" t="s">
        <v>2868</v>
      </c>
      <c r="D182" s="470"/>
      <c r="E182" s="70">
        <v>196453</v>
      </c>
      <c r="J182" s="70" t="s">
        <v>2714</v>
      </c>
      <c r="K182" s="418" t="s">
        <v>2676</v>
      </c>
      <c r="L182" s="418" t="s">
        <v>2676</v>
      </c>
      <c r="N182" s="70">
        <v>20.686229705810501</v>
      </c>
      <c r="O182" s="70">
        <v>93.220001220703097</v>
      </c>
      <c r="R182" s="549"/>
      <c r="S182" s="550"/>
      <c r="T182" s="104"/>
      <c r="U182" s="100"/>
      <c r="X182" s="539"/>
      <c r="Y182" s="539"/>
      <c r="Z182" s="539"/>
    </row>
    <row r="183" spans="1:26" s="70" customFormat="1" ht="14.25" customHeight="1">
      <c r="A183" s="546" t="s">
        <v>2706</v>
      </c>
      <c r="B183" s="543" t="s">
        <v>475</v>
      </c>
      <c r="C183" s="543" t="s">
        <v>2626</v>
      </c>
      <c r="D183" s="470"/>
      <c r="E183" s="70">
        <v>196464</v>
      </c>
      <c r="J183" s="70" t="s">
        <v>2714</v>
      </c>
      <c r="K183" s="418" t="s">
        <v>2676</v>
      </c>
      <c r="L183" s="418" t="s">
        <v>2676</v>
      </c>
      <c r="N183" s="70">
        <v>20.7529296875</v>
      </c>
      <c r="O183" s="70">
        <v>93.267311096191406</v>
      </c>
      <c r="R183" s="545"/>
      <c r="S183" s="422"/>
      <c r="T183" s="104"/>
      <c r="U183" s="547"/>
      <c r="W183" s="539"/>
      <c r="X183" s="539"/>
      <c r="Y183" s="539"/>
      <c r="Z183" s="539"/>
    </row>
    <row r="184" spans="1:26" s="70" customFormat="1" ht="14.25" customHeight="1">
      <c r="A184" s="546" t="s">
        <v>2706</v>
      </c>
      <c r="B184" s="543" t="s">
        <v>475</v>
      </c>
      <c r="C184" s="543" t="s">
        <v>2627</v>
      </c>
      <c r="D184" s="470"/>
      <c r="J184" s="70" t="s">
        <v>2714</v>
      </c>
      <c r="K184" s="70" t="s">
        <v>2676</v>
      </c>
      <c r="L184" s="70" t="s">
        <v>2676</v>
      </c>
      <c r="P184" s="418"/>
      <c r="R184" s="545"/>
      <c r="S184" s="422"/>
      <c r="T184" s="104"/>
      <c r="U184" s="547"/>
      <c r="W184" s="539"/>
      <c r="X184" s="539"/>
      <c r="Y184" s="539"/>
      <c r="Z184" s="539"/>
    </row>
    <row r="185" spans="1:26" s="70" customFormat="1" ht="14.25" customHeight="1">
      <c r="A185" s="549" t="s">
        <v>2706</v>
      </c>
      <c r="B185" s="549" t="s">
        <v>475</v>
      </c>
      <c r="C185" s="550" t="s">
        <v>2808</v>
      </c>
      <c r="D185" s="544"/>
      <c r="E185" s="70">
        <v>196645</v>
      </c>
      <c r="J185" s="70" t="s">
        <v>2714</v>
      </c>
      <c r="K185" s="70" t="s">
        <v>2676</v>
      </c>
      <c r="L185" s="418" t="s">
        <v>2676</v>
      </c>
      <c r="N185" s="70">
        <v>20.718429565429702</v>
      </c>
      <c r="O185" s="70">
        <v>93.059432983398395</v>
      </c>
      <c r="R185" s="553"/>
      <c r="S185" s="422"/>
      <c r="T185" s="104">
        <v>43591</v>
      </c>
      <c r="U185" s="553"/>
      <c r="W185" s="545"/>
      <c r="X185" s="539"/>
      <c r="Y185" s="539"/>
      <c r="Z185" s="539"/>
    </row>
    <row r="186" spans="1:26" s="70" customFormat="1" ht="14.25" customHeight="1">
      <c r="A186" s="425" t="s">
        <v>2706</v>
      </c>
      <c r="B186" s="425" t="s">
        <v>475</v>
      </c>
      <c r="C186" s="426" t="s">
        <v>2816</v>
      </c>
      <c r="D186" s="420"/>
      <c r="J186" s="70" t="s">
        <v>2714</v>
      </c>
      <c r="K186" s="70" t="s">
        <v>2676</v>
      </c>
      <c r="L186" s="418" t="s">
        <v>2676</v>
      </c>
      <c r="R186" s="429"/>
      <c r="S186" s="422"/>
      <c r="T186" s="104">
        <v>43591</v>
      </c>
      <c r="U186" s="429"/>
      <c r="W186" s="421"/>
      <c r="X186" s="539"/>
      <c r="Y186" s="539"/>
      <c r="Z186" s="539"/>
    </row>
    <row r="187" spans="1:26" s="70" customFormat="1" ht="14.25" customHeight="1">
      <c r="A187" s="546" t="s">
        <v>2706</v>
      </c>
      <c r="B187" s="543" t="s">
        <v>475</v>
      </c>
      <c r="C187" s="543" t="s">
        <v>902</v>
      </c>
      <c r="D187" s="470" t="s">
        <v>2786</v>
      </c>
      <c r="E187" s="70" t="s">
        <v>1379</v>
      </c>
      <c r="F187" s="70" t="s">
        <v>1854</v>
      </c>
      <c r="G187" s="70" t="s">
        <v>902</v>
      </c>
      <c r="J187" s="70" t="s">
        <v>798</v>
      </c>
      <c r="K187" s="70" t="s">
        <v>798</v>
      </c>
      <c r="L187" s="418" t="s">
        <v>821</v>
      </c>
      <c r="M187" s="70" t="s">
        <v>298</v>
      </c>
      <c r="N187" s="70">
        <v>20.495086000000001</v>
      </c>
      <c r="O187" s="70">
        <v>93.246863000000005</v>
      </c>
      <c r="P187" s="70" t="s">
        <v>799</v>
      </c>
      <c r="R187" s="545">
        <v>32</v>
      </c>
      <c r="S187" s="422">
        <v>131</v>
      </c>
      <c r="T187" s="104"/>
      <c r="U187" s="547" t="s">
        <v>860</v>
      </c>
      <c r="V187" s="70" t="s">
        <v>903</v>
      </c>
      <c r="W187" s="539"/>
      <c r="X187" s="539"/>
      <c r="Y187" s="539"/>
      <c r="Z187" s="539"/>
    </row>
    <row r="188" spans="1:26" s="70" customFormat="1" ht="14.25" customHeight="1">
      <c r="A188" s="425" t="s">
        <v>2706</v>
      </c>
      <c r="B188" s="425" t="s">
        <v>475</v>
      </c>
      <c r="C188" s="426" t="s">
        <v>2806</v>
      </c>
      <c r="D188" s="420"/>
      <c r="E188" s="418">
        <v>196626</v>
      </c>
      <c r="F188" s="418"/>
      <c r="J188" s="70" t="s">
        <v>2714</v>
      </c>
      <c r="K188" s="418" t="s">
        <v>2676</v>
      </c>
      <c r="L188" s="418" t="s">
        <v>2676</v>
      </c>
      <c r="N188" s="70">
        <v>20.648319244384801</v>
      </c>
      <c r="O188" s="70">
        <v>93.085273742675795</v>
      </c>
      <c r="R188" s="429"/>
      <c r="S188" s="422"/>
      <c r="T188" s="104">
        <v>43591</v>
      </c>
      <c r="U188" s="429"/>
      <c r="W188" s="421"/>
      <c r="X188" s="539"/>
      <c r="Y188" s="539"/>
      <c r="Z188" s="539"/>
    </row>
    <row r="189" spans="1:26" s="70" customFormat="1" ht="14.25" customHeight="1">
      <c r="A189" s="549" t="s">
        <v>2706</v>
      </c>
      <c r="B189" s="549" t="s">
        <v>475</v>
      </c>
      <c r="C189" s="550" t="s">
        <v>2803</v>
      </c>
      <c r="D189" s="544"/>
      <c r="F189" s="418"/>
      <c r="J189" s="70" t="s">
        <v>2714</v>
      </c>
      <c r="K189" s="418" t="s">
        <v>2676</v>
      </c>
      <c r="L189" s="418" t="s">
        <v>2676</v>
      </c>
      <c r="R189" s="553"/>
      <c r="S189" s="422"/>
      <c r="T189" s="104">
        <v>43591</v>
      </c>
      <c r="U189" s="553"/>
      <c r="W189" s="545"/>
      <c r="X189" s="539"/>
      <c r="Y189" s="539"/>
      <c r="Z189" s="539"/>
    </row>
    <row r="190" spans="1:26" s="70" customFormat="1" ht="14.25" customHeight="1">
      <c r="A190" s="425" t="s">
        <v>2706</v>
      </c>
      <c r="B190" s="425" t="s">
        <v>475</v>
      </c>
      <c r="C190" s="426" t="s">
        <v>2805</v>
      </c>
      <c r="D190" s="420"/>
      <c r="E190" s="70">
        <v>196621</v>
      </c>
      <c r="J190" s="70" t="s">
        <v>2714</v>
      </c>
      <c r="K190" s="418" t="s">
        <v>2676</v>
      </c>
      <c r="L190" s="418" t="s">
        <v>2676</v>
      </c>
      <c r="N190" s="70">
        <v>20.675979614257798</v>
      </c>
      <c r="O190" s="418">
        <v>93.098922729492202</v>
      </c>
      <c r="R190" s="429"/>
      <c r="S190" s="422"/>
      <c r="T190" s="104">
        <v>43591</v>
      </c>
      <c r="U190" s="429"/>
      <c r="W190" s="421"/>
      <c r="X190" s="539"/>
      <c r="Y190" s="539"/>
      <c r="Z190" s="539"/>
    </row>
    <row r="191" spans="1:26" s="70" customFormat="1" ht="14.25" customHeight="1">
      <c r="A191" s="546" t="s">
        <v>2706</v>
      </c>
      <c r="B191" s="543" t="s">
        <v>475</v>
      </c>
      <c r="C191" s="543" t="s">
        <v>2620</v>
      </c>
      <c r="D191" s="470"/>
      <c r="E191" s="418"/>
      <c r="F191" s="418"/>
      <c r="J191" s="70" t="s">
        <v>2714</v>
      </c>
      <c r="K191" s="418" t="s">
        <v>2676</v>
      </c>
      <c r="L191" s="418" t="s">
        <v>2676</v>
      </c>
      <c r="R191" s="545"/>
      <c r="S191" s="422"/>
      <c r="T191" s="104"/>
      <c r="U191" s="547"/>
      <c r="W191" s="539"/>
      <c r="X191" s="539"/>
      <c r="Y191" s="539"/>
      <c r="Z191" s="539"/>
    </row>
    <row r="192" spans="1:26" s="70" customFormat="1" ht="14.25" customHeight="1">
      <c r="A192" s="549" t="s">
        <v>2706</v>
      </c>
      <c r="B192" s="549" t="s">
        <v>475</v>
      </c>
      <c r="C192" s="550" t="s">
        <v>2802</v>
      </c>
      <c r="D192" s="544"/>
      <c r="E192" s="418"/>
      <c r="F192" s="418"/>
      <c r="G192" s="418"/>
      <c r="H192" s="418"/>
      <c r="I192" s="418"/>
      <c r="J192" s="70" t="s">
        <v>2714</v>
      </c>
      <c r="K192" s="418" t="s">
        <v>2676</v>
      </c>
      <c r="L192" s="418" t="s">
        <v>2676</v>
      </c>
      <c r="N192" s="418"/>
      <c r="O192" s="418"/>
      <c r="P192" s="418"/>
      <c r="R192" s="553"/>
      <c r="S192" s="422"/>
      <c r="T192" s="104">
        <v>43591</v>
      </c>
      <c r="U192" s="553"/>
      <c r="V192" s="418"/>
      <c r="W192" s="545"/>
      <c r="X192" s="539"/>
      <c r="Y192" s="539"/>
      <c r="Z192" s="539"/>
    </row>
    <row r="193" spans="1:26" s="70" customFormat="1" ht="14.25" customHeight="1">
      <c r="A193" s="425" t="s">
        <v>2706</v>
      </c>
      <c r="B193" s="425" t="s">
        <v>475</v>
      </c>
      <c r="C193" s="426" t="s">
        <v>2807</v>
      </c>
      <c r="D193" s="420"/>
      <c r="E193" s="70">
        <v>196636</v>
      </c>
      <c r="J193" s="70" t="s">
        <v>2714</v>
      </c>
      <c r="K193" s="418" t="s">
        <v>2676</v>
      </c>
      <c r="L193" s="418" t="s">
        <v>2676</v>
      </c>
      <c r="N193" s="70">
        <v>20.6698608398438</v>
      </c>
      <c r="O193" s="418">
        <v>93.087516784667997</v>
      </c>
      <c r="P193" s="418"/>
      <c r="R193" s="429"/>
      <c r="S193" s="422"/>
      <c r="T193" s="104">
        <v>43591</v>
      </c>
      <c r="U193" s="429"/>
      <c r="W193" s="421"/>
      <c r="X193" s="539"/>
      <c r="Y193" s="539"/>
      <c r="Z193" s="539"/>
    </row>
    <row r="194" spans="1:26" s="70" customFormat="1" ht="14.25" customHeight="1">
      <c r="A194" s="422" t="s">
        <v>2706</v>
      </c>
      <c r="B194" s="419" t="s">
        <v>475</v>
      </c>
      <c r="C194" s="419" t="s">
        <v>904</v>
      </c>
      <c r="D194" s="470" t="s">
        <v>2786</v>
      </c>
      <c r="E194" s="70" t="s">
        <v>1380</v>
      </c>
      <c r="F194" s="539" t="s">
        <v>1855</v>
      </c>
      <c r="G194" s="70" t="s">
        <v>1855</v>
      </c>
      <c r="J194" s="70" t="s">
        <v>798</v>
      </c>
      <c r="K194" s="418" t="s">
        <v>798</v>
      </c>
      <c r="L194" s="418" t="s">
        <v>883</v>
      </c>
      <c r="M194" s="70" t="s">
        <v>795</v>
      </c>
      <c r="N194" s="70">
        <v>20.501757999999999</v>
      </c>
      <c r="O194" s="70">
        <v>93.217039999999997</v>
      </c>
      <c r="P194" s="70" t="s">
        <v>799</v>
      </c>
      <c r="R194" s="545">
        <v>365</v>
      </c>
      <c r="S194" s="546">
        <v>2366</v>
      </c>
      <c r="T194" s="104"/>
      <c r="U194" s="100" t="s">
        <v>860</v>
      </c>
      <c r="V194" s="70" t="s">
        <v>905</v>
      </c>
      <c r="W194" s="543"/>
      <c r="X194" s="539"/>
      <c r="Y194" s="539"/>
      <c r="Z194" s="539"/>
    </row>
    <row r="195" spans="1:26" s="70" customFormat="1" ht="14.25" customHeight="1">
      <c r="A195" s="549" t="s">
        <v>2706</v>
      </c>
      <c r="B195" s="549" t="s">
        <v>475</v>
      </c>
      <c r="C195" s="550" t="s">
        <v>2804</v>
      </c>
      <c r="D195" s="544"/>
      <c r="E195" s="418">
        <v>196622</v>
      </c>
      <c r="J195" s="70" t="s">
        <v>2714</v>
      </c>
      <c r="K195" s="70" t="s">
        <v>2676</v>
      </c>
      <c r="L195" s="418" t="s">
        <v>2676</v>
      </c>
      <c r="N195" s="418">
        <v>20.666166305541999</v>
      </c>
      <c r="O195" s="418">
        <v>93.094825744628906</v>
      </c>
      <c r="R195" s="553"/>
      <c r="S195" s="546"/>
      <c r="T195" s="104">
        <v>43591</v>
      </c>
      <c r="U195" s="553"/>
      <c r="W195" s="545"/>
      <c r="X195" s="539"/>
      <c r="Y195" s="539"/>
      <c r="Z195" s="539"/>
    </row>
    <row r="196" spans="1:26" s="70" customFormat="1" ht="14.25" customHeight="1">
      <c r="A196" s="422" t="s">
        <v>2706</v>
      </c>
      <c r="B196" s="419" t="s">
        <v>403</v>
      </c>
      <c r="C196" s="419" t="s">
        <v>816</v>
      </c>
      <c r="D196" s="470" t="s">
        <v>1654</v>
      </c>
      <c r="E196" s="70">
        <v>197254</v>
      </c>
      <c r="F196" s="418"/>
      <c r="I196" s="418"/>
      <c r="J196" s="70" t="s">
        <v>798</v>
      </c>
      <c r="K196" s="418" t="s">
        <v>798</v>
      </c>
      <c r="L196" s="418" t="s">
        <v>798</v>
      </c>
      <c r="M196" s="70" t="s">
        <v>298</v>
      </c>
      <c r="N196" s="70">
        <v>20.021469119999999</v>
      </c>
      <c r="O196" s="70">
        <v>93.367980959999997</v>
      </c>
      <c r="P196" s="418" t="s">
        <v>799</v>
      </c>
      <c r="R196" s="425"/>
      <c r="S196" s="426"/>
      <c r="T196" s="104"/>
      <c r="U196" s="100"/>
      <c r="V196" s="70" t="s">
        <v>816</v>
      </c>
      <c r="X196" s="539"/>
      <c r="Y196" s="539"/>
      <c r="Z196" s="539"/>
    </row>
    <row r="197" spans="1:26" s="70" customFormat="1" ht="14.25" customHeight="1">
      <c r="A197" s="422" t="s">
        <v>2706</v>
      </c>
      <c r="B197" s="419" t="s">
        <v>403</v>
      </c>
      <c r="C197" s="419" t="s">
        <v>817</v>
      </c>
      <c r="D197" s="470" t="s">
        <v>1654</v>
      </c>
      <c r="E197" s="418">
        <v>197253</v>
      </c>
      <c r="F197" s="419"/>
      <c r="G197" s="418"/>
      <c r="H197" s="418"/>
      <c r="I197" s="418"/>
      <c r="J197" s="70" t="s">
        <v>798</v>
      </c>
      <c r="K197" s="418" t="s">
        <v>798</v>
      </c>
      <c r="L197" s="418" t="s">
        <v>798</v>
      </c>
      <c r="M197" s="70" t="s">
        <v>298</v>
      </c>
      <c r="N197" s="70">
        <v>20.023879999999998</v>
      </c>
      <c r="O197" s="70">
        <v>93.376663210000004</v>
      </c>
      <c r="P197" s="70" t="s">
        <v>799</v>
      </c>
      <c r="R197" s="425"/>
      <c r="S197" s="426"/>
      <c r="T197" s="104"/>
      <c r="U197" s="100"/>
      <c r="V197" s="70" t="s">
        <v>817</v>
      </c>
      <c r="X197" s="539"/>
      <c r="Y197" s="539"/>
      <c r="Z197" s="539"/>
    </row>
    <row r="198" spans="1:26" s="70" customFormat="1" ht="14.25" customHeight="1">
      <c r="A198" s="422" t="s">
        <v>2706</v>
      </c>
      <c r="B198" s="419" t="s">
        <v>403</v>
      </c>
      <c r="C198" s="419" t="s">
        <v>819</v>
      </c>
      <c r="D198" s="470" t="s">
        <v>1654</v>
      </c>
      <c r="E198" s="70">
        <v>217974</v>
      </c>
      <c r="F198" s="419"/>
      <c r="J198" s="70" t="s">
        <v>798</v>
      </c>
      <c r="K198" s="418" t="s">
        <v>798</v>
      </c>
      <c r="L198" s="418" t="s">
        <v>798</v>
      </c>
      <c r="M198" s="70" t="s">
        <v>298</v>
      </c>
      <c r="N198" s="70">
        <v>20.032299999999999</v>
      </c>
      <c r="O198" s="70">
        <v>93.375100000000003</v>
      </c>
      <c r="P198" s="70" t="s">
        <v>799</v>
      </c>
      <c r="R198" s="425"/>
      <c r="S198" s="426"/>
      <c r="T198" s="104"/>
      <c r="U198" s="100"/>
      <c r="V198" s="70" t="s">
        <v>819</v>
      </c>
      <c r="W198" s="418"/>
      <c r="X198" s="539"/>
      <c r="Y198" s="539"/>
      <c r="Z198" s="539"/>
    </row>
    <row r="199" spans="1:26" s="70" customFormat="1" ht="14.25" customHeight="1">
      <c r="A199" s="422" t="s">
        <v>2706</v>
      </c>
      <c r="B199" s="419" t="s">
        <v>403</v>
      </c>
      <c r="C199" s="419" t="s">
        <v>834</v>
      </c>
      <c r="D199" s="470" t="s">
        <v>1654</v>
      </c>
      <c r="E199" s="418">
        <v>197279</v>
      </c>
      <c r="F199" s="418"/>
      <c r="G199" s="418"/>
      <c r="H199" s="418"/>
      <c r="I199" s="418"/>
      <c r="J199" s="70" t="s">
        <v>798</v>
      </c>
      <c r="K199" s="418" t="s">
        <v>798</v>
      </c>
      <c r="L199" s="418" t="s">
        <v>798</v>
      </c>
      <c r="M199" s="418" t="s">
        <v>298</v>
      </c>
      <c r="N199" s="418">
        <v>20.100000000000001</v>
      </c>
      <c r="O199" s="418">
        <v>93.35</v>
      </c>
      <c r="P199" s="70" t="s">
        <v>799</v>
      </c>
      <c r="Q199" s="418"/>
      <c r="R199" s="425"/>
      <c r="S199" s="426"/>
      <c r="T199" s="441"/>
      <c r="U199" s="423"/>
      <c r="V199" s="418" t="s">
        <v>834</v>
      </c>
      <c r="X199" s="539"/>
      <c r="Y199" s="539"/>
      <c r="Z199" s="539"/>
    </row>
    <row r="200" spans="1:26" s="70" customFormat="1" ht="14.25" customHeight="1">
      <c r="A200" s="422" t="s">
        <v>2706</v>
      </c>
      <c r="B200" s="419" t="s">
        <v>403</v>
      </c>
      <c r="C200" s="419" t="s">
        <v>832</v>
      </c>
      <c r="D200" s="470" t="s">
        <v>1654</v>
      </c>
      <c r="E200" s="418">
        <v>197277</v>
      </c>
      <c r="F200" s="418"/>
      <c r="G200" s="418"/>
      <c r="H200" s="418"/>
      <c r="I200" s="418"/>
      <c r="J200" s="70" t="s">
        <v>798</v>
      </c>
      <c r="K200" s="418" t="s">
        <v>798</v>
      </c>
      <c r="L200" s="418" t="s">
        <v>798</v>
      </c>
      <c r="M200" s="70" t="s">
        <v>298</v>
      </c>
      <c r="N200" s="70">
        <v>20.079999999999998</v>
      </c>
      <c r="O200" s="418">
        <v>93.36</v>
      </c>
      <c r="P200" s="70" t="s">
        <v>799</v>
      </c>
      <c r="R200" s="425"/>
      <c r="S200" s="426"/>
      <c r="T200" s="104"/>
      <c r="U200" s="100"/>
      <c r="V200" s="70" t="s">
        <v>832</v>
      </c>
      <c r="W200" s="418"/>
      <c r="X200" s="539"/>
      <c r="Y200" s="539"/>
      <c r="Z200" s="539"/>
    </row>
    <row r="201" spans="1:26" s="70" customFormat="1" ht="14.25" customHeight="1">
      <c r="A201" s="99" t="s">
        <v>2706</v>
      </c>
      <c r="B201" s="419" t="s">
        <v>403</v>
      </c>
      <c r="C201" s="419" t="s">
        <v>405</v>
      </c>
      <c r="D201" s="470" t="s">
        <v>2786</v>
      </c>
      <c r="E201" s="70" t="s">
        <v>1339</v>
      </c>
      <c r="F201" s="70" t="s">
        <v>1684</v>
      </c>
      <c r="G201" s="70" t="s">
        <v>1736</v>
      </c>
      <c r="J201" s="70" t="s">
        <v>798</v>
      </c>
      <c r="K201" s="418" t="s">
        <v>798</v>
      </c>
      <c r="L201" s="418" t="s">
        <v>821</v>
      </c>
      <c r="M201" s="70" t="s">
        <v>298</v>
      </c>
      <c r="N201" s="70">
        <v>20.041981</v>
      </c>
      <c r="O201" s="418">
        <v>93.373951000000005</v>
      </c>
      <c r="P201" s="70" t="s">
        <v>799</v>
      </c>
      <c r="Q201" s="70" t="s">
        <v>780</v>
      </c>
      <c r="R201" s="421">
        <v>40</v>
      </c>
      <c r="S201" s="422">
        <v>204</v>
      </c>
      <c r="T201" s="104"/>
      <c r="U201" s="100"/>
      <c r="V201" s="70" t="s">
        <v>405</v>
      </c>
      <c r="W201" s="418"/>
      <c r="X201" s="539"/>
      <c r="Y201" s="539"/>
      <c r="Z201" s="539"/>
    </row>
    <row r="202" spans="1:26" s="70" customFormat="1" ht="14.25" customHeight="1">
      <c r="A202" s="99" t="s">
        <v>2706</v>
      </c>
      <c r="B202" s="419" t="s">
        <v>403</v>
      </c>
      <c r="C202" s="419" t="s">
        <v>848</v>
      </c>
      <c r="D202" s="470" t="s">
        <v>1654</v>
      </c>
      <c r="E202" s="418">
        <v>197286</v>
      </c>
      <c r="F202" s="418"/>
      <c r="G202" s="418"/>
      <c r="H202" s="418"/>
      <c r="I202" s="418"/>
      <c r="J202" s="418" t="s">
        <v>798</v>
      </c>
      <c r="K202" s="418" t="s">
        <v>798</v>
      </c>
      <c r="L202" s="418" t="s">
        <v>798</v>
      </c>
      <c r="M202" s="418" t="s">
        <v>298</v>
      </c>
      <c r="N202" s="418">
        <v>20.149999999999999</v>
      </c>
      <c r="O202" s="418">
        <v>93.41</v>
      </c>
      <c r="P202" s="418" t="s">
        <v>799</v>
      </c>
      <c r="Q202" s="418"/>
      <c r="R202" s="425"/>
      <c r="S202" s="426"/>
      <c r="T202" s="441"/>
      <c r="U202" s="423"/>
      <c r="V202" s="418" t="s">
        <v>848</v>
      </c>
      <c r="W202" s="418"/>
      <c r="X202" s="539"/>
      <c r="Y202" s="539"/>
      <c r="Z202" s="539"/>
    </row>
    <row r="203" spans="1:26" s="70" customFormat="1" ht="14.25" customHeight="1">
      <c r="A203" s="422" t="s">
        <v>2706</v>
      </c>
      <c r="B203" s="419" t="s">
        <v>403</v>
      </c>
      <c r="C203" s="419" t="s">
        <v>815</v>
      </c>
      <c r="D203" s="470" t="s">
        <v>1654</v>
      </c>
      <c r="E203" s="70">
        <v>197309</v>
      </c>
      <c r="J203" s="70" t="s">
        <v>798</v>
      </c>
      <c r="K203" s="418" t="s">
        <v>798</v>
      </c>
      <c r="L203" s="418" t="s">
        <v>798</v>
      </c>
      <c r="M203" s="70" t="s">
        <v>298</v>
      </c>
      <c r="N203" s="70">
        <v>20.010000000000002</v>
      </c>
      <c r="O203" s="418">
        <v>93.42</v>
      </c>
      <c r="P203" s="70" t="s">
        <v>799</v>
      </c>
      <c r="R203" s="425"/>
      <c r="S203" s="426"/>
      <c r="T203" s="104"/>
      <c r="U203" s="100"/>
      <c r="V203" s="70" t="s">
        <v>815</v>
      </c>
      <c r="X203" s="539"/>
      <c r="Y203" s="539"/>
      <c r="Z203" s="539"/>
    </row>
    <row r="204" spans="1:26" s="70" customFormat="1" ht="14.25" customHeight="1">
      <c r="A204" s="422" t="s">
        <v>2706</v>
      </c>
      <c r="B204" s="419" t="s">
        <v>403</v>
      </c>
      <c r="C204" s="419" t="s">
        <v>818</v>
      </c>
      <c r="D204" s="470" t="s">
        <v>1654</v>
      </c>
      <c r="E204" s="70">
        <v>197255</v>
      </c>
      <c r="J204" s="70" t="s">
        <v>798</v>
      </c>
      <c r="K204" s="418" t="s">
        <v>798</v>
      </c>
      <c r="L204" s="418" t="s">
        <v>798</v>
      </c>
      <c r="M204" s="70" t="s">
        <v>298</v>
      </c>
      <c r="N204" s="70">
        <v>20.03</v>
      </c>
      <c r="O204" s="418">
        <v>93.38</v>
      </c>
      <c r="P204" s="70" t="s">
        <v>799</v>
      </c>
      <c r="R204" s="425"/>
      <c r="S204" s="426"/>
      <c r="T204" s="104"/>
      <c r="U204" s="100"/>
      <c r="V204" s="70" t="s">
        <v>818</v>
      </c>
      <c r="W204" s="418"/>
      <c r="X204" s="539"/>
      <c r="Y204" s="539"/>
      <c r="Z204" s="539"/>
    </row>
    <row r="205" spans="1:26" s="70" customFormat="1" ht="14.25" customHeight="1">
      <c r="A205" s="422" t="s">
        <v>2706</v>
      </c>
      <c r="B205" s="419" t="s">
        <v>403</v>
      </c>
      <c r="C205" s="419" t="s">
        <v>820</v>
      </c>
      <c r="D205" s="470" t="s">
        <v>1654</v>
      </c>
      <c r="E205" s="70">
        <v>217973</v>
      </c>
      <c r="F205" s="418"/>
      <c r="J205" s="70" t="s">
        <v>798</v>
      </c>
      <c r="K205" s="418" t="s">
        <v>798</v>
      </c>
      <c r="L205" s="418" t="s">
        <v>798</v>
      </c>
      <c r="M205" s="70" t="s">
        <v>298</v>
      </c>
      <c r="N205" s="70">
        <v>20.032760620000001</v>
      </c>
      <c r="O205" s="70">
        <v>93.372978209999999</v>
      </c>
      <c r="P205" s="70" t="s">
        <v>799</v>
      </c>
      <c r="R205" s="425"/>
      <c r="S205" s="426"/>
      <c r="T205" s="104"/>
      <c r="U205" s="100"/>
      <c r="V205" s="70" t="s">
        <v>820</v>
      </c>
      <c r="W205" s="418"/>
      <c r="X205" s="539"/>
      <c r="Y205" s="539"/>
      <c r="Z205" s="539"/>
    </row>
    <row r="206" spans="1:26" s="70" customFormat="1" ht="14.25" customHeight="1">
      <c r="A206" s="422" t="s">
        <v>2706</v>
      </c>
      <c r="B206" s="419" t="s">
        <v>403</v>
      </c>
      <c r="C206" s="419" t="s">
        <v>404</v>
      </c>
      <c r="D206" s="470" t="s">
        <v>3183</v>
      </c>
      <c r="E206" s="70" t="s">
        <v>1338</v>
      </c>
      <c r="H206" s="70" t="s">
        <v>42</v>
      </c>
      <c r="I206" s="70" t="s">
        <v>402</v>
      </c>
      <c r="J206" s="70" t="s">
        <v>44</v>
      </c>
      <c r="K206" s="70" t="s">
        <v>44</v>
      </c>
      <c r="L206" s="418" t="s">
        <v>794</v>
      </c>
      <c r="M206" s="70" t="s">
        <v>795</v>
      </c>
      <c r="N206" s="70">
        <v>20.037655000000001</v>
      </c>
      <c r="O206" s="418">
        <v>93.370037999999994</v>
      </c>
      <c r="P206" s="70" t="s">
        <v>761</v>
      </c>
      <c r="Q206" s="70" t="s">
        <v>780</v>
      </c>
      <c r="R206" s="421">
        <v>716</v>
      </c>
      <c r="S206" s="422">
        <v>2920</v>
      </c>
      <c r="T206" s="104"/>
      <c r="U206" s="100"/>
      <c r="V206" s="70" t="s">
        <v>404</v>
      </c>
      <c r="X206" s="539">
        <v>54</v>
      </c>
      <c r="Y206" s="539">
        <v>319</v>
      </c>
      <c r="Z206" s="539">
        <v>373</v>
      </c>
    </row>
    <row r="207" spans="1:26" s="70" customFormat="1" ht="14.25" customHeight="1">
      <c r="A207" s="422" t="s">
        <v>2706</v>
      </c>
      <c r="B207" s="419" t="s">
        <v>403</v>
      </c>
      <c r="C207" s="419" t="s">
        <v>825</v>
      </c>
      <c r="D207" s="470" t="s">
        <v>1654</v>
      </c>
      <c r="E207" s="70">
        <v>197378</v>
      </c>
      <c r="F207" s="419"/>
      <c r="J207" s="70" t="s">
        <v>798</v>
      </c>
      <c r="K207" s="418" t="s">
        <v>798</v>
      </c>
      <c r="L207" s="418" t="s">
        <v>798</v>
      </c>
      <c r="M207" s="70" t="s">
        <v>298</v>
      </c>
      <c r="N207" s="70">
        <v>20.061309810000001</v>
      </c>
      <c r="O207" s="70">
        <v>93.540641780000001</v>
      </c>
      <c r="P207" s="70" t="s">
        <v>799</v>
      </c>
      <c r="R207" s="425"/>
      <c r="S207" s="426"/>
      <c r="T207" s="104"/>
      <c r="U207" s="100"/>
      <c r="V207" s="70" t="s">
        <v>825</v>
      </c>
      <c r="X207" s="539"/>
      <c r="Y207" s="539"/>
      <c r="Z207" s="539"/>
    </row>
    <row r="208" spans="1:26" s="70" customFormat="1" ht="14.25" customHeight="1">
      <c r="A208" s="422" t="s">
        <v>2706</v>
      </c>
      <c r="B208" s="419" t="s">
        <v>403</v>
      </c>
      <c r="C208" s="419" t="s">
        <v>838</v>
      </c>
      <c r="D208" s="470" t="s">
        <v>1654</v>
      </c>
      <c r="E208" s="70">
        <v>197280</v>
      </c>
      <c r="F208" s="418"/>
      <c r="J208" s="70" t="s">
        <v>798</v>
      </c>
      <c r="K208" s="418" t="s">
        <v>798</v>
      </c>
      <c r="L208" s="418" t="s">
        <v>798</v>
      </c>
      <c r="M208" s="70" t="s">
        <v>298</v>
      </c>
      <c r="N208" s="70">
        <v>20.12</v>
      </c>
      <c r="O208" s="70">
        <v>93.34</v>
      </c>
      <c r="P208" s="70" t="s">
        <v>799</v>
      </c>
      <c r="R208" s="425"/>
      <c r="S208" s="426"/>
      <c r="T208" s="104"/>
      <c r="U208" s="100"/>
      <c r="V208" s="70" t="s">
        <v>838</v>
      </c>
      <c r="W208" s="418"/>
      <c r="X208" s="539"/>
      <c r="Y208" s="539"/>
      <c r="Z208" s="539"/>
    </row>
    <row r="209" spans="1:26" s="70" customFormat="1" ht="14.25" customHeight="1">
      <c r="A209" s="422" t="s">
        <v>2706</v>
      </c>
      <c r="B209" s="419" t="s">
        <v>403</v>
      </c>
      <c r="C209" s="419" t="s">
        <v>833</v>
      </c>
      <c r="D209" s="470" t="s">
        <v>1654</v>
      </c>
      <c r="E209" s="70">
        <v>197366</v>
      </c>
      <c r="F209" s="419"/>
      <c r="J209" s="70" t="s">
        <v>798</v>
      </c>
      <c r="K209" s="70" t="s">
        <v>798</v>
      </c>
      <c r="L209" s="70" t="s">
        <v>798</v>
      </c>
      <c r="M209" s="70" t="s">
        <v>298</v>
      </c>
      <c r="N209" s="70">
        <v>20.084</v>
      </c>
      <c r="O209" s="418">
        <v>93.483999999999995</v>
      </c>
      <c r="P209" s="418" t="s">
        <v>799</v>
      </c>
      <c r="R209" s="425"/>
      <c r="S209" s="426"/>
      <c r="T209" s="104"/>
      <c r="U209" s="100"/>
      <c r="V209" s="70" t="s">
        <v>833</v>
      </c>
      <c r="W209" s="418"/>
      <c r="X209" s="539"/>
      <c r="Y209" s="539"/>
      <c r="Z209" s="539"/>
    </row>
    <row r="210" spans="1:26" s="70" customFormat="1" ht="14.25" customHeight="1">
      <c r="A210" s="422" t="s">
        <v>2706</v>
      </c>
      <c r="B210" s="419" t="s">
        <v>406</v>
      </c>
      <c r="C210" s="419" t="s">
        <v>2872</v>
      </c>
      <c r="D210" s="470"/>
      <c r="E210" s="419">
        <v>196310</v>
      </c>
      <c r="J210" s="70" t="s">
        <v>2714</v>
      </c>
      <c r="K210" s="70" t="s">
        <v>2676</v>
      </c>
      <c r="L210" s="418" t="s">
        <v>2676</v>
      </c>
      <c r="M210" s="70" t="s">
        <v>2678</v>
      </c>
      <c r="N210" s="70">
        <v>20.61741065979</v>
      </c>
      <c r="O210" s="70">
        <v>92.932502746582003</v>
      </c>
      <c r="R210" s="421"/>
      <c r="S210" s="422"/>
      <c r="T210" s="104"/>
      <c r="U210" s="100"/>
      <c r="V210" s="70" t="s">
        <v>2587</v>
      </c>
      <c r="W210" s="418"/>
      <c r="X210" s="539"/>
      <c r="Y210" s="539"/>
      <c r="Z210" s="539"/>
    </row>
    <row r="211" spans="1:26" s="70" customFormat="1" ht="14.25" customHeight="1">
      <c r="A211" s="422" t="s">
        <v>2706</v>
      </c>
      <c r="B211" s="419" t="s">
        <v>406</v>
      </c>
      <c r="C211" s="419" t="s">
        <v>415</v>
      </c>
      <c r="D211" s="470" t="s">
        <v>1654</v>
      </c>
      <c r="E211" s="70">
        <v>197558</v>
      </c>
      <c r="F211" s="418"/>
      <c r="J211" s="70" t="s">
        <v>798</v>
      </c>
      <c r="K211" s="70" t="s">
        <v>798</v>
      </c>
      <c r="L211" s="70" t="s">
        <v>798</v>
      </c>
      <c r="M211" s="70" t="s">
        <v>795</v>
      </c>
      <c r="N211" s="70">
        <v>20.099340439999999</v>
      </c>
      <c r="O211" s="70">
        <v>92.989143369999994</v>
      </c>
      <c r="P211" s="418" t="s">
        <v>799</v>
      </c>
      <c r="Q211" s="70" t="s">
        <v>780</v>
      </c>
      <c r="R211" s="425"/>
      <c r="S211" s="426"/>
      <c r="T211" s="104"/>
      <c r="U211" s="100"/>
      <c r="W211" s="418"/>
      <c r="X211" s="539"/>
      <c r="Y211" s="539"/>
      <c r="Z211" s="539"/>
    </row>
    <row r="212" spans="1:26" s="70" customFormat="1" ht="14.25" customHeight="1">
      <c r="A212" s="422" t="s">
        <v>2706</v>
      </c>
      <c r="B212" s="419" t="s">
        <v>406</v>
      </c>
      <c r="C212" s="419" t="s">
        <v>416</v>
      </c>
      <c r="D212" s="470" t="s">
        <v>3183</v>
      </c>
      <c r="E212" s="418" t="s">
        <v>1344</v>
      </c>
      <c r="F212" s="418" t="s">
        <v>835</v>
      </c>
      <c r="G212" s="418" t="s">
        <v>536</v>
      </c>
      <c r="H212" s="418" t="s">
        <v>42</v>
      </c>
      <c r="I212" s="418" t="s">
        <v>3182</v>
      </c>
      <c r="J212" s="70" t="s">
        <v>44</v>
      </c>
      <c r="K212" s="419" t="s">
        <v>44</v>
      </c>
      <c r="L212" s="419" t="s">
        <v>794</v>
      </c>
      <c r="M212" s="70" t="s">
        <v>795</v>
      </c>
      <c r="N212" s="70">
        <v>20.108101999999999</v>
      </c>
      <c r="O212" s="70">
        <v>92.985095000000001</v>
      </c>
      <c r="P212" s="70" t="s">
        <v>761</v>
      </c>
      <c r="Q212" s="70" t="s">
        <v>780</v>
      </c>
      <c r="R212" s="421">
        <v>1112</v>
      </c>
      <c r="S212" s="422">
        <v>4848</v>
      </c>
      <c r="T212" s="104"/>
      <c r="U212" s="100"/>
      <c r="V212" s="70" t="s">
        <v>837</v>
      </c>
      <c r="X212" s="539">
        <v>79</v>
      </c>
      <c r="Y212" s="539">
        <v>615</v>
      </c>
      <c r="Z212" s="539">
        <v>694</v>
      </c>
    </row>
    <row r="213" spans="1:26" s="70" customFormat="1" ht="14.25" customHeight="1">
      <c r="A213" s="422" t="s">
        <v>2706</v>
      </c>
      <c r="B213" s="419" t="s">
        <v>406</v>
      </c>
      <c r="C213" s="419" t="s">
        <v>2586</v>
      </c>
      <c r="D213" s="470"/>
      <c r="E213" s="419">
        <v>220611</v>
      </c>
      <c r="F213" s="418"/>
      <c r="H213" s="418"/>
      <c r="I213" s="418"/>
      <c r="J213" s="418" t="s">
        <v>2714</v>
      </c>
      <c r="K213" s="418" t="s">
        <v>2676</v>
      </c>
      <c r="L213" s="418" t="s">
        <v>2676</v>
      </c>
      <c r="M213" s="418" t="s">
        <v>2678</v>
      </c>
      <c r="N213" s="418"/>
      <c r="O213" s="418"/>
      <c r="Q213" s="418"/>
      <c r="R213" s="421"/>
      <c r="S213" s="422"/>
      <c r="T213" s="441"/>
      <c r="U213" s="423"/>
      <c r="W213" s="418"/>
      <c r="X213" s="539"/>
      <c r="Y213" s="539"/>
      <c r="Z213" s="539"/>
    </row>
    <row r="214" spans="1:26" s="70" customFormat="1" ht="14.25" customHeight="1">
      <c r="A214" s="422" t="s">
        <v>2706</v>
      </c>
      <c r="B214" s="419" t="s">
        <v>406</v>
      </c>
      <c r="C214" s="419" t="s">
        <v>859</v>
      </c>
      <c r="D214" s="470" t="s">
        <v>2786</v>
      </c>
      <c r="E214" s="418" t="s">
        <v>1356</v>
      </c>
      <c r="F214" s="418" t="s">
        <v>1684</v>
      </c>
      <c r="G214" s="418" t="s">
        <v>1849</v>
      </c>
      <c r="H214" s="418"/>
      <c r="I214" s="418"/>
      <c r="J214" s="418" t="s">
        <v>798</v>
      </c>
      <c r="K214" s="419" t="s">
        <v>798</v>
      </c>
      <c r="L214" s="419" t="s">
        <v>821</v>
      </c>
      <c r="M214" s="418" t="s">
        <v>298</v>
      </c>
      <c r="N214" s="418">
        <v>20.173468</v>
      </c>
      <c r="O214" s="418">
        <v>93.067891000000003</v>
      </c>
      <c r="P214" s="418" t="s">
        <v>799</v>
      </c>
      <c r="Q214" s="418"/>
      <c r="R214" s="421">
        <v>21</v>
      </c>
      <c r="S214" s="422">
        <v>122</v>
      </c>
      <c r="T214" s="441"/>
      <c r="U214" s="423" t="s">
        <v>860</v>
      </c>
      <c r="V214" s="418" t="s">
        <v>861</v>
      </c>
      <c r="W214" s="418"/>
      <c r="X214" s="539"/>
      <c r="Y214" s="539"/>
      <c r="Z214" s="539"/>
    </row>
    <row r="215" spans="1:26" s="70" customFormat="1" ht="14.25" customHeight="1">
      <c r="A215" s="425" t="s">
        <v>2706</v>
      </c>
      <c r="B215" s="425" t="s">
        <v>406</v>
      </c>
      <c r="C215" s="426" t="s">
        <v>2849</v>
      </c>
      <c r="D215" s="420"/>
      <c r="E215" s="418" t="s">
        <v>2871</v>
      </c>
      <c r="F215" s="418"/>
      <c r="G215" s="418"/>
      <c r="H215" s="418"/>
      <c r="I215" s="418"/>
      <c r="J215" s="70" t="s">
        <v>2714</v>
      </c>
      <c r="K215" s="418" t="s">
        <v>2676</v>
      </c>
      <c r="L215" s="418" t="s">
        <v>2676</v>
      </c>
      <c r="R215" s="429"/>
      <c r="S215" s="422"/>
      <c r="T215" s="104">
        <v>43591</v>
      </c>
      <c r="U215" s="429"/>
      <c r="W215" s="421"/>
      <c r="X215" s="539"/>
      <c r="Y215" s="539"/>
      <c r="Z215" s="539"/>
    </row>
    <row r="216" spans="1:26" s="70" customFormat="1" ht="14.25" customHeight="1">
      <c r="A216" s="422" t="s">
        <v>2706</v>
      </c>
      <c r="B216" s="419" t="s">
        <v>406</v>
      </c>
      <c r="C216" s="419" t="s">
        <v>822</v>
      </c>
      <c r="D216" s="470" t="s">
        <v>1654</v>
      </c>
      <c r="E216" s="70">
        <v>197486</v>
      </c>
      <c r="F216" s="418"/>
      <c r="J216" s="70" t="s">
        <v>798</v>
      </c>
      <c r="K216" s="419" t="s">
        <v>798</v>
      </c>
      <c r="L216" s="419" t="s">
        <v>798</v>
      </c>
      <c r="M216" s="70" t="s">
        <v>823</v>
      </c>
      <c r="N216" s="70">
        <v>20.05117035</v>
      </c>
      <c r="O216" s="70">
        <v>93.040992739999993</v>
      </c>
      <c r="P216" s="70" t="s">
        <v>799</v>
      </c>
      <c r="R216" s="98"/>
      <c r="S216" s="422"/>
      <c r="T216" s="104"/>
      <c r="U216" s="423"/>
      <c r="V216" s="70" t="s">
        <v>822</v>
      </c>
      <c r="W216" s="418"/>
      <c r="X216" s="539"/>
      <c r="Y216" s="539"/>
      <c r="Z216" s="539"/>
    </row>
    <row r="217" spans="1:26" s="70" customFormat="1" ht="14.25" customHeight="1">
      <c r="A217" s="422" t="s">
        <v>2706</v>
      </c>
      <c r="B217" s="419" t="s">
        <v>406</v>
      </c>
      <c r="C217" s="419" t="s">
        <v>824</v>
      </c>
      <c r="D217" s="470" t="s">
        <v>1654</v>
      </c>
      <c r="E217" s="70">
        <v>197479</v>
      </c>
      <c r="F217" s="424"/>
      <c r="J217" s="70" t="s">
        <v>798</v>
      </c>
      <c r="K217" s="419" t="s">
        <v>798</v>
      </c>
      <c r="L217" s="419" t="s">
        <v>798</v>
      </c>
      <c r="M217" s="70" t="s">
        <v>298</v>
      </c>
      <c r="N217" s="70">
        <v>20.05978966</v>
      </c>
      <c r="O217" s="70">
        <v>93.034988400000003</v>
      </c>
      <c r="P217" s="70" t="s">
        <v>799</v>
      </c>
      <c r="R217" s="98"/>
      <c r="S217" s="422"/>
      <c r="T217" s="104"/>
      <c r="U217" s="100"/>
      <c r="V217" s="70" t="s">
        <v>824</v>
      </c>
      <c r="W217" s="418"/>
      <c r="X217" s="539"/>
      <c r="Y217" s="539"/>
      <c r="Z217" s="539"/>
    </row>
    <row r="218" spans="1:26" s="70" customFormat="1" ht="14.25" customHeight="1">
      <c r="A218" s="425" t="s">
        <v>2706</v>
      </c>
      <c r="B218" s="425" t="s">
        <v>406</v>
      </c>
      <c r="C218" s="426" t="s">
        <v>2848</v>
      </c>
      <c r="D218" s="420"/>
      <c r="E218" s="70">
        <v>197470</v>
      </c>
      <c r="J218" s="70" t="s">
        <v>2714</v>
      </c>
      <c r="K218" s="418" t="s">
        <v>2676</v>
      </c>
      <c r="L218" s="418" t="s">
        <v>2676</v>
      </c>
      <c r="N218" s="70">
        <v>20.343349456787099</v>
      </c>
      <c r="O218" s="70">
        <v>93.121322631835895</v>
      </c>
      <c r="P218" s="418"/>
      <c r="R218" s="429"/>
      <c r="S218" s="422"/>
      <c r="T218" s="104">
        <v>43591</v>
      </c>
      <c r="U218" s="429"/>
      <c r="W218" s="421"/>
      <c r="X218" s="539"/>
      <c r="Y218" s="539"/>
      <c r="Z218" s="539"/>
    </row>
    <row r="219" spans="1:26" s="70" customFormat="1" ht="14.25" customHeight="1">
      <c r="A219" s="422" t="s">
        <v>2706</v>
      </c>
      <c r="B219" s="419" t="s">
        <v>406</v>
      </c>
      <c r="C219" s="419" t="s">
        <v>2577</v>
      </c>
      <c r="D219" s="470"/>
      <c r="E219" s="70">
        <v>197561</v>
      </c>
      <c r="F219" s="70" t="s">
        <v>2577</v>
      </c>
      <c r="J219" s="70" t="s">
        <v>798</v>
      </c>
      <c r="K219" s="418" t="s">
        <v>798</v>
      </c>
      <c r="L219" s="418" t="s">
        <v>798</v>
      </c>
      <c r="N219" s="70">
        <v>20.072999954223601</v>
      </c>
      <c r="O219" s="418">
        <v>92.924957275390597</v>
      </c>
      <c r="R219" s="425"/>
      <c r="S219" s="426"/>
      <c r="T219" s="104"/>
      <c r="U219" s="100"/>
      <c r="W219" s="418"/>
      <c r="X219" s="539"/>
      <c r="Y219" s="539"/>
      <c r="Z219" s="539"/>
    </row>
    <row r="220" spans="1:26" s="70" customFormat="1" ht="14.25" customHeight="1">
      <c r="A220" s="422" t="s">
        <v>2706</v>
      </c>
      <c r="B220" s="419" t="s">
        <v>406</v>
      </c>
      <c r="C220" s="419" t="s">
        <v>2611</v>
      </c>
      <c r="D220" s="470" t="s">
        <v>1654</v>
      </c>
      <c r="E220" s="70">
        <v>197461</v>
      </c>
      <c r="J220" s="70" t="s">
        <v>798</v>
      </c>
      <c r="K220" s="70" t="s">
        <v>798</v>
      </c>
      <c r="L220" s="193" t="s">
        <v>798</v>
      </c>
      <c r="M220" s="70" t="s">
        <v>298</v>
      </c>
      <c r="R220" s="425"/>
      <c r="S220" s="426"/>
      <c r="T220" s="104"/>
      <c r="U220" s="100"/>
      <c r="W220" s="418"/>
      <c r="X220" s="539"/>
      <c r="Y220" s="539"/>
      <c r="Z220" s="539"/>
    </row>
    <row r="221" spans="1:26" s="70" customFormat="1" ht="14.25" customHeight="1">
      <c r="A221" s="422" t="s">
        <v>2706</v>
      </c>
      <c r="B221" s="419" t="s">
        <v>406</v>
      </c>
      <c r="C221" s="419" t="s">
        <v>2603</v>
      </c>
      <c r="D221" s="470" t="s">
        <v>1654</v>
      </c>
      <c r="E221" s="70">
        <v>197441</v>
      </c>
      <c r="F221" s="418"/>
      <c r="J221" s="70" t="s">
        <v>798</v>
      </c>
      <c r="K221" s="70" t="s">
        <v>798</v>
      </c>
      <c r="L221" s="193" t="s">
        <v>798</v>
      </c>
      <c r="M221" s="70" t="s">
        <v>298</v>
      </c>
      <c r="O221" s="418"/>
      <c r="R221" s="421"/>
      <c r="S221" s="422"/>
      <c r="T221" s="104"/>
      <c r="U221" s="100"/>
      <c r="W221" s="418"/>
      <c r="X221" s="539"/>
      <c r="Y221" s="539"/>
      <c r="Z221" s="539"/>
    </row>
    <row r="222" spans="1:26" s="70" customFormat="1" ht="14.25" customHeight="1">
      <c r="A222" s="422" t="s">
        <v>2706</v>
      </c>
      <c r="B222" s="419" t="s">
        <v>406</v>
      </c>
      <c r="C222" s="419" t="s">
        <v>2585</v>
      </c>
      <c r="D222" s="470"/>
      <c r="E222" s="70">
        <v>197546</v>
      </c>
      <c r="F222" s="418" t="s">
        <v>525</v>
      </c>
      <c r="J222" s="70" t="s">
        <v>798</v>
      </c>
      <c r="K222" s="70" t="s">
        <v>798</v>
      </c>
      <c r="L222" s="70" t="s">
        <v>798</v>
      </c>
      <c r="N222" s="70">
        <v>19.986650466918899</v>
      </c>
      <c r="O222" s="418">
        <v>92.986160278320298</v>
      </c>
      <c r="R222" s="98"/>
      <c r="S222" s="422"/>
      <c r="T222" s="104"/>
      <c r="U222" s="100"/>
      <c r="W222" s="418"/>
      <c r="X222" s="539"/>
      <c r="Y222" s="539"/>
      <c r="Z222" s="539"/>
    </row>
    <row r="223" spans="1:26" s="70" customFormat="1" ht="14.25" customHeight="1">
      <c r="A223" s="422" t="s">
        <v>2706</v>
      </c>
      <c r="B223" s="419" t="s">
        <v>406</v>
      </c>
      <c r="C223" s="419" t="s">
        <v>2582</v>
      </c>
      <c r="D223" s="470"/>
      <c r="F223" s="418"/>
      <c r="I223" s="418"/>
      <c r="J223" s="70" t="s">
        <v>798</v>
      </c>
      <c r="K223" s="70" t="s">
        <v>798</v>
      </c>
      <c r="L223" s="70" t="s">
        <v>798</v>
      </c>
      <c r="R223" s="425"/>
      <c r="S223" s="426"/>
      <c r="T223" s="104"/>
      <c r="U223" s="100"/>
      <c r="W223" s="418"/>
      <c r="X223" s="539"/>
      <c r="Y223" s="539"/>
      <c r="Z223" s="539"/>
    </row>
    <row r="224" spans="1:26" s="70" customFormat="1" ht="14.25" customHeight="1">
      <c r="A224" s="422" t="s">
        <v>2706</v>
      </c>
      <c r="B224" s="419" t="s">
        <v>406</v>
      </c>
      <c r="C224" s="419" t="s">
        <v>536</v>
      </c>
      <c r="D224" s="470" t="s">
        <v>1654</v>
      </c>
      <c r="E224" s="418">
        <v>197537</v>
      </c>
      <c r="F224" s="418" t="s">
        <v>835</v>
      </c>
      <c r="G224" s="418"/>
      <c r="H224" s="418"/>
      <c r="I224" s="418"/>
      <c r="J224" s="70" t="s">
        <v>798</v>
      </c>
      <c r="K224" s="419" t="s">
        <v>798</v>
      </c>
      <c r="L224" s="419" t="s">
        <v>798</v>
      </c>
      <c r="M224" s="418"/>
      <c r="N224" s="418">
        <v>20.109220499999999</v>
      </c>
      <c r="O224" s="418">
        <v>92.995483399999998</v>
      </c>
      <c r="P224" s="70" t="s">
        <v>799</v>
      </c>
      <c r="Q224" s="418"/>
      <c r="R224" s="421"/>
      <c r="S224" s="422"/>
      <c r="T224" s="441"/>
      <c r="U224" s="423"/>
      <c r="V224" s="418" t="s">
        <v>536</v>
      </c>
      <c r="W224" s="418"/>
      <c r="X224" s="539"/>
      <c r="Y224" s="539"/>
      <c r="Z224" s="539"/>
    </row>
    <row r="225" spans="1:26" s="70" customFormat="1" ht="14.25" customHeight="1">
      <c r="A225" s="422" t="s">
        <v>2706</v>
      </c>
      <c r="B225" s="419" t="s">
        <v>406</v>
      </c>
      <c r="C225" s="419" t="s">
        <v>414</v>
      </c>
      <c r="D225" s="470" t="s">
        <v>3183</v>
      </c>
      <c r="E225" s="418" t="s">
        <v>1343</v>
      </c>
      <c r="F225" s="418" t="s">
        <v>835</v>
      </c>
      <c r="G225" s="418" t="s">
        <v>414</v>
      </c>
      <c r="H225" s="418" t="s">
        <v>42</v>
      </c>
      <c r="I225" s="418" t="s">
        <v>413</v>
      </c>
      <c r="J225" s="418" t="s">
        <v>44</v>
      </c>
      <c r="K225" s="419" t="s">
        <v>44</v>
      </c>
      <c r="L225" s="419" t="s">
        <v>794</v>
      </c>
      <c r="M225" s="418" t="s">
        <v>795</v>
      </c>
      <c r="N225" s="418">
        <v>20.090183</v>
      </c>
      <c r="O225" s="418">
        <v>93.010368999999997</v>
      </c>
      <c r="P225" s="418" t="s">
        <v>761</v>
      </c>
      <c r="Q225" s="418" t="s">
        <v>780</v>
      </c>
      <c r="R225" s="421">
        <v>1311</v>
      </c>
      <c r="S225" s="422">
        <v>6160</v>
      </c>
      <c r="T225" s="441"/>
      <c r="U225" s="423"/>
      <c r="V225" s="418" t="s">
        <v>414</v>
      </c>
      <c r="W225" s="418"/>
      <c r="X225" s="539">
        <v>116</v>
      </c>
      <c r="Y225" s="539">
        <v>1129</v>
      </c>
      <c r="Z225" s="539">
        <v>1245</v>
      </c>
    </row>
    <row r="226" spans="1:26" s="70" customFormat="1" ht="14.25" customHeight="1">
      <c r="A226" s="422" t="s">
        <v>2706</v>
      </c>
      <c r="B226" s="419" t="s">
        <v>406</v>
      </c>
      <c r="C226" s="419" t="s">
        <v>2870</v>
      </c>
      <c r="D226" s="470"/>
      <c r="E226" s="70">
        <v>197547</v>
      </c>
      <c r="F226" s="418"/>
      <c r="J226" s="70" t="s">
        <v>798</v>
      </c>
      <c r="K226" s="70" t="s">
        <v>798</v>
      </c>
      <c r="L226" s="70" t="s">
        <v>798</v>
      </c>
      <c r="N226" s="70">
        <v>19.9233303070068</v>
      </c>
      <c r="O226" s="70">
        <v>93.018592834472699</v>
      </c>
      <c r="R226" s="425"/>
      <c r="S226" s="426"/>
      <c r="T226" s="104"/>
      <c r="U226" s="100"/>
      <c r="V226" s="419" t="s">
        <v>2584</v>
      </c>
      <c r="W226" s="418"/>
      <c r="X226" s="539"/>
      <c r="Y226" s="539"/>
      <c r="Z226" s="539"/>
    </row>
    <row r="227" spans="1:26" s="70" customFormat="1" ht="14.25" customHeight="1">
      <c r="A227" s="422" t="s">
        <v>2706</v>
      </c>
      <c r="B227" s="419" t="s">
        <v>406</v>
      </c>
      <c r="C227" s="419" t="s">
        <v>810</v>
      </c>
      <c r="D227" s="470" t="s">
        <v>1654</v>
      </c>
      <c r="E227" s="70">
        <v>197566</v>
      </c>
      <c r="F227" s="418"/>
      <c r="J227" s="70" t="s">
        <v>798</v>
      </c>
      <c r="K227" s="70" t="s">
        <v>798</v>
      </c>
      <c r="L227" s="419" t="s">
        <v>798</v>
      </c>
      <c r="N227" s="70">
        <v>19.94882965</v>
      </c>
      <c r="O227" s="70">
        <v>92.978782649999999</v>
      </c>
      <c r="P227" s="70" t="s">
        <v>799</v>
      </c>
      <c r="R227" s="98"/>
      <c r="S227" s="422"/>
      <c r="T227" s="104"/>
      <c r="U227" s="100"/>
      <c r="V227" s="70" t="s">
        <v>810</v>
      </c>
      <c r="W227" s="418"/>
      <c r="X227" s="539"/>
      <c r="Y227" s="539"/>
      <c r="Z227" s="539"/>
    </row>
    <row r="228" spans="1:26" s="70" customFormat="1" ht="14.25" customHeight="1">
      <c r="A228" s="422" t="s">
        <v>2706</v>
      </c>
      <c r="B228" s="419" t="s">
        <v>406</v>
      </c>
      <c r="C228" s="419" t="s">
        <v>2602</v>
      </c>
      <c r="D228" s="420" t="s">
        <v>1654</v>
      </c>
      <c r="E228" s="70">
        <v>197450</v>
      </c>
      <c r="J228" s="70" t="s">
        <v>798</v>
      </c>
      <c r="K228" s="70" t="s">
        <v>798</v>
      </c>
      <c r="L228" s="193" t="s">
        <v>798</v>
      </c>
      <c r="M228" s="70" t="s">
        <v>298</v>
      </c>
      <c r="R228" s="419"/>
      <c r="S228" s="419"/>
      <c r="T228" s="104"/>
      <c r="U228" s="100"/>
      <c r="W228" s="418"/>
      <c r="X228" s="539"/>
      <c r="Y228" s="539"/>
      <c r="Z228" s="539"/>
    </row>
    <row r="229" spans="1:26" s="70" customFormat="1" ht="14.25" customHeight="1">
      <c r="A229" s="422" t="s">
        <v>2706</v>
      </c>
      <c r="B229" s="419" t="s">
        <v>406</v>
      </c>
      <c r="C229" s="419" t="s">
        <v>2612</v>
      </c>
      <c r="D229" s="470" t="s">
        <v>1654</v>
      </c>
      <c r="E229" s="70">
        <v>197463</v>
      </c>
      <c r="J229" s="70" t="s">
        <v>798</v>
      </c>
      <c r="K229" s="70" t="s">
        <v>798</v>
      </c>
      <c r="L229" s="193" t="s">
        <v>798</v>
      </c>
      <c r="M229" s="70" t="s">
        <v>298</v>
      </c>
      <c r="R229" s="98"/>
      <c r="S229" s="99"/>
      <c r="T229" s="104"/>
      <c r="U229" s="100"/>
      <c r="W229" s="418"/>
      <c r="X229" s="539"/>
      <c r="Y229" s="539"/>
      <c r="Z229" s="539"/>
    </row>
    <row r="230" spans="1:26" s="70" customFormat="1" ht="14.25" customHeight="1">
      <c r="A230" s="422" t="s">
        <v>2706</v>
      </c>
      <c r="B230" s="419" t="s">
        <v>406</v>
      </c>
      <c r="C230" s="419" t="s">
        <v>2580</v>
      </c>
      <c r="D230" s="470"/>
      <c r="E230" s="70">
        <v>197565</v>
      </c>
      <c r="F230" s="70" t="s">
        <v>2577</v>
      </c>
      <c r="J230" s="70" t="s">
        <v>798</v>
      </c>
      <c r="K230" s="70" t="s">
        <v>798</v>
      </c>
      <c r="L230" s="70" t="s">
        <v>798</v>
      </c>
      <c r="N230" s="70">
        <v>20.005199432373001</v>
      </c>
      <c r="O230" s="70">
        <v>92.948463439941406</v>
      </c>
      <c r="R230" s="425"/>
      <c r="S230" s="426"/>
      <c r="T230" s="104"/>
      <c r="U230" s="100"/>
      <c r="W230" s="418"/>
      <c r="X230" s="539"/>
      <c r="Y230" s="539"/>
      <c r="Z230" s="539"/>
    </row>
    <row r="231" spans="1:26" s="70" customFormat="1" ht="14.25" customHeight="1">
      <c r="A231" s="422" t="s">
        <v>2706</v>
      </c>
      <c r="B231" s="419" t="s">
        <v>406</v>
      </c>
      <c r="C231" s="419" t="s">
        <v>2606</v>
      </c>
      <c r="D231" s="470" t="s">
        <v>1654</v>
      </c>
      <c r="E231" s="70">
        <v>197404</v>
      </c>
      <c r="I231" s="418"/>
      <c r="J231" s="70" t="s">
        <v>798</v>
      </c>
      <c r="K231" s="70" t="s">
        <v>798</v>
      </c>
      <c r="L231" s="193" t="s">
        <v>798</v>
      </c>
      <c r="M231" s="70" t="s">
        <v>298</v>
      </c>
      <c r="P231" s="418"/>
      <c r="R231" s="98"/>
      <c r="S231" s="422"/>
      <c r="T231" s="104"/>
      <c r="U231" s="100"/>
      <c r="W231" s="418"/>
      <c r="X231" s="539"/>
      <c r="Y231" s="539"/>
      <c r="Z231" s="539"/>
    </row>
    <row r="232" spans="1:26" s="70" customFormat="1" ht="14.25" customHeight="1">
      <c r="A232" s="422" t="s">
        <v>2706</v>
      </c>
      <c r="B232" s="419" t="s">
        <v>406</v>
      </c>
      <c r="C232" s="419" t="s">
        <v>2610</v>
      </c>
      <c r="D232" s="470" t="s">
        <v>1654</v>
      </c>
      <c r="E232" s="70">
        <v>197464</v>
      </c>
      <c r="J232" s="70" t="s">
        <v>798</v>
      </c>
      <c r="K232" s="70" t="s">
        <v>798</v>
      </c>
      <c r="L232" s="193" t="s">
        <v>798</v>
      </c>
      <c r="M232" s="70" t="s">
        <v>298</v>
      </c>
      <c r="R232" s="98"/>
      <c r="S232" s="422"/>
      <c r="T232" s="104"/>
      <c r="U232" s="100"/>
      <c r="W232" s="418"/>
      <c r="X232" s="539"/>
      <c r="Y232" s="539"/>
      <c r="Z232" s="539"/>
    </row>
    <row r="233" spans="1:26" s="70" customFormat="1" ht="14.25" customHeight="1">
      <c r="A233" s="422" t="s">
        <v>2706</v>
      </c>
      <c r="B233" s="425" t="s">
        <v>406</v>
      </c>
      <c r="C233" s="426" t="s">
        <v>831</v>
      </c>
      <c r="D233" s="420" t="s">
        <v>1654</v>
      </c>
      <c r="E233" s="70" t="s">
        <v>1342</v>
      </c>
      <c r="F233" s="444"/>
      <c r="J233" s="70" t="s">
        <v>44</v>
      </c>
      <c r="K233" s="419" t="s">
        <v>44</v>
      </c>
      <c r="L233" s="419" t="s">
        <v>760</v>
      </c>
      <c r="M233" s="70" t="s">
        <v>795</v>
      </c>
      <c r="N233" s="70">
        <v>20.073437999999999</v>
      </c>
      <c r="O233" s="70">
        <v>93.154551999999995</v>
      </c>
      <c r="P233" s="70" t="s">
        <v>761</v>
      </c>
      <c r="R233" s="429"/>
      <c r="S233" s="422"/>
      <c r="T233" s="104"/>
      <c r="U233" s="100"/>
      <c r="W233" s="418"/>
      <c r="X233" s="539"/>
      <c r="Y233" s="539"/>
      <c r="Z233" s="539"/>
    </row>
    <row r="234" spans="1:26" s="70" customFormat="1" ht="14.25" customHeight="1">
      <c r="A234" s="422" t="s">
        <v>2706</v>
      </c>
      <c r="B234" s="419" t="s">
        <v>406</v>
      </c>
      <c r="C234" s="419" t="s">
        <v>410</v>
      </c>
      <c r="D234" s="470" t="s">
        <v>3183</v>
      </c>
      <c r="E234" s="70" t="s">
        <v>1342</v>
      </c>
      <c r="F234" s="419" t="s">
        <v>1737</v>
      </c>
      <c r="G234" s="70" t="s">
        <v>1738</v>
      </c>
      <c r="H234" s="70" t="s">
        <v>42</v>
      </c>
      <c r="I234" s="539" t="s">
        <v>3182</v>
      </c>
      <c r="J234" s="70" t="s">
        <v>44</v>
      </c>
      <c r="K234" s="419" t="s">
        <v>44</v>
      </c>
      <c r="L234" s="419" t="s">
        <v>1873</v>
      </c>
      <c r="M234" s="70" t="s">
        <v>795</v>
      </c>
      <c r="N234" s="70">
        <v>20.073437999999999</v>
      </c>
      <c r="O234" s="70">
        <v>93.154551999999995</v>
      </c>
      <c r="P234" s="418" t="s">
        <v>799</v>
      </c>
      <c r="Q234" s="70" t="s">
        <v>780</v>
      </c>
      <c r="R234" s="421">
        <v>1010</v>
      </c>
      <c r="S234" s="422">
        <v>4751</v>
      </c>
      <c r="T234" s="104"/>
      <c r="U234" s="100"/>
      <c r="V234" s="70" t="s">
        <v>410</v>
      </c>
      <c r="W234" s="418"/>
      <c r="X234" s="539">
        <v>194</v>
      </c>
      <c r="Y234" s="539">
        <v>735</v>
      </c>
      <c r="Z234" s="539">
        <v>929</v>
      </c>
    </row>
    <row r="235" spans="1:26" s="70" customFormat="1" ht="14.25" customHeight="1">
      <c r="A235" s="422" t="s">
        <v>2706</v>
      </c>
      <c r="B235" s="419" t="s">
        <v>406</v>
      </c>
      <c r="C235" s="419" t="s">
        <v>411</v>
      </c>
      <c r="D235" s="470" t="s">
        <v>3183</v>
      </c>
      <c r="E235" s="70" t="s">
        <v>1342</v>
      </c>
      <c r="F235" s="70" t="s">
        <v>1737</v>
      </c>
      <c r="G235" s="70" t="s">
        <v>1738</v>
      </c>
      <c r="H235" s="70" t="s">
        <v>42</v>
      </c>
      <c r="I235" s="539" t="s">
        <v>3182</v>
      </c>
      <c r="J235" s="70" t="s">
        <v>44</v>
      </c>
      <c r="K235" s="419" t="s">
        <v>44</v>
      </c>
      <c r="L235" s="419" t="s">
        <v>794</v>
      </c>
      <c r="M235" s="70" t="s">
        <v>795</v>
      </c>
      <c r="N235" s="70">
        <v>20.073437999999999</v>
      </c>
      <c r="O235" s="419">
        <v>93.154551999999995</v>
      </c>
      <c r="P235" s="418" t="s">
        <v>761</v>
      </c>
      <c r="Q235" s="70" t="s">
        <v>780</v>
      </c>
      <c r="R235" s="421">
        <v>905</v>
      </c>
      <c r="S235" s="422">
        <v>4160</v>
      </c>
      <c r="T235" s="104"/>
      <c r="U235" s="100"/>
      <c r="V235" s="70" t="s">
        <v>411</v>
      </c>
      <c r="W235" s="418"/>
      <c r="X235" s="539">
        <v>112</v>
      </c>
      <c r="Y235" s="539">
        <v>643</v>
      </c>
      <c r="Z235" s="539">
        <v>755</v>
      </c>
    </row>
    <row r="236" spans="1:26" s="70" customFormat="1" ht="14.25" customHeight="1">
      <c r="A236" s="422" t="s">
        <v>2706</v>
      </c>
      <c r="B236" s="419" t="s">
        <v>406</v>
      </c>
      <c r="C236" s="419" t="s">
        <v>2609</v>
      </c>
      <c r="D236" s="470" t="s">
        <v>1654</v>
      </c>
      <c r="E236" s="70">
        <v>197460</v>
      </c>
      <c r="J236" s="70" t="s">
        <v>798</v>
      </c>
      <c r="K236" s="70" t="s">
        <v>798</v>
      </c>
      <c r="L236" s="193" t="s">
        <v>798</v>
      </c>
      <c r="M236" s="70" t="s">
        <v>298</v>
      </c>
      <c r="R236" s="421"/>
      <c r="S236" s="422"/>
      <c r="T236" s="104"/>
      <c r="U236" s="100"/>
      <c r="W236" s="418"/>
      <c r="X236" s="539"/>
      <c r="Y236" s="539"/>
      <c r="Z236" s="539"/>
    </row>
    <row r="237" spans="1:26" s="70" customFormat="1" ht="14.25" customHeight="1">
      <c r="A237" s="422" t="s">
        <v>2706</v>
      </c>
      <c r="B237" s="419" t="s">
        <v>406</v>
      </c>
      <c r="C237" s="419" t="s">
        <v>2600</v>
      </c>
      <c r="D237" s="470" t="s">
        <v>1654</v>
      </c>
      <c r="E237" s="70">
        <v>197449</v>
      </c>
      <c r="J237" s="70" t="s">
        <v>798</v>
      </c>
      <c r="K237" s="70" t="s">
        <v>798</v>
      </c>
      <c r="L237" s="193" t="s">
        <v>798</v>
      </c>
      <c r="M237" s="70" t="s">
        <v>298</v>
      </c>
      <c r="N237" s="418"/>
      <c r="R237" s="425"/>
      <c r="S237" s="426"/>
      <c r="T237" s="104"/>
      <c r="U237" s="100"/>
      <c r="W237" s="418"/>
      <c r="X237" s="539"/>
      <c r="Y237" s="539"/>
      <c r="Z237" s="539"/>
    </row>
    <row r="238" spans="1:26" s="70" customFormat="1" ht="14.25" customHeight="1">
      <c r="A238" s="422" t="s">
        <v>2706</v>
      </c>
      <c r="B238" s="419" t="s">
        <v>406</v>
      </c>
      <c r="C238" s="419" t="s">
        <v>835</v>
      </c>
      <c r="D238" s="470" t="s">
        <v>1654</v>
      </c>
      <c r="E238" s="70">
        <v>197531</v>
      </c>
      <c r="F238" s="70" t="s">
        <v>835</v>
      </c>
      <c r="J238" s="70" t="s">
        <v>798</v>
      </c>
      <c r="K238" s="419" t="s">
        <v>798</v>
      </c>
      <c r="L238" s="419" t="s">
        <v>798</v>
      </c>
      <c r="N238" s="70">
        <v>20.10293961</v>
      </c>
      <c r="O238" s="70">
        <v>93.000679020000007</v>
      </c>
      <c r="P238" s="70" t="s">
        <v>799</v>
      </c>
      <c r="R238" s="421"/>
      <c r="S238" s="422"/>
      <c r="T238" s="104"/>
      <c r="U238" s="100"/>
      <c r="V238" s="70" t="s">
        <v>836</v>
      </c>
      <c r="W238" s="418"/>
      <c r="X238" s="539"/>
      <c r="Y238" s="539"/>
      <c r="Z238" s="539"/>
    </row>
    <row r="239" spans="1:26" s="70" customFormat="1" ht="14.25" customHeight="1">
      <c r="A239" s="422" t="s">
        <v>2706</v>
      </c>
      <c r="B239" s="419" t="s">
        <v>406</v>
      </c>
      <c r="C239" s="419" t="s">
        <v>828</v>
      </c>
      <c r="D239" s="470" t="s">
        <v>1654</v>
      </c>
      <c r="E239" s="70">
        <v>197430</v>
      </c>
      <c r="F239" s="419"/>
      <c r="J239" s="70" t="s">
        <v>798</v>
      </c>
      <c r="K239" s="419" t="s">
        <v>798</v>
      </c>
      <c r="L239" s="419" t="s">
        <v>798</v>
      </c>
      <c r="M239" s="70" t="s">
        <v>298</v>
      </c>
      <c r="N239" s="70">
        <v>20.065919000000001</v>
      </c>
      <c r="O239" s="70">
        <v>93.004040000000003</v>
      </c>
      <c r="P239" s="70" t="s">
        <v>799</v>
      </c>
      <c r="R239" s="421"/>
      <c r="S239" s="422"/>
      <c r="T239" s="104"/>
      <c r="U239" s="100"/>
      <c r="V239" s="70" t="s">
        <v>828</v>
      </c>
      <c r="W239" s="418"/>
      <c r="X239" s="539"/>
      <c r="Y239" s="539"/>
      <c r="Z239" s="539"/>
    </row>
    <row r="240" spans="1:26" s="70" customFormat="1" ht="14.25" customHeight="1">
      <c r="A240" s="422" t="s">
        <v>2706</v>
      </c>
      <c r="B240" s="419" t="s">
        <v>406</v>
      </c>
      <c r="C240" s="419" t="s">
        <v>2694</v>
      </c>
      <c r="D240" s="470" t="s">
        <v>1654</v>
      </c>
      <c r="E240" s="418">
        <v>197462</v>
      </c>
      <c r="J240" s="70" t="s">
        <v>798</v>
      </c>
      <c r="K240" s="70" t="s">
        <v>798</v>
      </c>
      <c r="L240" s="193" t="s">
        <v>798</v>
      </c>
      <c r="M240" s="70" t="s">
        <v>298</v>
      </c>
      <c r="R240" s="425"/>
      <c r="S240" s="426"/>
      <c r="T240" s="104"/>
      <c r="U240" s="100"/>
      <c r="W240" s="418"/>
      <c r="X240" s="539"/>
      <c r="Y240" s="539"/>
      <c r="Z240" s="539"/>
    </row>
    <row r="241" spans="1:26" s="70" customFormat="1" ht="14.25" customHeight="1">
      <c r="A241" s="422" t="s">
        <v>2706</v>
      </c>
      <c r="B241" s="419" t="s">
        <v>406</v>
      </c>
      <c r="C241" s="419" t="s">
        <v>2604</v>
      </c>
      <c r="D241" s="420" t="s">
        <v>1654</v>
      </c>
      <c r="E241" s="70">
        <v>197442</v>
      </c>
      <c r="J241" s="70" t="s">
        <v>798</v>
      </c>
      <c r="K241" s="70" t="s">
        <v>798</v>
      </c>
      <c r="L241" s="193" t="s">
        <v>798</v>
      </c>
      <c r="M241" s="70" t="s">
        <v>2693</v>
      </c>
      <c r="R241" s="419"/>
      <c r="S241" s="419"/>
      <c r="T241" s="104"/>
      <c r="U241" s="100"/>
      <c r="W241" s="418"/>
      <c r="X241" s="539"/>
      <c r="Y241" s="539"/>
      <c r="Z241" s="539"/>
    </row>
    <row r="242" spans="1:26" s="70" customFormat="1" ht="14.25" customHeight="1">
      <c r="A242" s="422" t="s">
        <v>2706</v>
      </c>
      <c r="B242" s="419" t="s">
        <v>406</v>
      </c>
      <c r="C242" s="419" t="s">
        <v>2605</v>
      </c>
      <c r="D242" s="470" t="s">
        <v>1654</v>
      </c>
      <c r="E242" s="70">
        <v>197405</v>
      </c>
      <c r="J242" s="70" t="s">
        <v>798</v>
      </c>
      <c r="K242" s="70" t="s">
        <v>798</v>
      </c>
      <c r="L242" s="193" t="s">
        <v>798</v>
      </c>
      <c r="M242" s="70" t="s">
        <v>298</v>
      </c>
      <c r="R242" s="421"/>
      <c r="S242" s="422"/>
      <c r="T242" s="104"/>
      <c r="U242" s="100"/>
      <c r="W242" s="418"/>
      <c r="X242" s="539"/>
      <c r="Y242" s="539"/>
      <c r="Z242" s="539"/>
    </row>
    <row r="243" spans="1:26" s="70" customFormat="1" ht="14.25" customHeight="1">
      <c r="A243" s="422" t="s">
        <v>2706</v>
      </c>
      <c r="B243" s="419" t="s">
        <v>406</v>
      </c>
      <c r="C243" s="419" t="s">
        <v>412</v>
      </c>
      <c r="D243" s="420" t="s">
        <v>1654</v>
      </c>
      <c r="E243" s="428">
        <v>197557</v>
      </c>
      <c r="F243" s="452"/>
      <c r="G243" s="428"/>
      <c r="H243" s="428"/>
      <c r="I243" s="428"/>
      <c r="J243" s="70" t="s">
        <v>798</v>
      </c>
      <c r="K243" s="419" t="s">
        <v>798</v>
      </c>
      <c r="L243" s="419" t="s">
        <v>798</v>
      </c>
      <c r="M243" s="70" t="s">
        <v>298</v>
      </c>
      <c r="N243" s="418">
        <v>20.0839</v>
      </c>
      <c r="O243" s="418">
        <v>92.993799999999993</v>
      </c>
      <c r="P243" s="418" t="s">
        <v>799</v>
      </c>
      <c r="Q243" s="70" t="s">
        <v>780</v>
      </c>
      <c r="R243" s="419"/>
      <c r="S243" s="419"/>
      <c r="T243" s="104"/>
      <c r="U243" s="423"/>
      <c r="V243" s="418" t="s">
        <v>412</v>
      </c>
      <c r="W243" s="418"/>
      <c r="X243" s="539"/>
      <c r="Y243" s="539"/>
      <c r="Z243" s="539"/>
    </row>
    <row r="244" spans="1:26" s="70" customFormat="1" ht="14.25" customHeight="1">
      <c r="A244" s="422" t="s">
        <v>2706</v>
      </c>
      <c r="B244" s="419" t="s">
        <v>406</v>
      </c>
      <c r="C244" s="419" t="s">
        <v>409</v>
      </c>
      <c r="D244" s="470" t="s">
        <v>3183</v>
      </c>
      <c r="E244" s="70" t="s">
        <v>1340</v>
      </c>
      <c r="F244" s="70" t="s">
        <v>409</v>
      </c>
      <c r="G244" s="70" t="s">
        <v>1683</v>
      </c>
      <c r="H244" s="70" t="s">
        <v>42</v>
      </c>
      <c r="I244" s="70" t="s">
        <v>413</v>
      </c>
      <c r="J244" s="70" t="s">
        <v>44</v>
      </c>
      <c r="K244" s="419" t="s">
        <v>44</v>
      </c>
      <c r="L244" s="419" t="s">
        <v>794</v>
      </c>
      <c r="M244" s="70" t="s">
        <v>795</v>
      </c>
      <c r="N244" s="70">
        <v>20.064226000000001</v>
      </c>
      <c r="O244" s="70">
        <v>92.993758999999997</v>
      </c>
      <c r="P244" s="418" t="s">
        <v>761</v>
      </c>
      <c r="Q244" s="70" t="s">
        <v>780</v>
      </c>
      <c r="R244" s="421">
        <v>617</v>
      </c>
      <c r="S244" s="422">
        <v>2864</v>
      </c>
      <c r="T244" s="104"/>
      <c r="U244" s="100"/>
      <c r="V244" s="70" t="s">
        <v>409</v>
      </c>
      <c r="W244" s="418"/>
      <c r="X244" s="539">
        <v>125</v>
      </c>
      <c r="Y244" s="539">
        <v>401</v>
      </c>
      <c r="Z244" s="539">
        <v>526</v>
      </c>
    </row>
    <row r="245" spans="1:26" s="70" customFormat="1" ht="14.25" customHeight="1">
      <c r="A245" s="422" t="s">
        <v>2706</v>
      </c>
      <c r="B245" s="186" t="s">
        <v>406</v>
      </c>
      <c r="C245" s="186" t="s">
        <v>826</v>
      </c>
      <c r="D245" s="420" t="s">
        <v>1655</v>
      </c>
      <c r="E245" s="182" t="s">
        <v>1341</v>
      </c>
      <c r="F245" s="182" t="s">
        <v>409</v>
      </c>
      <c r="G245" s="182" t="s">
        <v>1683</v>
      </c>
      <c r="H245" s="182"/>
      <c r="I245" s="182"/>
      <c r="J245" s="70" t="s">
        <v>44</v>
      </c>
      <c r="K245" s="419" t="s">
        <v>44</v>
      </c>
      <c r="L245" s="419" t="s">
        <v>760</v>
      </c>
      <c r="M245" s="182" t="s">
        <v>795</v>
      </c>
      <c r="N245" s="182">
        <v>20.064226000000001</v>
      </c>
      <c r="O245" s="182">
        <v>92.993758999999997</v>
      </c>
      <c r="P245" s="70" t="s">
        <v>761</v>
      </c>
      <c r="Q245" s="182"/>
      <c r="R245" s="183"/>
      <c r="S245" s="181"/>
      <c r="T245" s="184"/>
      <c r="U245" s="185"/>
      <c r="V245" s="182" t="s">
        <v>827</v>
      </c>
      <c r="W245" s="418"/>
      <c r="X245" s="539"/>
      <c r="Y245" s="539"/>
      <c r="Z245" s="539"/>
    </row>
    <row r="246" spans="1:26" s="70" customFormat="1" ht="14.25" customHeight="1">
      <c r="A246" s="422" t="s">
        <v>2706</v>
      </c>
      <c r="B246" s="419" t="s">
        <v>406</v>
      </c>
      <c r="C246" s="419" t="s">
        <v>408</v>
      </c>
      <c r="D246" s="470" t="s">
        <v>1654</v>
      </c>
      <c r="E246" s="418">
        <v>197548</v>
      </c>
      <c r="F246" s="418"/>
      <c r="G246" s="418"/>
      <c r="H246" s="418"/>
      <c r="I246" s="418"/>
      <c r="J246" s="70" t="s">
        <v>798</v>
      </c>
      <c r="K246" s="419" t="s">
        <v>798</v>
      </c>
      <c r="L246" s="419" t="s">
        <v>798</v>
      </c>
      <c r="M246" s="70" t="s">
        <v>795</v>
      </c>
      <c r="N246" s="418">
        <v>20.0641</v>
      </c>
      <c r="O246" s="419">
        <v>92.994600000000005</v>
      </c>
      <c r="P246" s="418" t="s">
        <v>799</v>
      </c>
      <c r="Q246" s="70" t="s">
        <v>780</v>
      </c>
      <c r="R246" s="421"/>
      <c r="S246" s="422"/>
      <c r="T246" s="104"/>
      <c r="U246" s="423"/>
      <c r="V246" s="418" t="s">
        <v>408</v>
      </c>
      <c r="W246" s="418"/>
      <c r="X246" s="539"/>
      <c r="Y246" s="539"/>
      <c r="Z246" s="539"/>
    </row>
    <row r="247" spans="1:26" s="70" customFormat="1" ht="14.25" customHeight="1">
      <c r="A247" s="422" t="s">
        <v>2706</v>
      </c>
      <c r="B247" s="419" t="s">
        <v>406</v>
      </c>
      <c r="C247" s="419" t="s">
        <v>407</v>
      </c>
      <c r="D247" s="470" t="s">
        <v>1654</v>
      </c>
      <c r="E247" s="70">
        <v>197550</v>
      </c>
      <c r="F247" s="418"/>
      <c r="J247" s="70" t="s">
        <v>798</v>
      </c>
      <c r="K247" s="419" t="s">
        <v>798</v>
      </c>
      <c r="L247" s="419" t="s">
        <v>798</v>
      </c>
      <c r="M247" s="70" t="s">
        <v>298</v>
      </c>
      <c r="N247" s="70">
        <v>20.057860999999999</v>
      </c>
      <c r="O247" s="419">
        <v>92.995181000000002</v>
      </c>
      <c r="P247" s="70" t="s">
        <v>799</v>
      </c>
      <c r="Q247" s="70" t="s">
        <v>780</v>
      </c>
      <c r="R247" s="421"/>
      <c r="S247" s="422"/>
      <c r="T247" s="104"/>
      <c r="U247" s="100"/>
      <c r="V247" s="70" t="s">
        <v>407</v>
      </c>
      <c r="W247" s="421"/>
      <c r="X247" s="539"/>
      <c r="Y247" s="539"/>
      <c r="Z247" s="539"/>
    </row>
    <row r="248" spans="1:26" s="70" customFormat="1" ht="14.25" customHeight="1">
      <c r="A248" s="422" t="s">
        <v>2706</v>
      </c>
      <c r="B248" s="419" t="s">
        <v>406</v>
      </c>
      <c r="C248" s="419" t="s">
        <v>1145</v>
      </c>
      <c r="D248" s="470" t="s">
        <v>1654</v>
      </c>
      <c r="E248" s="70">
        <v>220691</v>
      </c>
      <c r="F248" s="419"/>
      <c r="J248" s="70" t="s">
        <v>798</v>
      </c>
      <c r="K248" s="419" t="s">
        <v>798</v>
      </c>
      <c r="L248" s="419" t="s">
        <v>798</v>
      </c>
      <c r="P248" s="70" t="s">
        <v>799</v>
      </c>
      <c r="R248" s="425"/>
      <c r="S248" s="426"/>
      <c r="T248" s="104"/>
      <c r="U248" s="100"/>
      <c r="V248" s="70" t="s">
        <v>1145</v>
      </c>
      <c r="W248" s="421"/>
      <c r="X248" s="539"/>
      <c r="Y248" s="539"/>
      <c r="Z248" s="539"/>
    </row>
    <row r="249" spans="1:26" s="70" customFormat="1" ht="14.25" customHeight="1">
      <c r="A249" s="422" t="s">
        <v>2706</v>
      </c>
      <c r="B249" s="419" t="s">
        <v>406</v>
      </c>
      <c r="C249" s="419" t="s">
        <v>2608</v>
      </c>
      <c r="D249" s="470" t="s">
        <v>1654</v>
      </c>
      <c r="E249" s="418">
        <v>197403</v>
      </c>
      <c r="F249" s="418"/>
      <c r="G249" s="418"/>
      <c r="H249" s="418"/>
      <c r="I249" s="418"/>
      <c r="J249" s="70" t="s">
        <v>798</v>
      </c>
      <c r="K249" s="70" t="s">
        <v>798</v>
      </c>
      <c r="L249" s="193" t="s">
        <v>798</v>
      </c>
      <c r="M249" s="70" t="s">
        <v>298</v>
      </c>
      <c r="N249" s="418"/>
      <c r="O249" s="418"/>
      <c r="R249" s="421"/>
      <c r="S249" s="422"/>
      <c r="T249" s="104"/>
      <c r="U249" s="423"/>
      <c r="V249" s="418"/>
      <c r="W249" s="418"/>
      <c r="X249" s="539"/>
      <c r="Y249" s="539"/>
      <c r="Z249" s="539"/>
    </row>
    <row r="250" spans="1:26" s="70" customFormat="1" ht="14.25" customHeight="1">
      <c r="A250" s="422" t="s">
        <v>2706</v>
      </c>
      <c r="B250" s="419" t="s">
        <v>406</v>
      </c>
      <c r="C250" s="419" t="s">
        <v>2607</v>
      </c>
      <c r="D250" s="470" t="s">
        <v>1654</v>
      </c>
      <c r="E250" s="70">
        <v>197401</v>
      </c>
      <c r="F250" s="70" t="s">
        <v>2607</v>
      </c>
      <c r="J250" s="70" t="s">
        <v>798</v>
      </c>
      <c r="K250" s="70" t="s">
        <v>798</v>
      </c>
      <c r="L250" s="193" t="s">
        <v>798</v>
      </c>
      <c r="M250" s="70" t="s">
        <v>298</v>
      </c>
      <c r="N250" s="70">
        <v>20.260679244995099</v>
      </c>
      <c r="O250" s="70">
        <v>93.051597595214801</v>
      </c>
      <c r="R250" s="421"/>
      <c r="S250" s="422"/>
      <c r="T250" s="104"/>
      <c r="U250" s="100"/>
      <c r="W250" s="418"/>
      <c r="X250" s="539"/>
      <c r="Y250" s="539"/>
      <c r="Z250" s="539"/>
    </row>
    <row r="251" spans="1:26" s="70" customFormat="1" ht="14.25" customHeight="1">
      <c r="A251" s="422" t="s">
        <v>2706</v>
      </c>
      <c r="B251" s="419" t="s">
        <v>406</v>
      </c>
      <c r="C251" s="419" t="s">
        <v>829</v>
      </c>
      <c r="D251" s="470" t="s">
        <v>1654</v>
      </c>
      <c r="E251" s="70">
        <v>197562</v>
      </c>
      <c r="F251" s="419"/>
      <c r="J251" s="70" t="s">
        <v>798</v>
      </c>
      <c r="K251" s="419" t="s">
        <v>798</v>
      </c>
      <c r="L251" s="419" t="s">
        <v>798</v>
      </c>
      <c r="N251" s="70">
        <v>20.06903076</v>
      </c>
      <c r="O251" s="70">
        <v>92.930137630000004</v>
      </c>
      <c r="P251" s="70" t="s">
        <v>799</v>
      </c>
      <c r="R251" s="421"/>
      <c r="S251" s="422"/>
      <c r="T251" s="104"/>
      <c r="U251" s="100"/>
      <c r="V251" s="70" t="s">
        <v>830</v>
      </c>
      <c r="W251" s="421"/>
      <c r="X251" s="539"/>
      <c r="Y251" s="539"/>
      <c r="Z251" s="539"/>
    </row>
    <row r="252" spans="1:26" s="70" customFormat="1" ht="14.25" customHeight="1">
      <c r="A252" s="422" t="s">
        <v>2706</v>
      </c>
      <c r="B252" s="419" t="s">
        <v>406</v>
      </c>
      <c r="C252" s="419" t="s">
        <v>2869</v>
      </c>
      <c r="D252" s="470"/>
      <c r="E252" s="70">
        <v>217986</v>
      </c>
      <c r="J252" s="70" t="s">
        <v>798</v>
      </c>
      <c r="K252" s="70" t="s">
        <v>798</v>
      </c>
      <c r="L252" s="70" t="s">
        <v>798</v>
      </c>
      <c r="N252" s="70">
        <v>19.9964408874512</v>
      </c>
      <c r="O252" s="419">
        <v>92.951683044433594</v>
      </c>
      <c r="R252" s="425"/>
      <c r="S252" s="426"/>
      <c r="T252" s="104"/>
      <c r="U252" s="100"/>
      <c r="W252" s="418"/>
      <c r="X252" s="539"/>
      <c r="Y252" s="539"/>
      <c r="Z252" s="539"/>
    </row>
    <row r="253" spans="1:26" s="70" customFormat="1" ht="14.25" customHeight="1">
      <c r="A253" s="422" t="s">
        <v>2706</v>
      </c>
      <c r="B253" s="419" t="s">
        <v>406</v>
      </c>
      <c r="C253" s="419" t="s">
        <v>2601</v>
      </c>
      <c r="D253" s="470" t="s">
        <v>1654</v>
      </c>
      <c r="E253" s="70">
        <v>197451</v>
      </c>
      <c r="J253" s="70" t="s">
        <v>798</v>
      </c>
      <c r="K253" s="70" t="s">
        <v>798</v>
      </c>
      <c r="L253" s="193" t="s">
        <v>798</v>
      </c>
      <c r="M253" s="70" t="s">
        <v>298</v>
      </c>
      <c r="Q253" s="418"/>
      <c r="R253" s="421"/>
      <c r="S253" s="99"/>
      <c r="T253" s="441"/>
      <c r="U253" s="100"/>
      <c r="W253" s="418"/>
      <c r="X253" s="539"/>
      <c r="Y253" s="539"/>
      <c r="Z253" s="539"/>
    </row>
    <row r="254" spans="1:26" s="70" customFormat="1" ht="14.25" customHeight="1">
      <c r="A254" s="422" t="s">
        <v>2706</v>
      </c>
      <c r="B254" s="419" t="s">
        <v>406</v>
      </c>
      <c r="C254" s="419" t="s">
        <v>2578</v>
      </c>
      <c r="D254" s="470"/>
      <c r="F254" s="419"/>
      <c r="J254" s="70" t="s">
        <v>798</v>
      </c>
      <c r="K254" s="418" t="s">
        <v>798</v>
      </c>
      <c r="L254" s="418" t="s">
        <v>798</v>
      </c>
      <c r="R254" s="425"/>
      <c r="S254" s="426"/>
      <c r="T254" s="104"/>
      <c r="U254" s="100"/>
      <c r="W254" s="418"/>
      <c r="X254" s="539"/>
      <c r="Y254" s="539"/>
      <c r="Z254" s="539"/>
    </row>
    <row r="255" spans="1:26" s="70" customFormat="1" ht="14.25" customHeight="1">
      <c r="A255" s="422" t="s">
        <v>2706</v>
      </c>
      <c r="B255" s="419" t="s">
        <v>406</v>
      </c>
      <c r="C255" s="419" t="s">
        <v>2579</v>
      </c>
      <c r="D255" s="470"/>
      <c r="E255" s="418"/>
      <c r="F255" s="419"/>
      <c r="J255" s="70" t="s">
        <v>798</v>
      </c>
      <c r="K255" s="418" t="s">
        <v>798</v>
      </c>
      <c r="L255" s="418" t="s">
        <v>798</v>
      </c>
      <c r="R255" s="425"/>
      <c r="S255" s="426"/>
      <c r="T255" s="104"/>
      <c r="U255" s="100"/>
      <c r="W255" s="418"/>
      <c r="X255" s="539"/>
      <c r="Y255" s="539"/>
      <c r="Z255" s="539"/>
    </row>
    <row r="256" spans="1:26" s="70" customFormat="1" ht="14.25" customHeight="1">
      <c r="A256" s="422" t="s">
        <v>2706</v>
      </c>
      <c r="B256" s="419" t="s">
        <v>406</v>
      </c>
      <c r="C256" s="419" t="s">
        <v>2583</v>
      </c>
      <c r="D256" s="470"/>
      <c r="E256" s="70">
        <v>197543</v>
      </c>
      <c r="F256" s="70" t="s">
        <v>525</v>
      </c>
      <c r="J256" s="70" t="s">
        <v>798</v>
      </c>
      <c r="K256" s="418" t="s">
        <v>798</v>
      </c>
      <c r="L256" s="418" t="s">
        <v>798</v>
      </c>
      <c r="N256" s="70">
        <v>19.9403591156006</v>
      </c>
      <c r="O256" s="70">
        <v>93.009452819824205</v>
      </c>
      <c r="R256" s="425"/>
      <c r="S256" s="426"/>
      <c r="T256" s="104"/>
      <c r="U256" s="100"/>
      <c r="W256" s="418"/>
      <c r="X256" s="539"/>
      <c r="Y256" s="539"/>
      <c r="Z256" s="539"/>
    </row>
    <row r="257" spans="1:26" s="70" customFormat="1" ht="14.25" customHeight="1">
      <c r="A257" s="422" t="s">
        <v>2706</v>
      </c>
      <c r="B257" s="419" t="s">
        <v>406</v>
      </c>
      <c r="C257" s="419" t="s">
        <v>2581</v>
      </c>
      <c r="D257" s="470"/>
      <c r="E257" s="418">
        <v>197574</v>
      </c>
      <c r="F257" s="70" t="s">
        <v>2756</v>
      </c>
      <c r="J257" s="70" t="s">
        <v>798</v>
      </c>
      <c r="K257" s="70" t="s">
        <v>798</v>
      </c>
      <c r="L257" s="70" t="s">
        <v>798</v>
      </c>
      <c r="N257" s="70">
        <v>20.068620681762699</v>
      </c>
      <c r="O257" s="70">
        <v>92.934440612792997</v>
      </c>
      <c r="R257" s="425"/>
      <c r="S257" s="426"/>
      <c r="T257" s="104"/>
      <c r="U257" s="100"/>
      <c r="W257" s="418"/>
      <c r="X257" s="539"/>
      <c r="Y257" s="539"/>
      <c r="Z257" s="539"/>
    </row>
    <row r="258" spans="1:26" s="70" customFormat="1" ht="14.25" customHeight="1">
      <c r="A258" s="422" t="s">
        <v>2706</v>
      </c>
      <c r="B258" s="419" t="s">
        <v>406</v>
      </c>
      <c r="C258" s="419" t="s">
        <v>2599</v>
      </c>
      <c r="D258" s="420" t="s">
        <v>1654</v>
      </c>
      <c r="E258" s="428">
        <v>197447</v>
      </c>
      <c r="F258" s="428"/>
      <c r="G258" s="428"/>
      <c r="H258" s="428"/>
      <c r="I258" s="428"/>
      <c r="J258" s="70" t="s">
        <v>798</v>
      </c>
      <c r="K258" s="418" t="s">
        <v>798</v>
      </c>
      <c r="L258" s="193" t="s">
        <v>798</v>
      </c>
      <c r="M258" s="70" t="s">
        <v>298</v>
      </c>
      <c r="R258" s="419"/>
      <c r="S258" s="419"/>
      <c r="T258" s="104"/>
      <c r="U258" s="100"/>
      <c r="W258" s="418"/>
      <c r="X258" s="539"/>
      <c r="Y258" s="539"/>
      <c r="Z258" s="539"/>
    </row>
    <row r="259" spans="1:26" s="70" customFormat="1" ht="14.25" customHeight="1">
      <c r="A259" s="422" t="s">
        <v>2706</v>
      </c>
      <c r="B259" s="425" t="s">
        <v>456</v>
      </c>
      <c r="C259" s="426" t="s">
        <v>2790</v>
      </c>
      <c r="D259" s="420"/>
      <c r="E259" s="418">
        <v>196217</v>
      </c>
      <c r="F259" s="418"/>
      <c r="J259" s="70" t="s">
        <v>2714</v>
      </c>
      <c r="K259" s="418" t="s">
        <v>2676</v>
      </c>
      <c r="L259" s="418" t="s">
        <v>2676</v>
      </c>
      <c r="N259" s="70">
        <v>20.643140792846701</v>
      </c>
      <c r="O259" s="70">
        <v>92.851875305175795</v>
      </c>
      <c r="R259" s="429"/>
      <c r="S259" s="422"/>
      <c r="T259" s="104">
        <v>43591</v>
      </c>
      <c r="U259" s="429"/>
      <c r="W259" s="421"/>
      <c r="X259" s="539"/>
      <c r="Y259" s="539"/>
      <c r="Z259" s="539"/>
    </row>
    <row r="260" spans="1:26" s="70" customFormat="1" ht="14.25" customHeight="1">
      <c r="A260" s="425" t="s">
        <v>2706</v>
      </c>
      <c r="B260" s="425" t="s">
        <v>456</v>
      </c>
      <c r="C260" s="426" t="s">
        <v>2873</v>
      </c>
      <c r="D260" s="420"/>
      <c r="E260" s="418">
        <v>196309</v>
      </c>
      <c r="J260" s="70" t="s">
        <v>2714</v>
      </c>
      <c r="K260" s="418" t="s">
        <v>2676</v>
      </c>
      <c r="L260" s="418" t="s">
        <v>2676</v>
      </c>
      <c r="N260" s="418">
        <v>20.623949050903299</v>
      </c>
      <c r="O260" s="418">
        <v>92.950813293457003</v>
      </c>
      <c r="R260" s="429"/>
      <c r="S260" s="99"/>
      <c r="T260" s="104">
        <v>43591</v>
      </c>
      <c r="U260" s="429"/>
      <c r="V260" s="70" t="s">
        <v>2825</v>
      </c>
      <c r="W260" s="421"/>
      <c r="X260" s="539"/>
      <c r="Y260" s="539"/>
      <c r="Z260" s="539"/>
    </row>
    <row r="261" spans="1:26" s="70" customFormat="1" ht="14.25" customHeight="1">
      <c r="A261" s="425" t="s">
        <v>2706</v>
      </c>
      <c r="B261" s="425" t="s">
        <v>456</v>
      </c>
      <c r="C261" s="426" t="s">
        <v>2824</v>
      </c>
      <c r="D261" s="420"/>
      <c r="J261" s="70" t="s">
        <v>2714</v>
      </c>
      <c r="K261" s="418" t="s">
        <v>2676</v>
      </c>
      <c r="L261" s="418" t="s">
        <v>2676</v>
      </c>
      <c r="O261" s="418"/>
      <c r="R261" s="429"/>
      <c r="S261" s="422"/>
      <c r="T261" s="104">
        <v>43591</v>
      </c>
      <c r="U261" s="429"/>
      <c r="W261" s="421"/>
      <c r="X261" s="539"/>
      <c r="Y261" s="539"/>
      <c r="Z261" s="539"/>
    </row>
    <row r="262" spans="1:26" s="70" customFormat="1" ht="14.25" customHeight="1">
      <c r="A262" s="425" t="s">
        <v>2706</v>
      </c>
      <c r="B262" s="425" t="s">
        <v>456</v>
      </c>
      <c r="C262" s="426" t="s">
        <v>2828</v>
      </c>
      <c r="D262" s="420"/>
      <c r="E262" s="70">
        <v>196329</v>
      </c>
      <c r="J262" s="70" t="s">
        <v>2714</v>
      </c>
      <c r="K262" s="70" t="s">
        <v>2676</v>
      </c>
      <c r="L262" s="70" t="s">
        <v>2676</v>
      </c>
      <c r="N262" s="70">
        <v>20.5511798858643</v>
      </c>
      <c r="O262" s="70">
        <v>93.065322875976605</v>
      </c>
      <c r="R262" s="429"/>
      <c r="S262" s="422"/>
      <c r="T262" s="104">
        <v>43591</v>
      </c>
      <c r="U262" s="429"/>
      <c r="W262" s="421"/>
      <c r="X262" s="539"/>
      <c r="Y262" s="539"/>
      <c r="Z262" s="539"/>
    </row>
    <row r="263" spans="1:26" s="70" customFormat="1" ht="14.25" customHeight="1">
      <c r="A263" s="422" t="s">
        <v>2706</v>
      </c>
      <c r="B263" s="419" t="s">
        <v>456</v>
      </c>
      <c r="C263" s="419" t="s">
        <v>488</v>
      </c>
      <c r="D263" s="470" t="s">
        <v>1654</v>
      </c>
      <c r="E263" s="70">
        <v>196350</v>
      </c>
      <c r="F263" s="419"/>
      <c r="J263" s="70" t="s">
        <v>798</v>
      </c>
      <c r="K263" s="419" t="s">
        <v>798</v>
      </c>
      <c r="L263" s="419" t="s">
        <v>798</v>
      </c>
      <c r="M263" s="70" t="s">
        <v>795</v>
      </c>
      <c r="N263" s="70">
        <v>20.494340900000001</v>
      </c>
      <c r="O263" s="70">
        <v>93.054298399999993</v>
      </c>
      <c r="P263" s="70" t="s">
        <v>799</v>
      </c>
      <c r="Q263" s="70" t="s">
        <v>780</v>
      </c>
      <c r="R263" s="421"/>
      <c r="S263" s="99"/>
      <c r="T263" s="104"/>
      <c r="U263" s="100"/>
      <c r="V263" s="70" t="s">
        <v>901</v>
      </c>
      <c r="W263" s="421"/>
      <c r="X263" s="539"/>
      <c r="Y263" s="539"/>
      <c r="Z263" s="539"/>
    </row>
    <row r="264" spans="1:26" s="70" customFormat="1" ht="14.25" customHeight="1">
      <c r="A264" s="425" t="s">
        <v>2706</v>
      </c>
      <c r="B264" s="425" t="s">
        <v>456</v>
      </c>
      <c r="C264" s="426" t="s">
        <v>2821</v>
      </c>
      <c r="D264" s="420"/>
      <c r="E264" s="70">
        <v>196218</v>
      </c>
      <c r="J264" s="70" t="s">
        <v>2714</v>
      </c>
      <c r="K264" s="418" t="s">
        <v>2676</v>
      </c>
      <c r="L264" s="418" t="s">
        <v>2676</v>
      </c>
      <c r="N264" s="70">
        <v>20.709392547607401</v>
      </c>
      <c r="O264" s="418">
        <v>92.815086364746094</v>
      </c>
      <c r="R264" s="429"/>
      <c r="S264" s="99"/>
      <c r="T264" s="104">
        <v>43591</v>
      </c>
      <c r="U264" s="429"/>
      <c r="W264" s="421"/>
      <c r="X264" s="539"/>
      <c r="Y264" s="539"/>
      <c r="Z264" s="539"/>
    </row>
    <row r="265" spans="1:26" s="70" customFormat="1" ht="14.25" customHeight="1">
      <c r="A265" s="422" t="s">
        <v>2706</v>
      </c>
      <c r="B265" s="419" t="s">
        <v>456</v>
      </c>
      <c r="C265" s="419" t="s">
        <v>512</v>
      </c>
      <c r="D265" s="470" t="s">
        <v>1654</v>
      </c>
      <c r="E265" s="70">
        <v>196318</v>
      </c>
      <c r="F265" s="444" t="s">
        <v>512</v>
      </c>
      <c r="J265" s="70" t="s">
        <v>798</v>
      </c>
      <c r="K265" s="419" t="s">
        <v>798</v>
      </c>
      <c r="L265" s="419" t="s">
        <v>798</v>
      </c>
      <c r="M265" s="70" t="s">
        <v>795</v>
      </c>
      <c r="N265" s="70">
        <v>20.608819960000002</v>
      </c>
      <c r="O265" s="70">
        <v>93.022407529999995</v>
      </c>
      <c r="P265" s="70" t="s">
        <v>799</v>
      </c>
      <c r="Q265" s="70" t="s">
        <v>780</v>
      </c>
      <c r="R265" s="421"/>
      <c r="S265" s="422"/>
      <c r="T265" s="104"/>
      <c r="U265" s="100"/>
      <c r="V265" s="70" t="s">
        <v>916</v>
      </c>
      <c r="W265" s="421"/>
      <c r="X265" s="539"/>
      <c r="Y265" s="539"/>
      <c r="Z265" s="539"/>
    </row>
    <row r="266" spans="1:26" s="70" customFormat="1" ht="14.25" customHeight="1">
      <c r="A266" s="425" t="s">
        <v>2706</v>
      </c>
      <c r="B266" s="425" t="s">
        <v>456</v>
      </c>
      <c r="C266" s="426" t="s">
        <v>2822</v>
      </c>
      <c r="D266" s="420"/>
      <c r="E266" s="70">
        <v>196403</v>
      </c>
      <c r="J266" s="70" t="s">
        <v>2714</v>
      </c>
      <c r="K266" s="418" t="s">
        <v>2676</v>
      </c>
      <c r="L266" s="418" t="s">
        <v>2676</v>
      </c>
      <c r="N266" s="70">
        <v>20.303350448608398</v>
      </c>
      <c r="O266" s="70">
        <v>92.927062988281307</v>
      </c>
      <c r="R266" s="429"/>
      <c r="S266" s="422"/>
      <c r="T266" s="104">
        <v>43591</v>
      </c>
      <c r="U266" s="429"/>
      <c r="W266" s="421"/>
      <c r="X266" s="539"/>
      <c r="Y266" s="539"/>
      <c r="Z266" s="539"/>
    </row>
    <row r="267" spans="1:26" s="70" customFormat="1" ht="14.25" customHeight="1">
      <c r="A267" s="422" t="s">
        <v>2706</v>
      </c>
      <c r="B267" s="419" t="s">
        <v>456</v>
      </c>
      <c r="C267" s="419" t="s">
        <v>885</v>
      </c>
      <c r="D267" s="470" t="s">
        <v>1654</v>
      </c>
      <c r="E267" s="418">
        <v>196357</v>
      </c>
      <c r="F267" s="418" t="s">
        <v>885</v>
      </c>
      <c r="G267" s="418"/>
      <c r="H267" s="418"/>
      <c r="J267" s="70" t="s">
        <v>798</v>
      </c>
      <c r="K267" s="419" t="s">
        <v>798</v>
      </c>
      <c r="L267" s="419" t="s">
        <v>798</v>
      </c>
      <c r="M267" s="70" t="s">
        <v>298</v>
      </c>
      <c r="N267" s="418">
        <v>20.369959999999999</v>
      </c>
      <c r="O267" s="418">
        <v>93.019220000000004</v>
      </c>
      <c r="P267" s="418" t="s">
        <v>799</v>
      </c>
      <c r="R267" s="421"/>
      <c r="S267" s="422"/>
      <c r="T267" s="104"/>
      <c r="U267" s="423"/>
      <c r="V267" s="418" t="s">
        <v>885</v>
      </c>
      <c r="W267" s="421"/>
      <c r="X267" s="539"/>
      <c r="Y267" s="539"/>
      <c r="Z267" s="539"/>
    </row>
    <row r="268" spans="1:26" s="70" customFormat="1" ht="14.25" customHeight="1">
      <c r="A268" s="422" t="s">
        <v>2706</v>
      </c>
      <c r="B268" s="419" t="s">
        <v>456</v>
      </c>
      <c r="C268" s="419" t="s">
        <v>513</v>
      </c>
      <c r="D268" s="470" t="s">
        <v>1654</v>
      </c>
      <c r="E268" s="70">
        <v>196316</v>
      </c>
      <c r="J268" s="70" t="s">
        <v>798</v>
      </c>
      <c r="K268" s="419" t="s">
        <v>798</v>
      </c>
      <c r="L268" s="419" t="s">
        <v>798</v>
      </c>
      <c r="M268" s="70" t="s">
        <v>298</v>
      </c>
      <c r="N268" s="70">
        <v>20.630609509999999</v>
      </c>
      <c r="O268" s="70">
        <v>92.998641969999994</v>
      </c>
      <c r="P268" s="70" t="s">
        <v>799</v>
      </c>
      <c r="Q268" s="70" t="s">
        <v>780</v>
      </c>
      <c r="R268" s="421"/>
      <c r="S268" s="422"/>
      <c r="T268" s="104"/>
      <c r="U268" s="100"/>
      <c r="V268" s="70" t="s">
        <v>918</v>
      </c>
      <c r="W268" s="421"/>
      <c r="X268" s="539"/>
      <c r="Y268" s="539"/>
      <c r="Z268" s="539"/>
    </row>
    <row r="269" spans="1:26" s="70" customFormat="1" ht="14.25" customHeight="1">
      <c r="A269" s="425" t="s">
        <v>2706</v>
      </c>
      <c r="B269" s="425" t="s">
        <v>456</v>
      </c>
      <c r="C269" s="426" t="s">
        <v>2826</v>
      </c>
      <c r="D269" s="420"/>
      <c r="E269" s="70">
        <v>196317</v>
      </c>
      <c r="F269" s="418"/>
      <c r="J269" s="70" t="s">
        <v>2714</v>
      </c>
      <c r="K269" s="418" t="s">
        <v>2676</v>
      </c>
      <c r="L269" s="418" t="s">
        <v>2676</v>
      </c>
      <c r="N269" s="70">
        <v>20.616569519043001</v>
      </c>
      <c r="O269" s="70">
        <v>92.991638183593807</v>
      </c>
      <c r="R269" s="429"/>
      <c r="S269" s="99"/>
      <c r="T269" s="104">
        <v>43591</v>
      </c>
      <c r="U269" s="429"/>
      <c r="W269" s="421"/>
      <c r="X269" s="539"/>
      <c r="Y269" s="539"/>
      <c r="Z269" s="539"/>
    </row>
    <row r="270" spans="1:26" s="70" customFormat="1" ht="14.25" customHeight="1">
      <c r="A270" s="422" t="s">
        <v>2706</v>
      </c>
      <c r="B270" s="419" t="s">
        <v>456</v>
      </c>
      <c r="C270" s="419" t="s">
        <v>519</v>
      </c>
      <c r="D270" s="470" t="s">
        <v>1654</v>
      </c>
      <c r="E270" s="70">
        <v>196313</v>
      </c>
      <c r="F270" s="70" t="s">
        <v>514</v>
      </c>
      <c r="J270" s="70" t="s">
        <v>798</v>
      </c>
      <c r="K270" s="70" t="s">
        <v>798</v>
      </c>
      <c r="L270" s="70" t="s">
        <v>798</v>
      </c>
      <c r="M270" s="70" t="s">
        <v>298</v>
      </c>
      <c r="N270" s="70">
        <v>20.645240780000002</v>
      </c>
      <c r="O270" s="70">
        <v>92.939758299999994</v>
      </c>
      <c r="P270" s="70" t="s">
        <v>799</v>
      </c>
      <c r="Q270" s="70" t="s">
        <v>780</v>
      </c>
      <c r="R270" s="421"/>
      <c r="S270" s="99"/>
      <c r="T270" s="104"/>
      <c r="U270" s="100"/>
      <c r="V270" s="70" t="s">
        <v>519</v>
      </c>
      <c r="W270" s="421"/>
      <c r="X270" s="539"/>
      <c r="Y270" s="539"/>
      <c r="Z270" s="539"/>
    </row>
    <row r="271" spans="1:26" s="70" customFormat="1" ht="14.25" customHeight="1">
      <c r="A271" s="422" t="s">
        <v>2706</v>
      </c>
      <c r="B271" s="419" t="s">
        <v>456</v>
      </c>
      <c r="C271" s="419" t="s">
        <v>882</v>
      </c>
      <c r="D271" s="470" t="s">
        <v>1654</v>
      </c>
      <c r="E271" s="70">
        <v>196401</v>
      </c>
      <c r="J271" s="70" t="s">
        <v>798</v>
      </c>
      <c r="K271" s="418" t="s">
        <v>798</v>
      </c>
      <c r="L271" s="418" t="s">
        <v>798</v>
      </c>
      <c r="M271" s="70" t="s">
        <v>298</v>
      </c>
      <c r="N271" s="70">
        <v>20.327500000000001</v>
      </c>
      <c r="O271" s="70">
        <v>92.8947</v>
      </c>
      <c r="P271" s="70" t="s">
        <v>799</v>
      </c>
      <c r="R271" s="421"/>
      <c r="S271" s="99"/>
      <c r="T271" s="104"/>
      <c r="U271" s="100"/>
      <c r="V271" s="70" t="s">
        <v>882</v>
      </c>
      <c r="W271" s="421"/>
      <c r="X271" s="539"/>
      <c r="Y271" s="539"/>
      <c r="Z271" s="539"/>
    </row>
    <row r="272" spans="1:26" s="70" customFormat="1" ht="14.25" customHeight="1">
      <c r="A272" s="422" t="s">
        <v>2706</v>
      </c>
      <c r="B272" s="419" t="s">
        <v>456</v>
      </c>
      <c r="C272" s="419" t="s">
        <v>485</v>
      </c>
      <c r="D272" s="470" t="s">
        <v>1654</v>
      </c>
      <c r="E272" s="418">
        <v>196349</v>
      </c>
      <c r="F272" s="418"/>
      <c r="J272" s="70" t="s">
        <v>798</v>
      </c>
      <c r="K272" s="70" t="s">
        <v>798</v>
      </c>
      <c r="L272" s="70" t="s">
        <v>798</v>
      </c>
      <c r="M272" s="70" t="s">
        <v>298</v>
      </c>
      <c r="N272" s="70">
        <v>20.482030869999999</v>
      </c>
      <c r="O272" s="419">
        <v>93.045410160000003</v>
      </c>
      <c r="P272" s="70" t="s">
        <v>799</v>
      </c>
      <c r="Q272" s="70" t="s">
        <v>780</v>
      </c>
      <c r="R272" s="421"/>
      <c r="S272" s="99"/>
      <c r="T272" s="104"/>
      <c r="U272" s="100"/>
      <c r="V272" s="70" t="s">
        <v>485</v>
      </c>
      <c r="W272" s="421"/>
      <c r="X272" s="539"/>
      <c r="Y272" s="539"/>
      <c r="Z272" s="539"/>
    </row>
    <row r="273" spans="1:26" s="70" customFormat="1" ht="14.25" customHeight="1">
      <c r="A273" s="422" t="s">
        <v>2706</v>
      </c>
      <c r="B273" s="419" t="s">
        <v>456</v>
      </c>
      <c r="C273" s="419" t="s">
        <v>881</v>
      </c>
      <c r="D273" s="470" t="s">
        <v>1654</v>
      </c>
      <c r="E273" s="70">
        <v>196375</v>
      </c>
      <c r="F273" s="418" t="s">
        <v>881</v>
      </c>
      <c r="J273" s="70" t="s">
        <v>798</v>
      </c>
      <c r="K273" s="70" t="s">
        <v>798</v>
      </c>
      <c r="L273" s="70" t="s">
        <v>798</v>
      </c>
      <c r="M273" s="70" t="s">
        <v>298</v>
      </c>
      <c r="N273" s="70">
        <v>20.308</v>
      </c>
      <c r="O273" s="70">
        <v>93.01</v>
      </c>
      <c r="P273" s="70" t="s">
        <v>799</v>
      </c>
      <c r="R273" s="421"/>
      <c r="S273" s="99"/>
      <c r="T273" s="104"/>
      <c r="U273" s="100"/>
      <c r="V273" s="70" t="s">
        <v>881</v>
      </c>
      <c r="W273" s="421"/>
      <c r="X273" s="539"/>
      <c r="Y273" s="539"/>
      <c r="Z273" s="539"/>
    </row>
    <row r="274" spans="1:26" s="70" customFormat="1" ht="14.25" customHeight="1">
      <c r="A274" s="425" t="s">
        <v>2706</v>
      </c>
      <c r="B274" s="425" t="s">
        <v>456</v>
      </c>
      <c r="C274" s="426" t="s">
        <v>2827</v>
      </c>
      <c r="D274" s="420"/>
      <c r="E274" s="70">
        <v>196315</v>
      </c>
      <c r="J274" s="70" t="s">
        <v>2714</v>
      </c>
      <c r="K274" s="418" t="s">
        <v>2676</v>
      </c>
      <c r="L274" s="70" t="s">
        <v>2676</v>
      </c>
      <c r="N274" s="70">
        <v>20.622760772705099</v>
      </c>
      <c r="O274" s="70">
        <v>92.954826354980497</v>
      </c>
      <c r="R274" s="429"/>
      <c r="S274" s="422"/>
      <c r="T274" s="104">
        <v>43591</v>
      </c>
      <c r="U274" s="429"/>
      <c r="V274" s="418"/>
      <c r="W274" s="421"/>
      <c r="X274" s="539"/>
      <c r="Y274" s="539"/>
      <c r="Z274" s="539"/>
    </row>
    <row r="275" spans="1:26" s="70" customFormat="1" ht="14.25" customHeight="1">
      <c r="A275" s="422" t="s">
        <v>2706</v>
      </c>
      <c r="B275" s="419" t="s">
        <v>456</v>
      </c>
      <c r="C275" s="419" t="s">
        <v>514</v>
      </c>
      <c r="D275" s="470" t="s">
        <v>1654</v>
      </c>
      <c r="E275" s="418">
        <v>196312</v>
      </c>
      <c r="F275" s="419"/>
      <c r="J275" s="70" t="s">
        <v>798</v>
      </c>
      <c r="K275" s="418" t="s">
        <v>798</v>
      </c>
      <c r="L275" s="70" t="s">
        <v>798</v>
      </c>
      <c r="M275" s="70" t="s">
        <v>298</v>
      </c>
      <c r="N275" s="418">
        <v>20.63272095</v>
      </c>
      <c r="O275" s="419">
        <v>92.940132140000003</v>
      </c>
      <c r="P275" s="70" t="s">
        <v>799</v>
      </c>
      <c r="Q275" s="70" t="s">
        <v>780</v>
      </c>
      <c r="R275" s="425"/>
      <c r="S275" s="426"/>
      <c r="T275" s="104"/>
      <c r="U275" s="100"/>
      <c r="V275" s="70" t="s">
        <v>919</v>
      </c>
      <c r="W275" s="421"/>
      <c r="X275" s="539"/>
      <c r="Y275" s="539"/>
      <c r="Z275" s="539"/>
    </row>
    <row r="276" spans="1:26" s="70" customFormat="1" ht="14.25" customHeight="1">
      <c r="A276" s="422" t="s">
        <v>2706</v>
      </c>
      <c r="B276" s="419" t="s">
        <v>456</v>
      </c>
      <c r="C276" s="419" t="s">
        <v>511</v>
      </c>
      <c r="D276" s="470" t="s">
        <v>1654</v>
      </c>
      <c r="E276" s="70">
        <v>196321</v>
      </c>
      <c r="F276" s="419"/>
      <c r="J276" s="70" t="s">
        <v>798</v>
      </c>
      <c r="K276" s="70" t="s">
        <v>798</v>
      </c>
      <c r="L276" s="70" t="s">
        <v>798</v>
      </c>
      <c r="M276" s="70" t="s">
        <v>298</v>
      </c>
      <c r="N276" s="70">
        <v>20.59627914</v>
      </c>
      <c r="O276" s="70">
        <v>92.987480160000004</v>
      </c>
      <c r="P276" s="70" t="s">
        <v>799</v>
      </c>
      <c r="Q276" s="70" t="s">
        <v>780</v>
      </c>
      <c r="R276" s="421"/>
      <c r="S276" s="422"/>
      <c r="T276" s="104"/>
      <c r="U276" s="100"/>
      <c r="V276" s="70" t="s">
        <v>511</v>
      </c>
      <c r="W276" s="421"/>
      <c r="X276" s="539"/>
      <c r="Y276" s="539"/>
      <c r="Z276" s="539"/>
    </row>
    <row r="277" spans="1:26" s="70" customFormat="1" ht="14.25" customHeight="1">
      <c r="A277" s="422" t="s">
        <v>2706</v>
      </c>
      <c r="B277" s="419" t="s">
        <v>456</v>
      </c>
      <c r="C277" s="419" t="s">
        <v>880</v>
      </c>
      <c r="D277" s="470" t="s">
        <v>1654</v>
      </c>
      <c r="E277" s="70">
        <v>196412</v>
      </c>
      <c r="F277" s="419" t="s">
        <v>880</v>
      </c>
      <c r="J277" s="70" t="s">
        <v>798</v>
      </c>
      <c r="K277" s="418" t="s">
        <v>798</v>
      </c>
      <c r="L277" s="70" t="s">
        <v>798</v>
      </c>
      <c r="M277" s="70" t="s">
        <v>298</v>
      </c>
      <c r="N277" s="70">
        <v>20.242139999999999</v>
      </c>
      <c r="O277" s="70">
        <v>92.921729999999997</v>
      </c>
      <c r="P277" s="70" t="s">
        <v>799</v>
      </c>
      <c r="R277" s="425"/>
      <c r="S277" s="426"/>
      <c r="T277" s="104"/>
      <c r="U277" s="100"/>
      <c r="V277" s="70" t="s">
        <v>880</v>
      </c>
      <c r="W277" s="421"/>
      <c r="X277" s="539"/>
      <c r="Y277" s="539"/>
      <c r="Z277" s="539"/>
    </row>
    <row r="278" spans="1:26" s="70" customFormat="1" ht="14.25" customHeight="1">
      <c r="A278" s="422" t="s">
        <v>2706</v>
      </c>
      <c r="B278" s="425" t="s">
        <v>456</v>
      </c>
      <c r="C278" s="426" t="s">
        <v>2875</v>
      </c>
      <c r="D278" s="420"/>
      <c r="E278" s="70">
        <v>196234</v>
      </c>
      <c r="J278" s="70" t="s">
        <v>2714</v>
      </c>
      <c r="K278" s="70" t="s">
        <v>2676</v>
      </c>
      <c r="L278" s="70" t="s">
        <v>2676</v>
      </c>
      <c r="N278" s="70">
        <v>20.580810546875</v>
      </c>
      <c r="O278" s="70">
        <v>92.869346618652301</v>
      </c>
      <c r="R278" s="429"/>
      <c r="S278" s="99"/>
      <c r="T278" s="104">
        <v>43591</v>
      </c>
      <c r="U278" s="429"/>
      <c r="V278" s="70" t="s">
        <v>2792</v>
      </c>
      <c r="W278" s="421"/>
      <c r="X278" s="539"/>
      <c r="Y278" s="539"/>
      <c r="Z278" s="539"/>
    </row>
    <row r="279" spans="1:26" s="70" customFormat="1" ht="14.25" customHeight="1">
      <c r="A279" s="422" t="s">
        <v>2706</v>
      </c>
      <c r="B279" s="419" t="s">
        <v>456</v>
      </c>
      <c r="C279" s="419" t="s">
        <v>457</v>
      </c>
      <c r="D279" s="470" t="s">
        <v>1654</v>
      </c>
      <c r="E279" s="418">
        <v>196408</v>
      </c>
      <c r="F279" s="419"/>
      <c r="G279" s="418"/>
      <c r="H279" s="418"/>
      <c r="I279" s="418"/>
      <c r="J279" s="418" t="s">
        <v>798</v>
      </c>
      <c r="K279" s="418" t="s">
        <v>798</v>
      </c>
      <c r="L279" s="418" t="s">
        <v>798</v>
      </c>
      <c r="M279" s="418" t="s">
        <v>298</v>
      </c>
      <c r="N279" s="418">
        <v>20.268000000000001</v>
      </c>
      <c r="O279" s="418">
        <v>92.977999999999994</v>
      </c>
      <c r="P279" s="418" t="s">
        <v>799</v>
      </c>
      <c r="Q279" s="418" t="s">
        <v>780</v>
      </c>
      <c r="R279" s="421"/>
      <c r="S279" s="422"/>
      <c r="T279" s="441"/>
      <c r="U279" s="423"/>
      <c r="V279" s="418" t="s">
        <v>457</v>
      </c>
      <c r="W279" s="421"/>
      <c r="X279" s="539"/>
      <c r="Y279" s="539"/>
      <c r="Z279" s="539"/>
    </row>
    <row r="280" spans="1:26" s="70" customFormat="1" ht="14.25" customHeight="1">
      <c r="A280" s="422" t="s">
        <v>2706</v>
      </c>
      <c r="B280" s="425" t="s">
        <v>456</v>
      </c>
      <c r="C280" s="426" t="s">
        <v>460</v>
      </c>
      <c r="D280" s="420" t="s">
        <v>1654</v>
      </c>
      <c r="E280" s="70">
        <v>196377</v>
      </c>
      <c r="J280" s="70" t="s">
        <v>798</v>
      </c>
      <c r="K280" s="70" t="s">
        <v>798</v>
      </c>
      <c r="L280" s="70" t="s">
        <v>798</v>
      </c>
      <c r="M280" s="70" t="s">
        <v>298</v>
      </c>
      <c r="N280" s="70">
        <v>20.292100000000001</v>
      </c>
      <c r="O280" s="70">
        <v>92.994100000000003</v>
      </c>
      <c r="P280" s="70" t="s">
        <v>799</v>
      </c>
      <c r="Q280" s="70" t="s">
        <v>780</v>
      </c>
      <c r="R280" s="429"/>
      <c r="S280" s="422"/>
      <c r="T280" s="104"/>
      <c r="U280" s="100"/>
      <c r="V280" s="70" t="s">
        <v>460</v>
      </c>
      <c r="W280" s="421"/>
      <c r="X280" s="539"/>
      <c r="Y280" s="539"/>
      <c r="Z280" s="539"/>
    </row>
    <row r="281" spans="1:26" s="70" customFormat="1" ht="14.25" customHeight="1">
      <c r="A281" s="422" t="s">
        <v>2706</v>
      </c>
      <c r="B281" s="419" t="s">
        <v>456</v>
      </c>
      <c r="C281" s="419" t="s">
        <v>491</v>
      </c>
      <c r="D281" s="470" t="s">
        <v>1654</v>
      </c>
      <c r="E281" s="70">
        <v>196337</v>
      </c>
      <c r="J281" s="70" t="s">
        <v>798</v>
      </c>
      <c r="K281" s="418" t="s">
        <v>798</v>
      </c>
      <c r="L281" s="418" t="s">
        <v>798</v>
      </c>
      <c r="M281" s="70" t="s">
        <v>298</v>
      </c>
      <c r="N281" s="70">
        <v>20.509660719999999</v>
      </c>
      <c r="O281" s="70">
        <v>92.997230529999996</v>
      </c>
      <c r="P281" s="70" t="s">
        <v>799</v>
      </c>
      <c r="Q281" s="70" t="s">
        <v>780</v>
      </c>
      <c r="R281" s="421"/>
      <c r="S281" s="422"/>
      <c r="T281" s="104"/>
      <c r="U281" s="100"/>
      <c r="V281" s="70" t="s">
        <v>491</v>
      </c>
      <c r="W281" s="421"/>
      <c r="X281" s="539"/>
      <c r="Y281" s="539"/>
      <c r="Z281" s="539"/>
    </row>
    <row r="282" spans="1:26" s="70" customFormat="1" ht="14.25" customHeight="1">
      <c r="A282" s="425" t="s">
        <v>2706</v>
      </c>
      <c r="B282" s="425" t="s">
        <v>456</v>
      </c>
      <c r="C282" s="426" t="s">
        <v>1733</v>
      </c>
      <c r="D282" s="420"/>
      <c r="E282" s="70">
        <v>196369</v>
      </c>
      <c r="J282" s="70" t="s">
        <v>2714</v>
      </c>
      <c r="K282" s="70" t="s">
        <v>2676</v>
      </c>
      <c r="L282" s="70" t="s">
        <v>2676</v>
      </c>
      <c r="N282" s="418">
        <v>20.337610244751001</v>
      </c>
      <c r="O282" s="418">
        <v>92.969711303710895</v>
      </c>
      <c r="R282" s="429"/>
      <c r="S282" s="99"/>
      <c r="T282" s="104">
        <v>43591</v>
      </c>
      <c r="U282" s="429"/>
      <c r="W282" s="421"/>
      <c r="X282" s="539"/>
      <c r="Y282" s="539"/>
      <c r="Z282" s="539"/>
    </row>
    <row r="283" spans="1:26" s="70" customFormat="1" ht="14.25" customHeight="1">
      <c r="A283" s="425" t="s">
        <v>2706</v>
      </c>
      <c r="B283" s="425" t="s">
        <v>456</v>
      </c>
      <c r="C283" s="426" t="s">
        <v>2823</v>
      </c>
      <c r="D283" s="420"/>
      <c r="E283" s="418">
        <v>196369</v>
      </c>
      <c r="J283" s="70" t="s">
        <v>2714</v>
      </c>
      <c r="K283" s="70" t="s">
        <v>2676</v>
      </c>
      <c r="L283" s="70" t="s">
        <v>2676</v>
      </c>
      <c r="N283" s="418">
        <v>20.337610244751001</v>
      </c>
      <c r="O283" s="418">
        <v>92.969711303710895</v>
      </c>
      <c r="R283" s="429"/>
      <c r="S283" s="99"/>
      <c r="T283" s="104">
        <v>43591</v>
      </c>
      <c r="U283" s="429"/>
      <c r="W283" s="421"/>
      <c r="X283" s="539"/>
      <c r="Y283" s="539"/>
      <c r="Z283" s="539"/>
    </row>
    <row r="284" spans="1:26" s="70" customFormat="1" ht="14.25" customHeight="1">
      <c r="A284" s="422" t="s">
        <v>2706</v>
      </c>
      <c r="B284" s="419" t="s">
        <v>456</v>
      </c>
      <c r="C284" s="419" t="s">
        <v>463</v>
      </c>
      <c r="D284" s="470" t="s">
        <v>1654</v>
      </c>
      <c r="E284" s="70">
        <v>196359</v>
      </c>
      <c r="F284" s="418" t="s">
        <v>463</v>
      </c>
      <c r="J284" s="70" t="s">
        <v>798</v>
      </c>
      <c r="K284" s="70" t="s">
        <v>798</v>
      </c>
      <c r="L284" s="70" t="s">
        <v>798</v>
      </c>
      <c r="M284" s="70" t="s">
        <v>298</v>
      </c>
      <c r="N284" s="418">
        <v>20.361530299999998</v>
      </c>
      <c r="O284" s="418">
        <v>92.992073059999996</v>
      </c>
      <c r="P284" s="70" t="s">
        <v>799</v>
      </c>
      <c r="Q284" s="70" t="s">
        <v>780</v>
      </c>
      <c r="R284" s="421"/>
      <c r="S284" s="422"/>
      <c r="T284" s="104"/>
      <c r="U284" s="100"/>
      <c r="V284" s="70" t="s">
        <v>463</v>
      </c>
      <c r="W284" s="421"/>
      <c r="X284" s="539"/>
      <c r="Y284" s="539"/>
      <c r="Z284" s="539"/>
    </row>
    <row r="285" spans="1:26" s="70" customFormat="1" ht="14.25" customHeight="1">
      <c r="A285" s="422" t="s">
        <v>2706</v>
      </c>
      <c r="B285" s="419" t="s">
        <v>456</v>
      </c>
      <c r="C285" s="419" t="s">
        <v>490</v>
      </c>
      <c r="D285" s="470" t="s">
        <v>1654</v>
      </c>
      <c r="E285" s="70">
        <v>196351</v>
      </c>
      <c r="F285" s="418"/>
      <c r="J285" s="70" t="s">
        <v>798</v>
      </c>
      <c r="K285" s="418" t="s">
        <v>798</v>
      </c>
      <c r="L285" s="418" t="s">
        <v>798</v>
      </c>
      <c r="M285" s="70" t="s">
        <v>298</v>
      </c>
      <c r="N285" s="418">
        <v>20.50658035</v>
      </c>
      <c r="O285" s="418">
        <v>93.0434494</v>
      </c>
      <c r="P285" s="70" t="s">
        <v>799</v>
      </c>
      <c r="Q285" s="70" t="s">
        <v>780</v>
      </c>
      <c r="R285" s="421"/>
      <c r="S285" s="422"/>
      <c r="T285" s="104"/>
      <c r="U285" s="100"/>
      <c r="V285" s="70" t="s">
        <v>490</v>
      </c>
      <c r="W285" s="421"/>
      <c r="X285" s="539"/>
      <c r="Y285" s="539"/>
      <c r="Z285" s="539"/>
    </row>
    <row r="286" spans="1:26" s="70" customFormat="1" ht="14.25" customHeight="1">
      <c r="A286" s="422" t="s">
        <v>2706</v>
      </c>
      <c r="B286" s="419" t="s">
        <v>456</v>
      </c>
      <c r="C286" s="419" t="s">
        <v>504</v>
      </c>
      <c r="D286" s="470" t="s">
        <v>1654</v>
      </c>
      <c r="E286" s="70">
        <v>196331</v>
      </c>
      <c r="F286" s="70" t="s">
        <v>504</v>
      </c>
      <c r="J286" s="70" t="s">
        <v>798</v>
      </c>
      <c r="K286" s="70" t="s">
        <v>798</v>
      </c>
      <c r="L286" s="70" t="s">
        <v>798</v>
      </c>
      <c r="M286" s="70" t="s">
        <v>298</v>
      </c>
      <c r="N286" s="418">
        <v>20.564739230000001</v>
      </c>
      <c r="O286" s="418">
        <v>93.064781190000005</v>
      </c>
      <c r="P286" s="70" t="s">
        <v>799</v>
      </c>
      <c r="Q286" s="70" t="s">
        <v>780</v>
      </c>
      <c r="R286" s="421"/>
      <c r="S286" s="422"/>
      <c r="T286" s="104"/>
      <c r="U286" s="100"/>
      <c r="V286" s="70" t="s">
        <v>504</v>
      </c>
      <c r="W286" s="421"/>
      <c r="X286" s="539"/>
      <c r="Y286" s="539"/>
      <c r="Z286" s="539"/>
    </row>
    <row r="287" spans="1:26" s="70" customFormat="1" ht="14.25" customHeight="1">
      <c r="A287" s="422" t="s">
        <v>2706</v>
      </c>
      <c r="B287" s="419" t="s">
        <v>456</v>
      </c>
      <c r="C287" s="419" t="s">
        <v>472</v>
      </c>
      <c r="D287" s="470" t="s">
        <v>1654</v>
      </c>
      <c r="E287" s="70">
        <v>196356</v>
      </c>
      <c r="J287" s="70" t="s">
        <v>798</v>
      </c>
      <c r="K287" s="70" t="s">
        <v>798</v>
      </c>
      <c r="L287" s="70" t="s">
        <v>798</v>
      </c>
      <c r="M287" s="70" t="s">
        <v>298</v>
      </c>
      <c r="N287" s="70">
        <v>20.424389999999999</v>
      </c>
      <c r="O287" s="70">
        <v>93.012960000000007</v>
      </c>
      <c r="P287" s="70" t="s">
        <v>799</v>
      </c>
      <c r="Q287" s="70" t="s">
        <v>780</v>
      </c>
      <c r="R287" s="421"/>
      <c r="S287" s="422"/>
      <c r="T287" s="104"/>
      <c r="U287" s="100"/>
      <c r="V287" s="70" t="s">
        <v>472</v>
      </c>
      <c r="W287" s="421"/>
      <c r="X287" s="539"/>
      <c r="Y287" s="539"/>
      <c r="Z287" s="539"/>
    </row>
    <row r="288" spans="1:26" s="70" customFormat="1" ht="14.25" customHeight="1">
      <c r="A288" s="422" t="s">
        <v>2706</v>
      </c>
      <c r="B288" s="425" t="s">
        <v>456</v>
      </c>
      <c r="C288" s="426" t="s">
        <v>2874</v>
      </c>
      <c r="D288" s="420"/>
      <c r="E288" s="70">
        <v>196302</v>
      </c>
      <c r="F288" s="418"/>
      <c r="J288" s="70" t="s">
        <v>2714</v>
      </c>
      <c r="K288" s="418" t="s">
        <v>2676</v>
      </c>
      <c r="L288" s="418" t="s">
        <v>2676</v>
      </c>
      <c r="N288" s="70">
        <v>20.5702304840088</v>
      </c>
      <c r="O288" s="70">
        <v>92.977378845214801</v>
      </c>
      <c r="R288" s="429"/>
      <c r="S288" s="422"/>
      <c r="T288" s="104">
        <v>43591</v>
      </c>
      <c r="U288" s="429"/>
      <c r="V288" s="515" t="s">
        <v>2791</v>
      </c>
      <c r="W288" s="421"/>
      <c r="X288" s="539"/>
      <c r="Y288" s="539"/>
      <c r="Z288" s="539"/>
    </row>
    <row r="289" spans="1:26" s="70" customFormat="1" ht="14.25" customHeight="1">
      <c r="A289" s="422" t="s">
        <v>2706</v>
      </c>
      <c r="B289" s="419" t="s">
        <v>358</v>
      </c>
      <c r="C289" s="419" t="s">
        <v>360</v>
      </c>
      <c r="D289" s="470" t="s">
        <v>1655</v>
      </c>
      <c r="E289" s="70" t="s">
        <v>1335</v>
      </c>
      <c r="F289" s="418" t="s">
        <v>1658</v>
      </c>
      <c r="G289" s="70" t="s">
        <v>1660</v>
      </c>
      <c r="H289" s="70" t="s">
        <v>42</v>
      </c>
      <c r="J289" s="70" t="s">
        <v>44</v>
      </c>
      <c r="K289" s="418" t="s">
        <v>44</v>
      </c>
      <c r="L289" s="418" t="s">
        <v>760</v>
      </c>
      <c r="M289" s="70" t="s">
        <v>298</v>
      </c>
      <c r="N289" s="70">
        <v>19.091054</v>
      </c>
      <c r="O289" s="70">
        <v>93.865170000000006</v>
      </c>
      <c r="P289" s="70" t="s">
        <v>761</v>
      </c>
      <c r="Q289" s="70" t="s">
        <v>780</v>
      </c>
      <c r="R289" s="421"/>
      <c r="S289" s="422"/>
      <c r="T289" s="104"/>
      <c r="U289" s="100"/>
      <c r="V289" s="70" t="s">
        <v>360</v>
      </c>
      <c r="W289" s="421"/>
      <c r="X289" s="539"/>
      <c r="Y289" s="539"/>
      <c r="Z289" s="539"/>
    </row>
    <row r="290" spans="1:26" s="70" customFormat="1" ht="14.25" customHeight="1">
      <c r="A290" s="422" t="s">
        <v>2706</v>
      </c>
      <c r="B290" s="419" t="s">
        <v>358</v>
      </c>
      <c r="C290" s="419" t="s">
        <v>359</v>
      </c>
      <c r="D290" s="470" t="s">
        <v>1655</v>
      </c>
      <c r="E290" s="70" t="s">
        <v>1334</v>
      </c>
      <c r="F290" s="70" t="s">
        <v>1658</v>
      </c>
      <c r="G290" s="70" t="s">
        <v>1659</v>
      </c>
      <c r="H290" s="70" t="s">
        <v>42</v>
      </c>
      <c r="J290" s="70" t="s">
        <v>44</v>
      </c>
      <c r="K290" s="70" t="s">
        <v>44</v>
      </c>
      <c r="L290" s="70" t="s">
        <v>760</v>
      </c>
      <c r="M290" s="70" t="s">
        <v>795</v>
      </c>
      <c r="N290" s="70">
        <v>19.088283000000001</v>
      </c>
      <c r="O290" s="70">
        <v>93.857592999999994</v>
      </c>
      <c r="P290" s="70" t="s">
        <v>761</v>
      </c>
      <c r="Q290" s="70" t="s">
        <v>780</v>
      </c>
      <c r="R290" s="421"/>
      <c r="S290" s="422"/>
      <c r="T290" s="104"/>
      <c r="U290" s="100" t="s">
        <v>1655</v>
      </c>
      <c r="V290" s="70" t="s">
        <v>796</v>
      </c>
      <c r="W290" s="421"/>
      <c r="X290" s="539"/>
      <c r="Y290" s="539"/>
      <c r="Z290" s="539"/>
    </row>
    <row r="291" spans="1:26" s="70" customFormat="1" ht="14.25" customHeight="1">
      <c r="A291" s="422" t="s">
        <v>2706</v>
      </c>
      <c r="B291" s="425" t="s">
        <v>299</v>
      </c>
      <c r="C291" s="426" t="s">
        <v>452</v>
      </c>
      <c r="D291" s="420" t="s">
        <v>1654</v>
      </c>
      <c r="E291" s="70">
        <v>196143</v>
      </c>
      <c r="F291" s="70" t="s">
        <v>1662</v>
      </c>
      <c r="J291" s="70" t="s">
        <v>798</v>
      </c>
      <c r="K291" s="70" t="s">
        <v>798</v>
      </c>
      <c r="L291" s="70" t="s">
        <v>798</v>
      </c>
      <c r="M291" s="70" t="s">
        <v>795</v>
      </c>
      <c r="N291" s="70">
        <v>20.235199999999999</v>
      </c>
      <c r="O291" s="70">
        <v>92.805000000000007</v>
      </c>
      <c r="P291" s="70" t="s">
        <v>799</v>
      </c>
      <c r="Q291" s="70" t="s">
        <v>780</v>
      </c>
      <c r="R291" s="429"/>
      <c r="S291" s="99"/>
      <c r="T291" s="104"/>
      <c r="U291" s="100"/>
      <c r="V291" s="70" t="s">
        <v>452</v>
      </c>
      <c r="W291" s="421"/>
      <c r="X291" s="539"/>
      <c r="Y291" s="539"/>
      <c r="Z291" s="539"/>
    </row>
    <row r="292" spans="1:26" s="70" customFormat="1" ht="14.25" customHeight="1">
      <c r="A292" s="422" t="s">
        <v>2706</v>
      </c>
      <c r="B292" s="425" t="s">
        <v>299</v>
      </c>
      <c r="C292" s="426" t="s">
        <v>1662</v>
      </c>
      <c r="D292" s="420" t="s">
        <v>1874</v>
      </c>
      <c r="E292" s="70">
        <v>196138</v>
      </c>
      <c r="J292" s="70" t="s">
        <v>798</v>
      </c>
      <c r="K292" s="70" t="s">
        <v>798</v>
      </c>
      <c r="L292" s="70" t="s">
        <v>798</v>
      </c>
      <c r="N292" s="70">
        <v>20.2351894378662</v>
      </c>
      <c r="O292" s="70">
        <v>92.790191650390597</v>
      </c>
      <c r="P292" s="70" t="s">
        <v>799</v>
      </c>
      <c r="R292" s="429"/>
      <c r="S292" s="99"/>
      <c r="T292" s="104"/>
      <c r="U292" s="100"/>
      <c r="W292" s="421"/>
      <c r="X292" s="539"/>
      <c r="Y292" s="539"/>
      <c r="Z292" s="539"/>
    </row>
    <row r="293" spans="1:26" s="70" customFormat="1" ht="14.25" customHeight="1">
      <c r="A293" s="422" t="s">
        <v>2706</v>
      </c>
      <c r="B293" s="425" t="s">
        <v>299</v>
      </c>
      <c r="C293" s="426" t="s">
        <v>453</v>
      </c>
      <c r="D293" s="420" t="s">
        <v>1654</v>
      </c>
      <c r="E293" s="70">
        <v>196152</v>
      </c>
      <c r="J293" s="70" t="s">
        <v>798</v>
      </c>
      <c r="K293" s="70" t="s">
        <v>798</v>
      </c>
      <c r="L293" s="70" t="s">
        <v>798</v>
      </c>
      <c r="M293" s="70" t="s">
        <v>298</v>
      </c>
      <c r="N293" s="70">
        <v>20.235199999999999</v>
      </c>
      <c r="O293" s="70">
        <v>92.790199999999999</v>
      </c>
      <c r="P293" s="70" t="s">
        <v>799</v>
      </c>
      <c r="Q293" s="70" t="s">
        <v>780</v>
      </c>
      <c r="R293" s="429"/>
      <c r="S293" s="99"/>
      <c r="T293" s="104"/>
      <c r="U293" s="100"/>
      <c r="V293" s="70" t="s">
        <v>453</v>
      </c>
      <c r="W293" s="421"/>
      <c r="X293" s="539"/>
      <c r="Y293" s="539"/>
      <c r="Z293" s="539"/>
    </row>
    <row r="294" spans="1:26" s="70" customFormat="1" ht="14.25" customHeight="1">
      <c r="A294" s="422" t="s">
        <v>2706</v>
      </c>
      <c r="B294" s="425" t="s">
        <v>299</v>
      </c>
      <c r="C294" s="426" t="s">
        <v>1879</v>
      </c>
      <c r="D294" s="420" t="s">
        <v>1874</v>
      </c>
      <c r="E294" s="418"/>
      <c r="F294" s="418"/>
      <c r="J294" s="70" t="s">
        <v>798</v>
      </c>
      <c r="K294" s="418" t="s">
        <v>798</v>
      </c>
      <c r="L294" s="418" t="s">
        <v>798</v>
      </c>
      <c r="O294" s="418"/>
      <c r="P294" s="70" t="s">
        <v>799</v>
      </c>
      <c r="R294" s="429"/>
      <c r="S294" s="422"/>
      <c r="T294" s="104"/>
      <c r="U294" s="100"/>
      <c r="W294" s="421"/>
      <c r="X294" s="539"/>
      <c r="Y294" s="539"/>
      <c r="Z294" s="539"/>
    </row>
    <row r="295" spans="1:26" s="70" customFormat="1" ht="14.25" customHeight="1">
      <c r="A295" s="422" t="s">
        <v>2706</v>
      </c>
      <c r="B295" s="425" t="s">
        <v>299</v>
      </c>
      <c r="C295" s="426" t="s">
        <v>417</v>
      </c>
      <c r="D295" s="420" t="s">
        <v>1654</v>
      </c>
      <c r="J295" s="70" t="s">
        <v>798</v>
      </c>
      <c r="K295" s="70" t="s">
        <v>798</v>
      </c>
      <c r="L295" s="70" t="s">
        <v>798</v>
      </c>
      <c r="M295" s="70" t="s">
        <v>795</v>
      </c>
      <c r="P295" s="70" t="s">
        <v>799</v>
      </c>
      <c r="Q295" s="70" t="s">
        <v>780</v>
      </c>
      <c r="R295" s="429"/>
      <c r="S295" s="99"/>
      <c r="T295" s="104"/>
      <c r="U295" s="100"/>
      <c r="V295" s="70" t="s">
        <v>417</v>
      </c>
      <c r="W295" s="421"/>
      <c r="X295" s="539"/>
      <c r="Y295" s="539"/>
      <c r="Z295" s="539"/>
    </row>
    <row r="296" spans="1:26" s="70" customFormat="1" ht="14.25" customHeight="1">
      <c r="A296" s="422" t="s">
        <v>2706</v>
      </c>
      <c r="B296" s="425" t="s">
        <v>299</v>
      </c>
      <c r="C296" s="426" t="s">
        <v>418</v>
      </c>
      <c r="D296" s="470" t="s">
        <v>3183</v>
      </c>
      <c r="E296" s="418" t="s">
        <v>1345</v>
      </c>
      <c r="F296" s="418" t="s">
        <v>1739</v>
      </c>
      <c r="G296" s="70" t="s">
        <v>1740</v>
      </c>
      <c r="H296" s="70" t="s">
        <v>42</v>
      </c>
      <c r="J296" s="70" t="s">
        <v>44</v>
      </c>
      <c r="K296" s="418" t="s">
        <v>44</v>
      </c>
      <c r="L296" s="418" t="s">
        <v>794</v>
      </c>
      <c r="M296" s="70" t="s">
        <v>795</v>
      </c>
      <c r="N296" s="70">
        <v>20.128488999999998</v>
      </c>
      <c r="O296" s="70">
        <v>92.875814000000005</v>
      </c>
      <c r="P296" s="70" t="s">
        <v>761</v>
      </c>
      <c r="Q296" s="70" t="s">
        <v>780</v>
      </c>
      <c r="R296" s="421">
        <v>397</v>
      </c>
      <c r="S296" s="99">
        <v>2323</v>
      </c>
      <c r="T296" s="104"/>
      <c r="U296" s="100"/>
      <c r="V296" s="70" t="s">
        <v>840</v>
      </c>
      <c r="W296" s="421"/>
      <c r="X296" s="539">
        <v>99</v>
      </c>
      <c r="Y296" s="539">
        <v>287</v>
      </c>
      <c r="Z296" s="539">
        <v>386</v>
      </c>
    </row>
    <row r="297" spans="1:26" s="70" customFormat="1" ht="14.25" customHeight="1">
      <c r="A297" s="422" t="s">
        <v>2706</v>
      </c>
      <c r="B297" s="425" t="s">
        <v>299</v>
      </c>
      <c r="C297" s="426" t="s">
        <v>865</v>
      </c>
      <c r="D297" s="420" t="s">
        <v>1655</v>
      </c>
      <c r="E297" s="70" t="s">
        <v>1359</v>
      </c>
      <c r="F297" s="70" t="s">
        <v>1661</v>
      </c>
      <c r="G297" s="70" t="s">
        <v>1687</v>
      </c>
      <c r="J297" s="70" t="s">
        <v>44</v>
      </c>
      <c r="K297" s="418" t="s">
        <v>44</v>
      </c>
      <c r="L297" s="418" t="s">
        <v>760</v>
      </c>
      <c r="M297" s="70" t="s">
        <v>795</v>
      </c>
      <c r="N297" s="70">
        <v>20.181238</v>
      </c>
      <c r="O297" s="70">
        <v>92.807418999999996</v>
      </c>
      <c r="P297" s="70" t="s">
        <v>761</v>
      </c>
      <c r="Q297" s="70" t="s">
        <v>780</v>
      </c>
      <c r="R297" s="429"/>
      <c r="S297" s="422"/>
      <c r="T297" s="104"/>
      <c r="U297" s="100"/>
      <c r="V297" s="70" t="s">
        <v>865</v>
      </c>
      <c r="W297" s="421"/>
      <c r="X297" s="539"/>
      <c r="Y297" s="539"/>
      <c r="Z297" s="539"/>
    </row>
    <row r="298" spans="1:26" s="70" customFormat="1" ht="14.25" customHeight="1">
      <c r="A298" s="422" t="s">
        <v>2706</v>
      </c>
      <c r="B298" s="425" t="s">
        <v>299</v>
      </c>
      <c r="C298" s="426" t="s">
        <v>429</v>
      </c>
      <c r="D298" s="470" t="s">
        <v>3183</v>
      </c>
      <c r="E298" s="70" t="s">
        <v>1357</v>
      </c>
      <c r="F298" s="70" t="s">
        <v>1661</v>
      </c>
      <c r="G298" s="70" t="s">
        <v>1687</v>
      </c>
      <c r="H298" s="70" t="s">
        <v>42</v>
      </c>
      <c r="J298" s="70" t="s">
        <v>44</v>
      </c>
      <c r="K298" s="70" t="s">
        <v>44</v>
      </c>
      <c r="L298" s="70" t="s">
        <v>794</v>
      </c>
      <c r="M298" s="70" t="s">
        <v>795</v>
      </c>
      <c r="N298" s="70">
        <v>20.179417000000001</v>
      </c>
      <c r="O298" s="70">
        <v>92.813028000000003</v>
      </c>
      <c r="P298" s="70" t="s">
        <v>761</v>
      </c>
      <c r="R298" s="421">
        <v>1013</v>
      </c>
      <c r="S298" s="422">
        <v>4822</v>
      </c>
      <c r="T298" s="104"/>
      <c r="U298" s="100" t="s">
        <v>862</v>
      </c>
      <c r="W298" s="421"/>
      <c r="X298" s="539">
        <v>124</v>
      </c>
      <c r="Y298" s="539">
        <v>410</v>
      </c>
      <c r="Z298" s="539">
        <v>534</v>
      </c>
    </row>
    <row r="299" spans="1:26" s="70" customFormat="1" ht="14.25" customHeight="1">
      <c r="A299" s="422" t="s">
        <v>2706</v>
      </c>
      <c r="B299" s="425" t="s">
        <v>299</v>
      </c>
      <c r="C299" s="426" t="s">
        <v>431</v>
      </c>
      <c r="D299" s="470" t="s">
        <v>3183</v>
      </c>
      <c r="E299" s="418" t="s">
        <v>1360</v>
      </c>
      <c r="F299" s="418" t="s">
        <v>1661</v>
      </c>
      <c r="G299" s="70" t="s">
        <v>1687</v>
      </c>
      <c r="H299" s="70" t="s">
        <v>42</v>
      </c>
      <c r="J299" s="70" t="s">
        <v>44</v>
      </c>
      <c r="K299" s="418" t="s">
        <v>44</v>
      </c>
      <c r="L299" s="418" t="s">
        <v>794</v>
      </c>
      <c r="M299" s="70" t="s">
        <v>795</v>
      </c>
      <c r="N299" s="70">
        <v>20.181405999999999</v>
      </c>
      <c r="O299" s="70">
        <v>92.807552000000001</v>
      </c>
      <c r="P299" s="70" t="s">
        <v>761</v>
      </c>
      <c r="R299" s="421">
        <v>1335</v>
      </c>
      <c r="S299" s="422">
        <v>6700</v>
      </c>
      <c r="T299" s="104"/>
      <c r="U299" s="100" t="s">
        <v>862</v>
      </c>
      <c r="W299" s="421"/>
      <c r="X299" s="539">
        <v>193</v>
      </c>
      <c r="Y299" s="539">
        <v>637</v>
      </c>
      <c r="Z299" s="539">
        <v>830</v>
      </c>
    </row>
    <row r="300" spans="1:26" s="70" customFormat="1" ht="14.25" customHeight="1">
      <c r="A300" s="422" t="s">
        <v>2706</v>
      </c>
      <c r="B300" s="425" t="s">
        <v>299</v>
      </c>
      <c r="C300" s="426" t="s">
        <v>1093</v>
      </c>
      <c r="D300" s="420" t="s">
        <v>1654</v>
      </c>
      <c r="J300" s="70" t="s">
        <v>798</v>
      </c>
      <c r="K300" s="418" t="s">
        <v>798</v>
      </c>
      <c r="L300" s="418" t="s">
        <v>798</v>
      </c>
      <c r="M300" s="70" t="s">
        <v>795</v>
      </c>
      <c r="P300" s="70" t="s">
        <v>799</v>
      </c>
      <c r="Q300" s="70" t="s">
        <v>762</v>
      </c>
      <c r="R300" s="429"/>
      <c r="S300" s="422"/>
      <c r="T300" s="104">
        <v>42804</v>
      </c>
      <c r="U300" s="100"/>
      <c r="V300" s="70" t="s">
        <v>1093</v>
      </c>
      <c r="W300" s="421"/>
      <c r="X300" s="539"/>
      <c r="Y300" s="539"/>
      <c r="Z300" s="539"/>
    </row>
    <row r="301" spans="1:26" s="70" customFormat="1" ht="14.25" customHeight="1">
      <c r="A301" s="422" t="s">
        <v>2706</v>
      </c>
      <c r="B301" s="425" t="s">
        <v>299</v>
      </c>
      <c r="C301" s="426" t="s">
        <v>2699</v>
      </c>
      <c r="D301" s="470" t="s">
        <v>3183</v>
      </c>
      <c r="E301" s="70" t="s">
        <v>1363</v>
      </c>
      <c r="F301" s="70" t="s">
        <v>1661</v>
      </c>
      <c r="G301" s="70" t="s">
        <v>1687</v>
      </c>
      <c r="H301" s="70" t="s">
        <v>42</v>
      </c>
      <c r="J301" s="70" t="s">
        <v>44</v>
      </c>
      <c r="K301" s="418" t="s">
        <v>44</v>
      </c>
      <c r="L301" s="418" t="s">
        <v>772</v>
      </c>
      <c r="M301" s="70" t="s">
        <v>795</v>
      </c>
      <c r="N301" s="70">
        <v>20.182987000000001</v>
      </c>
      <c r="O301" s="70">
        <v>92.804803000000007</v>
      </c>
      <c r="P301" s="70" t="s">
        <v>773</v>
      </c>
      <c r="Q301" s="70" t="s">
        <v>780</v>
      </c>
      <c r="R301" s="421">
        <v>41</v>
      </c>
      <c r="S301" s="422">
        <v>226</v>
      </c>
      <c r="T301" s="104"/>
      <c r="U301" s="100"/>
      <c r="V301" s="418" t="s">
        <v>867</v>
      </c>
      <c r="W301" s="421"/>
      <c r="X301" s="539"/>
      <c r="Y301" s="539"/>
      <c r="Z301" s="539"/>
    </row>
    <row r="302" spans="1:26" s="70" customFormat="1" ht="14.25" customHeight="1">
      <c r="A302" s="422" t="s">
        <v>2706</v>
      </c>
      <c r="B302" s="425" t="s">
        <v>299</v>
      </c>
      <c r="C302" s="426" t="s">
        <v>419</v>
      </c>
      <c r="D302" s="420" t="s">
        <v>1654</v>
      </c>
      <c r="E302" s="70">
        <v>196200</v>
      </c>
      <c r="J302" s="70" t="s">
        <v>804</v>
      </c>
      <c r="K302" s="70" t="s">
        <v>798</v>
      </c>
      <c r="L302" s="70" t="s">
        <v>804</v>
      </c>
      <c r="M302" s="70" t="s">
        <v>795</v>
      </c>
      <c r="N302" s="70">
        <v>20.143859859999999</v>
      </c>
      <c r="O302" s="70">
        <v>92.867576600000007</v>
      </c>
      <c r="P302" s="70" t="s">
        <v>923</v>
      </c>
      <c r="Q302" s="70" t="s">
        <v>762</v>
      </c>
      <c r="R302" s="429"/>
      <c r="S302" s="422"/>
      <c r="T302" s="104">
        <v>42811</v>
      </c>
      <c r="U302" s="100"/>
      <c r="W302" s="421"/>
      <c r="X302" s="539"/>
      <c r="Y302" s="539"/>
      <c r="Z302" s="539"/>
    </row>
    <row r="303" spans="1:26" s="70" customFormat="1" ht="14.25" customHeight="1">
      <c r="A303" s="422" t="s">
        <v>2706</v>
      </c>
      <c r="B303" s="419" t="s">
        <v>299</v>
      </c>
      <c r="C303" s="419" t="s">
        <v>2641</v>
      </c>
      <c r="D303" s="470"/>
      <c r="E303" s="70">
        <v>196203</v>
      </c>
      <c r="F303" s="419"/>
      <c r="J303" s="70" t="s">
        <v>798</v>
      </c>
      <c r="K303" s="419" t="s">
        <v>798</v>
      </c>
      <c r="L303" s="419" t="s">
        <v>798</v>
      </c>
      <c r="N303" s="70">
        <v>20.142469406127901</v>
      </c>
      <c r="O303" s="70">
        <v>92.863967895507798</v>
      </c>
      <c r="R303" s="425"/>
      <c r="S303" s="426"/>
      <c r="T303" s="104"/>
      <c r="U303" s="100"/>
      <c r="W303" s="421"/>
      <c r="X303" s="539"/>
      <c r="Y303" s="539"/>
      <c r="Z303" s="539"/>
    </row>
    <row r="304" spans="1:26" s="70" customFormat="1" ht="14.25" customHeight="1">
      <c r="A304" s="422" t="s">
        <v>2706</v>
      </c>
      <c r="B304" s="419" t="s">
        <v>299</v>
      </c>
      <c r="C304" s="419" t="s">
        <v>2628</v>
      </c>
      <c r="D304" s="470"/>
      <c r="E304" s="70">
        <v>196132</v>
      </c>
      <c r="J304" s="70" t="s">
        <v>798</v>
      </c>
      <c r="K304" s="418" t="s">
        <v>798</v>
      </c>
      <c r="L304" s="418" t="s">
        <v>798</v>
      </c>
      <c r="R304" s="421"/>
      <c r="S304" s="421"/>
      <c r="T304" s="104"/>
      <c r="U304" s="100"/>
      <c r="W304" s="421"/>
      <c r="X304" s="539"/>
      <c r="Y304" s="539"/>
      <c r="Z304" s="539"/>
    </row>
    <row r="305" spans="1:26" s="70" customFormat="1" ht="14.25" customHeight="1">
      <c r="A305" s="422" t="s">
        <v>2706</v>
      </c>
      <c r="B305" s="425" t="s">
        <v>299</v>
      </c>
      <c r="C305" s="426" t="s">
        <v>459</v>
      </c>
      <c r="D305" s="420" t="s">
        <v>1654</v>
      </c>
      <c r="E305" s="70">
        <v>196172</v>
      </c>
      <c r="J305" s="70" t="s">
        <v>804</v>
      </c>
      <c r="K305" s="70" t="s">
        <v>798</v>
      </c>
      <c r="L305" s="70" t="s">
        <v>804</v>
      </c>
      <c r="M305" s="70" t="s">
        <v>298</v>
      </c>
      <c r="N305" s="70">
        <v>20.286720280000001</v>
      </c>
      <c r="O305" s="70">
        <v>92.882843019999996</v>
      </c>
      <c r="P305" s="70" t="s">
        <v>923</v>
      </c>
      <c r="Q305" s="70" t="s">
        <v>762</v>
      </c>
      <c r="R305" s="429"/>
      <c r="S305" s="422"/>
      <c r="T305" s="104">
        <v>42811</v>
      </c>
      <c r="U305" s="100"/>
      <c r="V305" s="418"/>
      <c r="W305" s="421"/>
      <c r="X305" s="539"/>
      <c r="Y305" s="539"/>
      <c r="Z305" s="539"/>
    </row>
    <row r="306" spans="1:26" s="70" customFormat="1" ht="14.25" customHeight="1">
      <c r="A306" s="422" t="s">
        <v>2706</v>
      </c>
      <c r="B306" s="425" t="s">
        <v>299</v>
      </c>
      <c r="C306" s="426" t="s">
        <v>428</v>
      </c>
      <c r="D306" s="470" t="s">
        <v>3183</v>
      </c>
      <c r="E306" s="70" t="s">
        <v>1355</v>
      </c>
      <c r="F306" s="70" t="s">
        <v>419</v>
      </c>
      <c r="G306" s="70" t="s">
        <v>1741</v>
      </c>
      <c r="H306" s="70" t="s">
        <v>42</v>
      </c>
      <c r="J306" s="70" t="s">
        <v>44</v>
      </c>
      <c r="K306" s="70" t="s">
        <v>44</v>
      </c>
      <c r="L306" s="70" t="s">
        <v>794</v>
      </c>
      <c r="M306" s="70" t="s">
        <v>795</v>
      </c>
      <c r="N306" s="70">
        <v>20.16846</v>
      </c>
      <c r="O306" s="70">
        <v>92.827427</v>
      </c>
      <c r="P306" s="70" t="s">
        <v>761</v>
      </c>
      <c r="Q306" s="70" t="s">
        <v>780</v>
      </c>
      <c r="R306" s="421">
        <v>1850</v>
      </c>
      <c r="S306" s="99">
        <v>11160</v>
      </c>
      <c r="T306" s="104"/>
      <c r="U306" s="100"/>
      <c r="V306" s="70" t="s">
        <v>428</v>
      </c>
      <c r="W306" s="421"/>
      <c r="X306" s="539">
        <v>92</v>
      </c>
      <c r="Y306" s="539">
        <v>645</v>
      </c>
      <c r="Z306" s="539">
        <v>737</v>
      </c>
    </row>
    <row r="307" spans="1:26" s="70" customFormat="1" ht="14.25" customHeight="1">
      <c r="A307" s="422" t="s">
        <v>2706</v>
      </c>
      <c r="B307" s="425" t="s">
        <v>299</v>
      </c>
      <c r="C307" s="426" t="s">
        <v>427</v>
      </c>
      <c r="D307" s="470" t="s">
        <v>3183</v>
      </c>
      <c r="E307" s="70" t="s">
        <v>1354</v>
      </c>
      <c r="F307" s="70" t="s">
        <v>419</v>
      </c>
      <c r="G307" s="70" t="s">
        <v>1741</v>
      </c>
      <c r="H307" s="70" t="s">
        <v>42</v>
      </c>
      <c r="J307" s="70" t="s">
        <v>44</v>
      </c>
      <c r="K307" s="70" t="s">
        <v>44</v>
      </c>
      <c r="L307" s="70" t="s">
        <v>772</v>
      </c>
      <c r="M307" s="70" t="s">
        <v>795</v>
      </c>
      <c r="N307" s="70">
        <v>20.167421999999998</v>
      </c>
      <c r="O307" s="70">
        <v>92.830074999999994</v>
      </c>
      <c r="P307" s="70" t="s">
        <v>773</v>
      </c>
      <c r="R307" s="421">
        <v>518</v>
      </c>
      <c r="S307" s="99">
        <v>2951</v>
      </c>
      <c r="T307" s="104"/>
      <c r="U307" s="100" t="s">
        <v>857</v>
      </c>
      <c r="V307" s="70" t="s">
        <v>858</v>
      </c>
      <c r="W307" s="421"/>
      <c r="X307" s="539"/>
      <c r="Y307" s="539"/>
      <c r="Z307" s="539"/>
    </row>
    <row r="308" spans="1:26" s="70" customFormat="1" ht="14.25" customHeight="1">
      <c r="A308" s="422" t="s">
        <v>2706</v>
      </c>
      <c r="B308" s="425" t="s">
        <v>299</v>
      </c>
      <c r="C308" s="426" t="s">
        <v>302</v>
      </c>
      <c r="D308" s="420" t="s">
        <v>1654</v>
      </c>
      <c r="J308" s="418" t="s">
        <v>798</v>
      </c>
      <c r="K308" s="418" t="s">
        <v>798</v>
      </c>
      <c r="L308" s="70" t="s">
        <v>798</v>
      </c>
      <c r="M308" s="70" t="s">
        <v>795</v>
      </c>
      <c r="P308" s="70" t="s">
        <v>799</v>
      </c>
      <c r="Q308" s="70" t="s">
        <v>780</v>
      </c>
      <c r="R308" s="429"/>
      <c r="S308" s="422"/>
      <c r="T308" s="104"/>
      <c r="U308" s="100"/>
      <c r="V308" s="418" t="s">
        <v>302</v>
      </c>
      <c r="W308" s="421"/>
      <c r="X308" s="539"/>
      <c r="Y308" s="539"/>
      <c r="Z308" s="539"/>
    </row>
    <row r="309" spans="1:26" s="70" customFormat="1" ht="14.25" customHeight="1">
      <c r="A309" s="422" t="s">
        <v>2706</v>
      </c>
      <c r="B309" s="419" t="s">
        <v>299</v>
      </c>
      <c r="C309" s="426" t="s">
        <v>2642</v>
      </c>
      <c r="D309" s="420"/>
      <c r="E309" s="70">
        <v>196202</v>
      </c>
      <c r="F309" s="70" t="s">
        <v>419</v>
      </c>
      <c r="J309" s="70" t="s">
        <v>798</v>
      </c>
      <c r="K309" s="70" t="s">
        <v>798</v>
      </c>
      <c r="L309" s="419" t="s">
        <v>798</v>
      </c>
      <c r="N309" s="70">
        <v>20.170469284057599</v>
      </c>
      <c r="O309" s="70">
        <v>92.8343505859375</v>
      </c>
      <c r="R309" s="429"/>
      <c r="S309" s="422"/>
      <c r="T309" s="104"/>
      <c r="U309" s="100"/>
      <c r="W309" s="421"/>
      <c r="X309" s="539"/>
      <c r="Y309" s="539"/>
      <c r="Z309" s="539"/>
    </row>
    <row r="310" spans="1:26" s="70" customFormat="1" ht="14.25" customHeight="1">
      <c r="A310" s="422" t="s">
        <v>2706</v>
      </c>
      <c r="B310" s="419" t="s">
        <v>299</v>
      </c>
      <c r="C310" s="419" t="s">
        <v>1741</v>
      </c>
      <c r="D310" s="470"/>
      <c r="E310" s="70">
        <v>196206</v>
      </c>
      <c r="F310" s="419" t="s">
        <v>419</v>
      </c>
      <c r="J310" s="70" t="s">
        <v>798</v>
      </c>
      <c r="K310" s="419" t="s">
        <v>798</v>
      </c>
      <c r="L310" s="419" t="s">
        <v>798</v>
      </c>
      <c r="N310" s="70">
        <v>20.168970108032202</v>
      </c>
      <c r="O310" s="70">
        <v>92.826896667480497</v>
      </c>
      <c r="R310" s="421"/>
      <c r="S310" s="99"/>
      <c r="T310" s="104"/>
      <c r="U310" s="100"/>
      <c r="V310" s="418"/>
      <c r="W310" s="421"/>
      <c r="X310" s="539"/>
      <c r="Y310" s="539"/>
      <c r="Z310" s="539"/>
    </row>
    <row r="311" spans="1:26" s="70" customFormat="1" ht="14.25" customHeight="1">
      <c r="A311" s="422" t="s">
        <v>2706</v>
      </c>
      <c r="B311" s="425" t="s">
        <v>299</v>
      </c>
      <c r="C311" s="426" t="s">
        <v>1877</v>
      </c>
      <c r="D311" s="420" t="s">
        <v>1874</v>
      </c>
      <c r="J311" s="70" t="s">
        <v>798</v>
      </c>
      <c r="K311" s="70" t="s">
        <v>798</v>
      </c>
      <c r="L311" s="70" t="s">
        <v>798</v>
      </c>
      <c r="P311" s="70" t="s">
        <v>799</v>
      </c>
      <c r="R311" s="429"/>
      <c r="S311" s="422"/>
      <c r="T311" s="104"/>
      <c r="U311" s="100"/>
      <c r="W311" s="421"/>
      <c r="X311" s="539"/>
      <c r="Y311" s="539"/>
      <c r="Z311" s="539"/>
    </row>
    <row r="312" spans="1:26" s="70" customFormat="1" ht="14.25" customHeight="1">
      <c r="A312" s="422" t="s">
        <v>2706</v>
      </c>
      <c r="B312" s="425" t="s">
        <v>299</v>
      </c>
      <c r="C312" s="426" t="s">
        <v>447</v>
      </c>
      <c r="D312" s="420" t="s">
        <v>1654</v>
      </c>
      <c r="E312" s="70">
        <v>196140</v>
      </c>
      <c r="F312" s="418"/>
      <c r="J312" s="70" t="s">
        <v>798</v>
      </c>
      <c r="K312" s="418" t="s">
        <v>798</v>
      </c>
      <c r="L312" s="418" t="s">
        <v>798</v>
      </c>
      <c r="M312" s="70" t="s">
        <v>298</v>
      </c>
      <c r="N312" s="70">
        <v>20.218299999999999</v>
      </c>
      <c r="O312" s="70">
        <v>92.805999999999997</v>
      </c>
      <c r="P312" s="70" t="s">
        <v>799</v>
      </c>
      <c r="Q312" s="70" t="s">
        <v>780</v>
      </c>
      <c r="R312" s="429"/>
      <c r="S312" s="99"/>
      <c r="T312" s="104"/>
      <c r="U312" s="100"/>
      <c r="V312" s="70" t="s">
        <v>447</v>
      </c>
      <c r="W312" s="421"/>
      <c r="X312" s="539"/>
      <c r="Y312" s="539"/>
      <c r="Z312" s="539"/>
    </row>
    <row r="313" spans="1:26" s="70" customFormat="1" ht="14.25" customHeight="1">
      <c r="A313" s="422" t="s">
        <v>2706</v>
      </c>
      <c r="B313" s="425" t="s">
        <v>299</v>
      </c>
      <c r="C313" s="426" t="s">
        <v>850</v>
      </c>
      <c r="D313" s="420" t="s">
        <v>1655</v>
      </c>
      <c r="E313" s="70" t="s">
        <v>1350</v>
      </c>
      <c r="F313" s="70" t="s">
        <v>1686</v>
      </c>
      <c r="G313" s="70">
        <v>0</v>
      </c>
      <c r="J313" s="70" t="s">
        <v>44</v>
      </c>
      <c r="K313" s="70" t="s">
        <v>44</v>
      </c>
      <c r="L313" s="70" t="s">
        <v>760</v>
      </c>
      <c r="N313" s="70">
        <v>20.153129</v>
      </c>
      <c r="O313" s="70">
        <v>92.897177999999997</v>
      </c>
      <c r="P313" s="70" t="s">
        <v>761</v>
      </c>
      <c r="R313" s="429"/>
      <c r="S313" s="99"/>
      <c r="T313" s="104"/>
      <c r="U313" s="100"/>
      <c r="V313" s="70" t="s">
        <v>851</v>
      </c>
      <c r="W313" s="421"/>
      <c r="X313" s="539"/>
      <c r="Y313" s="539"/>
      <c r="Z313" s="539"/>
    </row>
    <row r="314" spans="1:26" s="70" customFormat="1" ht="14.25" customHeight="1">
      <c r="A314" s="422" t="s">
        <v>2706</v>
      </c>
      <c r="B314" s="419" t="s">
        <v>299</v>
      </c>
      <c r="C314" s="419" t="s">
        <v>2635</v>
      </c>
      <c r="D314" s="470"/>
      <c r="E314" s="419">
        <v>196126</v>
      </c>
      <c r="F314" s="70" t="s">
        <v>2637</v>
      </c>
      <c r="J314" s="70" t="s">
        <v>798</v>
      </c>
      <c r="K314" s="419" t="s">
        <v>798</v>
      </c>
      <c r="L314" s="419" t="s">
        <v>798</v>
      </c>
      <c r="N314" s="418">
        <v>20.199499130248999</v>
      </c>
      <c r="O314" s="418">
        <v>92.834327697753906</v>
      </c>
      <c r="R314" s="421"/>
      <c r="S314" s="99"/>
      <c r="T314" s="104"/>
      <c r="U314" s="100"/>
      <c r="W314" s="421"/>
      <c r="X314" s="539"/>
      <c r="Y314" s="539"/>
      <c r="Z314" s="539"/>
    </row>
    <row r="315" spans="1:26" s="70" customFormat="1" ht="14.25" customHeight="1">
      <c r="A315" s="422" t="s">
        <v>2706</v>
      </c>
      <c r="B315" s="419" t="s">
        <v>299</v>
      </c>
      <c r="C315" s="419" t="s">
        <v>2636</v>
      </c>
      <c r="D315" s="470"/>
      <c r="E315" s="70">
        <v>196128</v>
      </c>
      <c r="F315" s="418" t="s">
        <v>2637</v>
      </c>
      <c r="J315" s="70" t="s">
        <v>798</v>
      </c>
      <c r="K315" s="419" t="s">
        <v>798</v>
      </c>
      <c r="L315" s="419" t="s">
        <v>798</v>
      </c>
      <c r="N315" s="70">
        <v>20.194370269775401</v>
      </c>
      <c r="O315" s="70">
        <v>92.834007263183594</v>
      </c>
      <c r="R315" s="421"/>
      <c r="S315" s="421"/>
      <c r="T315" s="104"/>
      <c r="U315" s="100"/>
      <c r="W315" s="421"/>
      <c r="X315" s="539"/>
      <c r="Y315" s="539"/>
      <c r="Z315" s="539"/>
    </row>
    <row r="316" spans="1:26" s="70" customFormat="1" ht="14.25" customHeight="1">
      <c r="A316" s="422" t="s">
        <v>2706</v>
      </c>
      <c r="B316" s="425" t="s">
        <v>299</v>
      </c>
      <c r="C316" s="426" t="s">
        <v>439</v>
      </c>
      <c r="D316" s="420" t="s">
        <v>1654</v>
      </c>
      <c r="E316" s="419">
        <v>196128</v>
      </c>
      <c r="F316" s="418"/>
      <c r="J316" s="70" t="s">
        <v>804</v>
      </c>
      <c r="K316" s="70" t="s">
        <v>798</v>
      </c>
      <c r="L316" s="70" t="s">
        <v>804</v>
      </c>
      <c r="M316" s="70" t="s">
        <v>795</v>
      </c>
      <c r="N316" s="70">
        <v>20.19437027</v>
      </c>
      <c r="O316" s="70">
        <v>92.834007260000007</v>
      </c>
      <c r="P316" s="70" t="s">
        <v>923</v>
      </c>
      <c r="Q316" s="70" t="s">
        <v>762</v>
      </c>
      <c r="R316" s="429"/>
      <c r="S316" s="99"/>
      <c r="T316" s="104">
        <v>42811</v>
      </c>
      <c r="U316" s="100"/>
      <c r="W316" s="421"/>
      <c r="X316" s="539"/>
      <c r="Y316" s="539"/>
      <c r="Z316" s="539"/>
    </row>
    <row r="317" spans="1:26" s="70" customFormat="1" ht="14.25" customHeight="1">
      <c r="A317" s="422" t="s">
        <v>2706</v>
      </c>
      <c r="B317" s="425" t="s">
        <v>299</v>
      </c>
      <c r="C317" s="426" t="s">
        <v>433</v>
      </c>
      <c r="D317" s="420" t="s">
        <v>1874</v>
      </c>
      <c r="E317" s="70">
        <v>196197</v>
      </c>
      <c r="J317" s="70" t="s">
        <v>798</v>
      </c>
      <c r="K317" s="70" t="s">
        <v>798</v>
      </c>
      <c r="L317" s="70" t="s">
        <v>798</v>
      </c>
      <c r="N317" s="70">
        <v>20.183790210000002</v>
      </c>
      <c r="O317" s="70">
        <v>92.864143369999994</v>
      </c>
      <c r="P317" s="70" t="s">
        <v>799</v>
      </c>
      <c r="R317" s="429"/>
      <c r="S317" s="99"/>
      <c r="T317" s="104"/>
      <c r="U317" s="100"/>
      <c r="W317" s="421"/>
      <c r="X317" s="539"/>
      <c r="Y317" s="539"/>
      <c r="Z317" s="539"/>
    </row>
    <row r="318" spans="1:26" s="70" customFormat="1" ht="14.25" customHeight="1">
      <c r="A318" s="422" t="s">
        <v>2706</v>
      </c>
      <c r="B318" s="419" t="s">
        <v>299</v>
      </c>
      <c r="C318" s="419" t="s">
        <v>2629</v>
      </c>
      <c r="D318" s="470"/>
      <c r="E318" s="70">
        <v>196135</v>
      </c>
      <c r="J318" s="70" t="s">
        <v>798</v>
      </c>
      <c r="K318" s="70" t="s">
        <v>798</v>
      </c>
      <c r="L318" s="70" t="s">
        <v>798</v>
      </c>
      <c r="R318" s="421"/>
      <c r="S318" s="421"/>
      <c r="T318" s="104"/>
      <c r="U318" s="100"/>
      <c r="W318" s="421"/>
      <c r="X318" s="539"/>
      <c r="Y318" s="539"/>
      <c r="Z318" s="539"/>
    </row>
    <row r="319" spans="1:26" s="70" customFormat="1" ht="14.25" customHeight="1">
      <c r="A319" s="422" t="s">
        <v>2706</v>
      </c>
      <c r="B319" s="419" t="s">
        <v>299</v>
      </c>
      <c r="C319" s="419" t="s">
        <v>2630</v>
      </c>
      <c r="D319" s="470"/>
      <c r="E319" s="70">
        <v>196134</v>
      </c>
      <c r="F319" s="70" t="s">
        <v>2760</v>
      </c>
      <c r="J319" s="70" t="s">
        <v>798</v>
      </c>
      <c r="K319" s="70" t="s">
        <v>798</v>
      </c>
      <c r="L319" s="70" t="s">
        <v>798</v>
      </c>
      <c r="N319" s="70">
        <v>20.187860488891602</v>
      </c>
      <c r="O319" s="70">
        <v>92.903419494628906</v>
      </c>
      <c r="R319" s="421"/>
      <c r="S319" s="422"/>
      <c r="T319" s="104"/>
      <c r="U319" s="100"/>
      <c r="W319" s="421"/>
      <c r="X319" s="539"/>
      <c r="Y319" s="539"/>
      <c r="Z319" s="539"/>
    </row>
    <row r="320" spans="1:26" s="70" customFormat="1" ht="14.25" customHeight="1">
      <c r="A320" s="422" t="s">
        <v>2706</v>
      </c>
      <c r="B320" s="419" t="s">
        <v>299</v>
      </c>
      <c r="C320" s="419" t="s">
        <v>2025</v>
      </c>
      <c r="D320" s="470"/>
      <c r="E320" s="418">
        <v>196160</v>
      </c>
      <c r="F320" s="418" t="s">
        <v>2025</v>
      </c>
      <c r="G320" s="418"/>
      <c r="H320" s="418"/>
      <c r="I320" s="418"/>
      <c r="J320" s="70" t="s">
        <v>798</v>
      </c>
      <c r="K320" s="419" t="s">
        <v>798</v>
      </c>
      <c r="L320" s="419" t="s">
        <v>798</v>
      </c>
      <c r="M320" s="418"/>
      <c r="N320" s="418">
        <v>20.246250152587901</v>
      </c>
      <c r="O320" s="418">
        <v>92.822059631347699</v>
      </c>
      <c r="Q320" s="418"/>
      <c r="R320" s="421"/>
      <c r="S320" s="422"/>
      <c r="T320" s="441"/>
      <c r="U320" s="423"/>
      <c r="V320" s="418" t="s">
        <v>2767</v>
      </c>
      <c r="W320" s="421"/>
      <c r="X320" s="539"/>
      <c r="Y320" s="539"/>
      <c r="Z320" s="539"/>
    </row>
    <row r="321" spans="1:26" s="70" customFormat="1" ht="14.25" customHeight="1">
      <c r="A321" s="422" t="s">
        <v>2706</v>
      </c>
      <c r="B321" s="425" t="s">
        <v>299</v>
      </c>
      <c r="C321" s="426" t="s">
        <v>2309</v>
      </c>
      <c r="D321" s="470" t="s">
        <v>3183</v>
      </c>
      <c r="E321" s="418" t="s">
        <v>1362</v>
      </c>
      <c r="F321" s="70" t="s">
        <v>1661</v>
      </c>
      <c r="G321" s="70" t="s">
        <v>1661</v>
      </c>
      <c r="H321" s="70" t="s">
        <v>42</v>
      </c>
      <c r="I321" s="418"/>
      <c r="J321" s="70" t="s">
        <v>44</v>
      </c>
      <c r="K321" s="418" t="s">
        <v>44</v>
      </c>
      <c r="L321" s="418" t="s">
        <v>794</v>
      </c>
      <c r="M321" s="70" t="s">
        <v>795</v>
      </c>
      <c r="N321" s="70">
        <v>20.181778000000001</v>
      </c>
      <c r="O321" s="418">
        <v>92.823166999999998</v>
      </c>
      <c r="P321" s="70" t="s">
        <v>761</v>
      </c>
      <c r="Q321" s="70" t="s">
        <v>780</v>
      </c>
      <c r="R321" s="421">
        <v>400</v>
      </c>
      <c r="S321" s="422">
        <v>2333</v>
      </c>
      <c r="T321" s="104"/>
      <c r="U321" s="100"/>
      <c r="V321" s="70" t="s">
        <v>866</v>
      </c>
      <c r="W321" s="421"/>
      <c r="X321" s="539">
        <v>47</v>
      </c>
      <c r="Y321" s="539">
        <v>312</v>
      </c>
      <c r="Z321" s="539">
        <v>359</v>
      </c>
    </row>
    <row r="322" spans="1:26" s="70" customFormat="1" ht="14.25" customHeight="1">
      <c r="A322" s="422" t="s">
        <v>2706</v>
      </c>
      <c r="B322" s="425" t="s">
        <v>299</v>
      </c>
      <c r="C322" s="426" t="s">
        <v>2310</v>
      </c>
      <c r="D322" s="470" t="s">
        <v>3183</v>
      </c>
      <c r="E322" s="70" t="s">
        <v>1362</v>
      </c>
      <c r="F322" s="70" t="s">
        <v>1661</v>
      </c>
      <c r="G322" s="70">
        <v>0</v>
      </c>
      <c r="J322" s="70" t="s">
        <v>44</v>
      </c>
      <c r="K322" s="70" t="s">
        <v>44</v>
      </c>
      <c r="L322" s="70" t="s">
        <v>794</v>
      </c>
      <c r="M322" s="70" t="s">
        <v>795</v>
      </c>
      <c r="N322" s="70">
        <v>20.180194</v>
      </c>
      <c r="O322" s="70">
        <v>92.816638999999995</v>
      </c>
      <c r="P322" s="70" t="s">
        <v>761</v>
      </c>
      <c r="Q322" s="70" t="s">
        <v>780</v>
      </c>
      <c r="R322" s="421">
        <v>399</v>
      </c>
      <c r="S322" s="99">
        <v>2176</v>
      </c>
      <c r="T322" s="104">
        <v>43488</v>
      </c>
      <c r="U322" s="100"/>
      <c r="V322" s="70" t="s">
        <v>864</v>
      </c>
      <c r="W322" s="421"/>
      <c r="X322" s="539">
        <v>68</v>
      </c>
      <c r="Y322" s="539">
        <v>265</v>
      </c>
      <c r="Z322" s="539">
        <v>333</v>
      </c>
    </row>
    <row r="323" spans="1:26" s="70" customFormat="1" ht="14.25" customHeight="1">
      <c r="A323" s="422" t="s">
        <v>2706</v>
      </c>
      <c r="B323" s="425" t="s">
        <v>299</v>
      </c>
      <c r="C323" s="426" t="s">
        <v>2644</v>
      </c>
      <c r="D323" s="420"/>
      <c r="E323" s="70">
        <v>196195</v>
      </c>
      <c r="J323" s="70" t="s">
        <v>798</v>
      </c>
      <c r="K323" s="70" t="s">
        <v>798</v>
      </c>
      <c r="L323" s="70" t="s">
        <v>798</v>
      </c>
      <c r="N323" s="418">
        <v>20.172649383544901</v>
      </c>
      <c r="O323" s="418">
        <v>92.874351501464801</v>
      </c>
      <c r="R323" s="429"/>
      <c r="S323" s="99"/>
      <c r="T323" s="104"/>
      <c r="U323" s="100"/>
      <c r="W323" s="421"/>
      <c r="X323" s="539"/>
      <c r="Y323" s="539"/>
      <c r="Z323" s="539"/>
    </row>
    <row r="324" spans="1:26" s="70" customFormat="1" ht="14.25" customHeight="1">
      <c r="A324" s="422" t="s">
        <v>2706</v>
      </c>
      <c r="B324" s="425" t="s">
        <v>299</v>
      </c>
      <c r="C324" s="426" t="s">
        <v>2645</v>
      </c>
      <c r="D324" s="420"/>
      <c r="J324" s="70" t="s">
        <v>798</v>
      </c>
      <c r="K324" s="418" t="s">
        <v>798</v>
      </c>
      <c r="L324" s="70" t="s">
        <v>798</v>
      </c>
      <c r="O324" s="418"/>
      <c r="R324" s="429"/>
      <c r="S324" s="422"/>
      <c r="T324" s="104"/>
      <c r="U324" s="100"/>
      <c r="W324" s="421"/>
      <c r="X324" s="539"/>
      <c r="Y324" s="539"/>
      <c r="Z324" s="539"/>
    </row>
    <row r="325" spans="1:26" s="70" customFormat="1" ht="14.25" customHeight="1">
      <c r="A325" s="422" t="s">
        <v>2706</v>
      </c>
      <c r="B325" s="425" t="s">
        <v>299</v>
      </c>
      <c r="C325" s="426" t="s">
        <v>2021</v>
      </c>
      <c r="D325" s="420"/>
      <c r="E325" s="70">
        <v>196180</v>
      </c>
      <c r="F325" s="70" t="s">
        <v>2022</v>
      </c>
      <c r="J325" s="70" t="s">
        <v>798</v>
      </c>
      <c r="K325" s="70" t="s">
        <v>798</v>
      </c>
      <c r="L325" s="70" t="s">
        <v>798</v>
      </c>
      <c r="M325" s="70" t="s">
        <v>1910</v>
      </c>
      <c r="N325" s="70">
        <v>20.2315197</v>
      </c>
      <c r="O325" s="70">
        <v>92.876129149999997</v>
      </c>
      <c r="P325" s="70" t="s">
        <v>799</v>
      </c>
      <c r="R325" s="429"/>
      <c r="S325" s="99"/>
      <c r="T325" s="104">
        <v>43294</v>
      </c>
      <c r="U325" s="100"/>
      <c r="W325" s="421"/>
      <c r="X325" s="539"/>
      <c r="Y325" s="539"/>
      <c r="Z325" s="539"/>
    </row>
    <row r="326" spans="1:26" s="70" customFormat="1" ht="14.25" customHeight="1">
      <c r="A326" s="422" t="s">
        <v>2706</v>
      </c>
      <c r="B326" s="419" t="s">
        <v>299</v>
      </c>
      <c r="C326" s="419" t="s">
        <v>2634</v>
      </c>
      <c r="D326" s="470"/>
      <c r="E326" s="70">
        <v>196169</v>
      </c>
      <c r="F326" s="70" t="s">
        <v>2634</v>
      </c>
      <c r="J326" s="70" t="s">
        <v>798</v>
      </c>
      <c r="K326" s="70" t="s">
        <v>798</v>
      </c>
      <c r="L326" s="70" t="s">
        <v>798</v>
      </c>
      <c r="N326" s="70">
        <v>20.2375602722168</v>
      </c>
      <c r="O326" s="70">
        <v>92.861152648925795</v>
      </c>
      <c r="R326" s="421"/>
      <c r="S326" s="99"/>
      <c r="T326" s="104"/>
      <c r="U326" s="100"/>
      <c r="W326" s="421"/>
      <c r="X326" s="539"/>
      <c r="Y326" s="539"/>
      <c r="Z326" s="539"/>
    </row>
    <row r="327" spans="1:26" s="70" customFormat="1" ht="14.25" customHeight="1">
      <c r="A327" s="422" t="s">
        <v>2706</v>
      </c>
      <c r="B327" s="419" t="s">
        <v>299</v>
      </c>
      <c r="C327" s="419" t="s">
        <v>2633</v>
      </c>
      <c r="D327" s="470"/>
      <c r="E327" s="418">
        <v>196170</v>
      </c>
      <c r="F327" s="418" t="s">
        <v>2634</v>
      </c>
      <c r="G327" s="418"/>
      <c r="H327" s="418"/>
      <c r="I327" s="418"/>
      <c r="J327" s="70" t="s">
        <v>798</v>
      </c>
      <c r="K327" s="418" t="s">
        <v>798</v>
      </c>
      <c r="L327" s="418" t="s">
        <v>798</v>
      </c>
      <c r="M327" s="418"/>
      <c r="N327" s="418">
        <v>20.248519897460898</v>
      </c>
      <c r="O327" s="418">
        <v>92.8621826171875</v>
      </c>
      <c r="Q327" s="418"/>
      <c r="R327" s="421"/>
      <c r="S327" s="422"/>
      <c r="T327" s="441"/>
      <c r="U327" s="423"/>
      <c r="V327" s="418"/>
      <c r="W327" s="421"/>
      <c r="X327" s="539"/>
      <c r="Y327" s="539"/>
      <c r="Z327" s="539"/>
    </row>
    <row r="328" spans="1:26" s="70" customFormat="1" ht="14.25" customHeight="1">
      <c r="A328" s="422" t="s">
        <v>2706</v>
      </c>
      <c r="B328" s="419" t="s">
        <v>299</v>
      </c>
      <c r="C328" s="419" t="s">
        <v>2632</v>
      </c>
      <c r="D328" s="470"/>
      <c r="E328" s="418">
        <v>196166</v>
      </c>
      <c r="F328" s="418" t="s">
        <v>458</v>
      </c>
      <c r="J328" s="70" t="s">
        <v>798</v>
      </c>
      <c r="K328" s="418" t="s">
        <v>798</v>
      </c>
      <c r="L328" s="418" t="s">
        <v>798</v>
      </c>
      <c r="N328" s="70">
        <v>20.2630290985107</v>
      </c>
      <c r="O328" s="418">
        <v>92.858856201171903</v>
      </c>
      <c r="P328" s="418"/>
      <c r="Q328" s="418"/>
      <c r="R328" s="421"/>
      <c r="S328" s="422"/>
      <c r="T328" s="104"/>
      <c r="U328" s="100"/>
      <c r="V328" s="418"/>
      <c r="W328" s="421"/>
      <c r="X328" s="539"/>
      <c r="Y328" s="539"/>
      <c r="Z328" s="539"/>
    </row>
    <row r="329" spans="1:26" s="70" customFormat="1" ht="14.25" customHeight="1">
      <c r="A329" s="422" t="s">
        <v>2706</v>
      </c>
      <c r="B329" s="425" t="s">
        <v>299</v>
      </c>
      <c r="C329" s="426" t="s">
        <v>454</v>
      </c>
      <c r="D329" s="420" t="s">
        <v>1654</v>
      </c>
      <c r="E329" s="70">
        <v>196137</v>
      </c>
      <c r="F329" s="419" t="s">
        <v>454</v>
      </c>
      <c r="J329" s="70" t="s">
        <v>798</v>
      </c>
      <c r="K329" s="418" t="s">
        <v>798</v>
      </c>
      <c r="L329" s="418" t="s">
        <v>798</v>
      </c>
      <c r="M329" s="70" t="s">
        <v>298</v>
      </c>
      <c r="N329" s="70">
        <v>20.245159149999999</v>
      </c>
      <c r="O329" s="70">
        <v>92.807418819999995</v>
      </c>
      <c r="P329" s="70" t="s">
        <v>799</v>
      </c>
      <c r="Q329" s="70" t="s">
        <v>780</v>
      </c>
      <c r="R329" s="429"/>
      <c r="S329" s="99"/>
      <c r="T329" s="104"/>
      <c r="U329" s="100"/>
      <c r="V329" s="70" t="s">
        <v>454</v>
      </c>
      <c r="W329" s="421"/>
      <c r="X329" s="539"/>
      <c r="Y329" s="539"/>
      <c r="Z329" s="539"/>
    </row>
    <row r="330" spans="1:26" s="70" customFormat="1" ht="14.25" customHeight="1">
      <c r="A330" s="422" t="s">
        <v>2706</v>
      </c>
      <c r="B330" s="425" t="s">
        <v>299</v>
      </c>
      <c r="C330" s="426" t="s">
        <v>458</v>
      </c>
      <c r="D330" s="420" t="s">
        <v>1654</v>
      </c>
      <c r="E330" s="418">
        <v>196163</v>
      </c>
      <c r="F330" s="418"/>
      <c r="G330" s="418"/>
      <c r="H330" s="418"/>
      <c r="I330" s="418"/>
      <c r="J330" s="418" t="s">
        <v>804</v>
      </c>
      <c r="K330" s="418" t="s">
        <v>798</v>
      </c>
      <c r="L330" s="418" t="s">
        <v>804</v>
      </c>
      <c r="M330" s="418" t="s">
        <v>298</v>
      </c>
      <c r="N330" s="418">
        <v>20.27263069</v>
      </c>
      <c r="O330" s="418">
        <v>92.843261720000001</v>
      </c>
      <c r="P330" s="418" t="s">
        <v>923</v>
      </c>
      <c r="Q330" s="418" t="s">
        <v>762</v>
      </c>
      <c r="R330" s="429"/>
      <c r="S330" s="422"/>
      <c r="T330" s="441">
        <v>42811</v>
      </c>
      <c r="U330" s="423"/>
      <c r="V330" s="418"/>
      <c r="W330" s="421"/>
      <c r="X330" s="539"/>
      <c r="Y330" s="539"/>
      <c r="Z330" s="539"/>
    </row>
    <row r="331" spans="1:26" s="70" customFormat="1" ht="14.25" customHeight="1">
      <c r="A331" s="422" t="s">
        <v>2706</v>
      </c>
      <c r="B331" s="419" t="s">
        <v>299</v>
      </c>
      <c r="C331" s="419" t="s">
        <v>2637</v>
      </c>
      <c r="D331" s="470"/>
      <c r="E331" s="418">
        <v>196125</v>
      </c>
      <c r="F331" s="418" t="s">
        <v>2637</v>
      </c>
      <c r="J331" s="70" t="s">
        <v>798</v>
      </c>
      <c r="K331" s="419" t="s">
        <v>798</v>
      </c>
      <c r="L331" s="418" t="s">
        <v>798</v>
      </c>
      <c r="N331" s="70">
        <v>20.2105598449707</v>
      </c>
      <c r="O331" s="418">
        <v>92.836456298828097</v>
      </c>
      <c r="R331" s="421"/>
      <c r="S331" s="421"/>
      <c r="T331" s="104"/>
      <c r="U331" s="100"/>
      <c r="W331" s="421"/>
      <c r="X331" s="539"/>
      <c r="Y331" s="539"/>
      <c r="Z331" s="539"/>
    </row>
    <row r="332" spans="1:26" s="70" customFormat="1" ht="14.25" customHeight="1">
      <c r="A332" s="422" t="s">
        <v>2706</v>
      </c>
      <c r="B332" s="425" t="s">
        <v>299</v>
      </c>
      <c r="C332" s="426" t="s">
        <v>435</v>
      </c>
      <c r="D332" s="470" t="s">
        <v>3183</v>
      </c>
      <c r="E332" s="418" t="s">
        <v>1365</v>
      </c>
      <c r="F332" s="418" t="s">
        <v>419</v>
      </c>
      <c r="G332" s="418" t="s">
        <v>419</v>
      </c>
      <c r="H332" s="418" t="s">
        <v>42</v>
      </c>
      <c r="I332" s="418"/>
      <c r="J332" s="418" t="s">
        <v>44</v>
      </c>
      <c r="K332" s="418" t="s">
        <v>44</v>
      </c>
      <c r="L332" s="418" t="s">
        <v>794</v>
      </c>
      <c r="M332" s="418" t="s">
        <v>795</v>
      </c>
      <c r="N332" s="418">
        <v>20.185917</v>
      </c>
      <c r="O332" s="418">
        <v>92.831000000000003</v>
      </c>
      <c r="P332" s="418" t="s">
        <v>761</v>
      </c>
      <c r="Q332" s="418" t="s">
        <v>780</v>
      </c>
      <c r="R332" s="421">
        <v>656</v>
      </c>
      <c r="S332" s="422">
        <v>3626</v>
      </c>
      <c r="T332" s="441"/>
      <c r="U332" s="423"/>
      <c r="V332" s="418" t="s">
        <v>869</v>
      </c>
      <c r="W332" s="421"/>
      <c r="X332" s="539">
        <v>62</v>
      </c>
      <c r="Y332" s="539">
        <v>335</v>
      </c>
      <c r="Z332" s="539">
        <v>397</v>
      </c>
    </row>
    <row r="333" spans="1:26" s="70" customFormat="1" ht="14.25" customHeight="1">
      <c r="A333" s="422" t="s">
        <v>2706</v>
      </c>
      <c r="B333" s="425" t="s">
        <v>299</v>
      </c>
      <c r="C333" s="426" t="s">
        <v>451</v>
      </c>
      <c r="D333" s="420" t="s">
        <v>1654</v>
      </c>
      <c r="E333" s="70">
        <v>196139</v>
      </c>
      <c r="J333" s="70" t="s">
        <v>798</v>
      </c>
      <c r="K333" s="70" t="s">
        <v>798</v>
      </c>
      <c r="L333" s="70" t="s">
        <v>798</v>
      </c>
      <c r="M333" s="70" t="s">
        <v>795</v>
      </c>
      <c r="N333" s="70">
        <v>20.2302</v>
      </c>
      <c r="O333" s="70">
        <v>92.817999999999998</v>
      </c>
      <c r="P333" s="70" t="s">
        <v>799</v>
      </c>
      <c r="Q333" s="70" t="s">
        <v>780</v>
      </c>
      <c r="R333" s="429"/>
      <c r="S333" s="99"/>
      <c r="T333" s="104"/>
      <c r="U333" s="100"/>
      <c r="V333" s="70" t="s">
        <v>451</v>
      </c>
      <c r="W333" s="421"/>
      <c r="X333" s="539"/>
      <c r="Y333" s="539"/>
      <c r="Z333" s="539"/>
    </row>
    <row r="334" spans="1:26" s="70" customFormat="1" ht="14.25" customHeight="1">
      <c r="A334" s="422" t="s">
        <v>2706</v>
      </c>
      <c r="B334" s="425" t="s">
        <v>299</v>
      </c>
      <c r="C334" s="426" t="s">
        <v>1880</v>
      </c>
      <c r="D334" s="420" t="s">
        <v>1874</v>
      </c>
      <c r="F334" s="418"/>
      <c r="J334" s="70" t="s">
        <v>798</v>
      </c>
      <c r="K334" s="418" t="s">
        <v>798</v>
      </c>
      <c r="L334" s="418" t="s">
        <v>798</v>
      </c>
      <c r="P334" s="70" t="s">
        <v>799</v>
      </c>
      <c r="R334" s="429"/>
      <c r="S334" s="422"/>
      <c r="T334" s="104"/>
      <c r="U334" s="100"/>
      <c r="W334" s="421"/>
      <c r="X334" s="539"/>
      <c r="Y334" s="539"/>
      <c r="Z334" s="539"/>
    </row>
    <row r="335" spans="1:26" s="70" customFormat="1" ht="14.25" customHeight="1">
      <c r="A335" s="422" t="s">
        <v>2706</v>
      </c>
      <c r="B335" s="425" t="s">
        <v>299</v>
      </c>
      <c r="C335" s="426" t="s">
        <v>1878</v>
      </c>
      <c r="D335" s="420" t="s">
        <v>1874</v>
      </c>
      <c r="J335" s="70" t="s">
        <v>798</v>
      </c>
      <c r="K335" s="70" t="s">
        <v>798</v>
      </c>
      <c r="L335" s="70" t="s">
        <v>798</v>
      </c>
      <c r="P335" s="70" t="s">
        <v>799</v>
      </c>
      <c r="R335" s="429"/>
      <c r="S335" s="422"/>
      <c r="T335" s="104"/>
      <c r="U335" s="100"/>
      <c r="W335" s="421"/>
      <c r="X335" s="539"/>
      <c r="Y335" s="539"/>
      <c r="Z335" s="539"/>
    </row>
    <row r="336" spans="1:26" s="70" customFormat="1" ht="14.25" customHeight="1">
      <c r="A336" s="422" t="s">
        <v>2706</v>
      </c>
      <c r="B336" s="425" t="s">
        <v>299</v>
      </c>
      <c r="C336" s="426" t="s">
        <v>2028</v>
      </c>
      <c r="D336" s="420"/>
      <c r="J336" s="70" t="s">
        <v>798</v>
      </c>
      <c r="K336" s="418" t="s">
        <v>798</v>
      </c>
      <c r="L336" s="418" t="s">
        <v>798</v>
      </c>
      <c r="P336" s="70" t="s">
        <v>799</v>
      </c>
      <c r="R336" s="429"/>
      <c r="S336" s="422"/>
      <c r="T336" s="104">
        <v>43297</v>
      </c>
      <c r="U336" s="100"/>
      <c r="W336" s="421"/>
      <c r="X336" s="539"/>
      <c r="Y336" s="539"/>
      <c r="Z336" s="539"/>
    </row>
    <row r="337" spans="1:26" s="70" customFormat="1" ht="14.25" customHeight="1">
      <c r="A337" s="422" t="s">
        <v>2706</v>
      </c>
      <c r="B337" s="425" t="s">
        <v>299</v>
      </c>
      <c r="C337" s="426" t="s">
        <v>446</v>
      </c>
      <c r="D337" s="420" t="s">
        <v>1654</v>
      </c>
      <c r="E337" s="70">
        <v>196144</v>
      </c>
      <c r="J337" s="70" t="s">
        <v>798</v>
      </c>
      <c r="K337" s="418" t="s">
        <v>798</v>
      </c>
      <c r="L337" s="418" t="s">
        <v>798</v>
      </c>
      <c r="M337" s="70" t="s">
        <v>795</v>
      </c>
      <c r="N337" s="70">
        <v>20.212700000000002</v>
      </c>
      <c r="O337" s="70">
        <v>92.820800000000006</v>
      </c>
      <c r="P337" s="70" t="s">
        <v>799</v>
      </c>
      <c r="Q337" s="70" t="s">
        <v>780</v>
      </c>
      <c r="R337" s="429"/>
      <c r="S337" s="422"/>
      <c r="T337" s="104"/>
      <c r="U337" s="100"/>
      <c r="V337" s="70" t="s">
        <v>446</v>
      </c>
      <c r="W337" s="421"/>
      <c r="X337" s="539"/>
      <c r="Y337" s="539"/>
      <c r="Z337" s="539"/>
    </row>
    <row r="338" spans="1:26" s="70" customFormat="1" ht="14.25" customHeight="1">
      <c r="A338" s="422" t="s">
        <v>2706</v>
      </c>
      <c r="B338" s="425" t="s">
        <v>299</v>
      </c>
      <c r="C338" s="426" t="s">
        <v>875</v>
      </c>
      <c r="D338" s="420" t="s">
        <v>1654</v>
      </c>
      <c r="E338" s="70">
        <v>196145</v>
      </c>
      <c r="J338" s="70" t="s">
        <v>798</v>
      </c>
      <c r="K338" s="70" t="s">
        <v>798</v>
      </c>
      <c r="L338" s="70" t="s">
        <v>798</v>
      </c>
      <c r="M338" s="70" t="s">
        <v>795</v>
      </c>
      <c r="N338" s="70">
        <v>20.219509120000001</v>
      </c>
      <c r="O338" s="70">
        <v>92.811332699999994</v>
      </c>
      <c r="P338" s="70" t="s">
        <v>799</v>
      </c>
      <c r="Q338" s="70" t="s">
        <v>762</v>
      </c>
      <c r="R338" s="429"/>
      <c r="S338" s="422"/>
      <c r="T338" s="104">
        <v>42811</v>
      </c>
      <c r="U338" s="100"/>
      <c r="W338" s="421"/>
      <c r="X338" s="539"/>
      <c r="Y338" s="539"/>
      <c r="Z338" s="539"/>
    </row>
    <row r="339" spans="1:26" s="70" customFormat="1" ht="14.25" customHeight="1">
      <c r="A339" s="422" t="s">
        <v>2706</v>
      </c>
      <c r="B339" s="425" t="s">
        <v>299</v>
      </c>
      <c r="C339" s="426" t="s">
        <v>455</v>
      </c>
      <c r="D339" s="420" t="s">
        <v>1654</v>
      </c>
      <c r="E339" s="70">
        <v>196178</v>
      </c>
      <c r="J339" s="70" t="s">
        <v>804</v>
      </c>
      <c r="K339" s="70" t="s">
        <v>798</v>
      </c>
      <c r="L339" s="70" t="s">
        <v>804</v>
      </c>
      <c r="M339" s="70" t="s">
        <v>298</v>
      </c>
      <c r="N339" s="70">
        <v>20.26078987</v>
      </c>
      <c r="O339" s="70">
        <v>92.878593440000003</v>
      </c>
      <c r="P339" s="70" t="s">
        <v>923</v>
      </c>
      <c r="Q339" s="70" t="s">
        <v>762</v>
      </c>
      <c r="R339" s="429"/>
      <c r="S339" s="422"/>
      <c r="T339" s="104">
        <v>42811</v>
      </c>
      <c r="U339" s="100"/>
      <c r="W339" s="421"/>
      <c r="X339" s="539"/>
      <c r="Y339" s="539"/>
      <c r="Z339" s="539"/>
    </row>
    <row r="340" spans="1:26" s="70" customFormat="1" ht="14.25" customHeight="1">
      <c r="A340" s="422" t="s">
        <v>2706</v>
      </c>
      <c r="B340" s="425" t="s">
        <v>299</v>
      </c>
      <c r="C340" s="426" t="s">
        <v>445</v>
      </c>
      <c r="D340" s="470" t="s">
        <v>3183</v>
      </c>
      <c r="E340" s="70" t="s">
        <v>1368</v>
      </c>
      <c r="F340" s="70" t="s">
        <v>1743</v>
      </c>
      <c r="G340" s="70" t="s">
        <v>444</v>
      </c>
      <c r="H340" s="70" t="s">
        <v>42</v>
      </c>
      <c r="J340" s="70" t="s">
        <v>44</v>
      </c>
      <c r="K340" s="70" t="s">
        <v>44</v>
      </c>
      <c r="L340" s="70" t="s">
        <v>794</v>
      </c>
      <c r="M340" s="70" t="s">
        <v>795</v>
      </c>
      <c r="N340" s="70">
        <v>20.206778</v>
      </c>
      <c r="O340" s="70">
        <v>92.774193999999994</v>
      </c>
      <c r="P340" s="70" t="s">
        <v>761</v>
      </c>
      <c r="Q340" s="70" t="s">
        <v>780</v>
      </c>
      <c r="R340" s="421">
        <v>728</v>
      </c>
      <c r="S340" s="422">
        <v>4107</v>
      </c>
      <c r="T340" s="104"/>
      <c r="U340" s="100"/>
      <c r="V340" s="70" t="s">
        <v>445</v>
      </c>
      <c r="W340" s="421"/>
      <c r="X340" s="539">
        <v>12</v>
      </c>
      <c r="Y340" s="539">
        <v>359</v>
      </c>
      <c r="Z340" s="539">
        <v>371</v>
      </c>
    </row>
    <row r="341" spans="1:26" s="70" customFormat="1" ht="14.25" customHeight="1">
      <c r="A341" s="422" t="s">
        <v>2706</v>
      </c>
      <c r="B341" s="425" t="s">
        <v>299</v>
      </c>
      <c r="C341" s="426" t="s">
        <v>440</v>
      </c>
      <c r="D341" s="420" t="s">
        <v>1654</v>
      </c>
      <c r="E341" s="70">
        <v>196156</v>
      </c>
      <c r="F341" s="70" t="s">
        <v>1743</v>
      </c>
      <c r="J341" s="70" t="s">
        <v>798</v>
      </c>
      <c r="K341" s="70" t="s">
        <v>798</v>
      </c>
      <c r="L341" s="70" t="s">
        <v>798</v>
      </c>
      <c r="M341" s="70" t="s">
        <v>795</v>
      </c>
      <c r="N341" s="70">
        <v>20.197549819999999</v>
      </c>
      <c r="O341" s="70">
        <v>92.785682679999994</v>
      </c>
      <c r="P341" s="70" t="s">
        <v>799</v>
      </c>
      <c r="Q341" s="70" t="s">
        <v>780</v>
      </c>
      <c r="R341" s="429"/>
      <c r="S341" s="422"/>
      <c r="T341" s="104"/>
      <c r="U341" s="100"/>
      <c r="V341" s="70" t="s">
        <v>440</v>
      </c>
      <c r="W341" s="421"/>
      <c r="X341" s="539"/>
      <c r="Y341" s="539"/>
      <c r="Z341" s="539"/>
    </row>
    <row r="342" spans="1:26" s="70" customFormat="1" ht="14.25" customHeight="1">
      <c r="A342" s="422" t="s">
        <v>2706</v>
      </c>
      <c r="B342" s="425" t="s">
        <v>299</v>
      </c>
      <c r="C342" s="426" t="s">
        <v>436</v>
      </c>
      <c r="D342" s="470" t="s">
        <v>3183</v>
      </c>
      <c r="E342" s="70" t="s">
        <v>1366</v>
      </c>
      <c r="F342" s="70" t="s">
        <v>1661</v>
      </c>
      <c r="G342" s="70" t="s">
        <v>1687</v>
      </c>
      <c r="H342" s="70" t="s">
        <v>42</v>
      </c>
      <c r="J342" s="70" t="s">
        <v>44</v>
      </c>
      <c r="K342" s="70" t="s">
        <v>44</v>
      </c>
      <c r="L342" s="70" t="s">
        <v>794</v>
      </c>
      <c r="M342" s="70" t="s">
        <v>795</v>
      </c>
      <c r="N342" s="70">
        <v>20.18994</v>
      </c>
      <c r="O342" s="70">
        <v>92.798880999999994</v>
      </c>
      <c r="P342" s="70" t="s">
        <v>761</v>
      </c>
      <c r="Q342" s="70" t="s">
        <v>780</v>
      </c>
      <c r="R342" s="421">
        <v>2673</v>
      </c>
      <c r="S342" s="422">
        <v>13776</v>
      </c>
      <c r="T342" s="104"/>
      <c r="U342" s="100"/>
      <c r="V342" s="70" t="s">
        <v>870</v>
      </c>
      <c r="W342" s="421"/>
      <c r="X342" s="539">
        <v>214</v>
      </c>
      <c r="Y342" s="539">
        <v>1333</v>
      </c>
      <c r="Z342" s="539">
        <v>1547</v>
      </c>
    </row>
    <row r="343" spans="1:26" s="70" customFormat="1" ht="14.25" customHeight="1">
      <c r="A343" s="422" t="s">
        <v>2706</v>
      </c>
      <c r="B343" s="425" t="s">
        <v>299</v>
      </c>
      <c r="C343" s="426" t="s">
        <v>434</v>
      </c>
      <c r="D343" s="470" t="s">
        <v>3183</v>
      </c>
      <c r="E343" s="70" t="s">
        <v>1364</v>
      </c>
      <c r="F343" s="418" t="s">
        <v>1661</v>
      </c>
      <c r="G343" s="70" t="s">
        <v>1687</v>
      </c>
      <c r="H343" s="70" t="s">
        <v>42</v>
      </c>
      <c r="J343" s="70" t="s">
        <v>44</v>
      </c>
      <c r="K343" s="70" t="s">
        <v>44</v>
      </c>
      <c r="L343" s="70" t="s">
        <v>794</v>
      </c>
      <c r="M343" s="70" t="s">
        <v>795</v>
      </c>
      <c r="N343" s="70">
        <v>20.185092000000001</v>
      </c>
      <c r="O343" s="70">
        <v>92.802295999999998</v>
      </c>
      <c r="P343" s="70" t="s">
        <v>761</v>
      </c>
      <c r="Q343" s="70" t="s">
        <v>780</v>
      </c>
      <c r="R343" s="421">
        <v>2259</v>
      </c>
      <c r="S343" s="422">
        <v>11525</v>
      </c>
      <c r="T343" s="104"/>
      <c r="U343" s="100"/>
      <c r="V343" s="70" t="s">
        <v>868</v>
      </c>
      <c r="W343" s="421"/>
      <c r="X343" s="539">
        <v>218</v>
      </c>
      <c r="Y343" s="539">
        <v>1169</v>
      </c>
      <c r="Z343" s="539">
        <v>1387</v>
      </c>
    </row>
    <row r="344" spans="1:26" s="70" customFormat="1" ht="14.25" customHeight="1">
      <c r="A344" s="422" t="s">
        <v>2706</v>
      </c>
      <c r="B344" s="425" t="s">
        <v>299</v>
      </c>
      <c r="C344" s="426" t="s">
        <v>444</v>
      </c>
      <c r="D344" s="420" t="s">
        <v>1654</v>
      </c>
      <c r="E344" s="418">
        <v>196158</v>
      </c>
      <c r="F344" s="418"/>
      <c r="G344" s="418"/>
      <c r="H344" s="418"/>
      <c r="I344" s="418"/>
      <c r="J344" s="418" t="s">
        <v>804</v>
      </c>
      <c r="K344" s="70" t="s">
        <v>798</v>
      </c>
      <c r="L344" s="70" t="s">
        <v>804</v>
      </c>
      <c r="M344" s="70" t="s">
        <v>795</v>
      </c>
      <c r="N344" s="418">
        <v>20.2043705</v>
      </c>
      <c r="O344" s="418">
        <v>92.780357359999996</v>
      </c>
      <c r="P344" s="70" t="s">
        <v>923</v>
      </c>
      <c r="Q344" s="418" t="s">
        <v>762</v>
      </c>
      <c r="R344" s="429"/>
      <c r="S344" s="422"/>
      <c r="T344" s="441">
        <v>42811</v>
      </c>
      <c r="U344" s="423"/>
      <c r="V344" s="418"/>
      <c r="W344" s="421"/>
      <c r="X344" s="539"/>
      <c r="Y344" s="539"/>
      <c r="Z344" s="539"/>
    </row>
    <row r="345" spans="1:26" s="70" customFormat="1" ht="14.25" customHeight="1">
      <c r="A345" s="422" t="s">
        <v>2706</v>
      </c>
      <c r="B345" s="419" t="s">
        <v>299</v>
      </c>
      <c r="C345" s="419" t="s">
        <v>2639</v>
      </c>
      <c r="D345" s="470"/>
      <c r="E345" s="418">
        <v>220593</v>
      </c>
      <c r="F345" s="419" t="s">
        <v>454</v>
      </c>
      <c r="J345" s="70" t="s">
        <v>798</v>
      </c>
      <c r="K345" s="419" t="s">
        <v>798</v>
      </c>
      <c r="L345" s="419" t="s">
        <v>798</v>
      </c>
      <c r="N345" s="70">
        <v>20.261358000000001</v>
      </c>
      <c r="O345" s="70">
        <v>92.805672999999999</v>
      </c>
      <c r="R345" s="98"/>
      <c r="S345" s="421"/>
      <c r="T345" s="104"/>
      <c r="U345" s="100"/>
      <c r="W345" s="421"/>
      <c r="X345" s="539"/>
      <c r="Y345" s="539"/>
      <c r="Z345" s="539"/>
    </row>
    <row r="346" spans="1:26" s="70" customFormat="1" ht="14.25" customHeight="1">
      <c r="A346" s="422" t="s">
        <v>2706</v>
      </c>
      <c r="B346" s="425" t="s">
        <v>299</v>
      </c>
      <c r="C346" s="426" t="s">
        <v>839</v>
      </c>
      <c r="D346" s="420" t="s">
        <v>1654</v>
      </c>
      <c r="E346" s="418">
        <v>196142</v>
      </c>
      <c r="F346" s="418"/>
      <c r="J346" s="70" t="s">
        <v>798</v>
      </c>
      <c r="K346" s="418" t="s">
        <v>798</v>
      </c>
      <c r="L346" s="418" t="s">
        <v>798</v>
      </c>
      <c r="M346" s="70" t="s">
        <v>795</v>
      </c>
      <c r="N346" s="70">
        <v>20.122990000000001</v>
      </c>
      <c r="O346" s="70">
        <v>92.474298000000005</v>
      </c>
      <c r="P346" s="70" t="s">
        <v>799</v>
      </c>
      <c r="R346" s="429"/>
      <c r="S346" s="422"/>
      <c r="T346" s="104"/>
      <c r="U346" s="100"/>
      <c r="V346" s="70" t="s">
        <v>839</v>
      </c>
      <c r="W346" s="421"/>
      <c r="X346" s="539"/>
      <c r="Y346" s="539"/>
      <c r="Z346" s="539"/>
    </row>
    <row r="347" spans="1:26" s="70" customFormat="1" ht="14.25" customHeight="1">
      <c r="A347" s="422" t="s">
        <v>2706</v>
      </c>
      <c r="B347" s="425" t="s">
        <v>299</v>
      </c>
      <c r="C347" s="426" t="s">
        <v>841</v>
      </c>
      <c r="D347" s="420" t="s">
        <v>1654</v>
      </c>
      <c r="E347" s="418">
        <v>196141</v>
      </c>
      <c r="F347" s="418"/>
      <c r="G347" s="418"/>
      <c r="H347" s="418"/>
      <c r="I347" s="418"/>
      <c r="J347" s="418" t="s">
        <v>798</v>
      </c>
      <c r="K347" s="70" t="s">
        <v>798</v>
      </c>
      <c r="L347" s="418" t="s">
        <v>798</v>
      </c>
      <c r="M347" s="70" t="s">
        <v>298</v>
      </c>
      <c r="N347" s="418">
        <v>20.131148</v>
      </c>
      <c r="O347" s="418">
        <v>92.462236000000004</v>
      </c>
      <c r="P347" s="70" t="s">
        <v>799</v>
      </c>
      <c r="Q347" s="418"/>
      <c r="R347" s="429"/>
      <c r="S347" s="422"/>
      <c r="T347" s="441"/>
      <c r="U347" s="423"/>
      <c r="V347" s="418" t="s">
        <v>841</v>
      </c>
      <c r="W347" s="421"/>
      <c r="X347" s="539"/>
      <c r="Y347" s="539"/>
      <c r="Z347" s="539"/>
    </row>
    <row r="348" spans="1:26" s="70" customFormat="1" ht="14.25" customHeight="1">
      <c r="A348" s="422" t="s">
        <v>2706</v>
      </c>
      <c r="B348" s="425" t="s">
        <v>299</v>
      </c>
      <c r="C348" s="426" t="s">
        <v>842</v>
      </c>
      <c r="D348" s="420" t="s">
        <v>1654</v>
      </c>
      <c r="E348" s="418">
        <v>196141</v>
      </c>
      <c r="F348" s="418"/>
      <c r="G348" s="418"/>
      <c r="H348" s="418"/>
      <c r="I348" s="418"/>
      <c r="J348" s="418" t="s">
        <v>798</v>
      </c>
      <c r="K348" s="70" t="s">
        <v>798</v>
      </c>
      <c r="L348" s="70" t="s">
        <v>798</v>
      </c>
      <c r="M348" s="70" t="s">
        <v>298</v>
      </c>
      <c r="N348" s="418">
        <v>20.131148</v>
      </c>
      <c r="O348" s="418">
        <v>92.462236000000004</v>
      </c>
      <c r="P348" s="70" t="s">
        <v>799</v>
      </c>
      <c r="Q348" s="418"/>
      <c r="R348" s="429"/>
      <c r="S348" s="422"/>
      <c r="T348" s="441"/>
      <c r="U348" s="423"/>
      <c r="V348" s="418" t="s">
        <v>842</v>
      </c>
      <c r="W348" s="421"/>
      <c r="X348" s="539"/>
      <c r="Y348" s="539"/>
      <c r="Z348" s="539"/>
    </row>
    <row r="349" spans="1:26" s="70" customFormat="1" ht="14.25" customHeight="1">
      <c r="A349" s="422" t="s">
        <v>2706</v>
      </c>
      <c r="B349" s="425" t="s">
        <v>299</v>
      </c>
      <c r="C349" s="426" t="s">
        <v>304</v>
      </c>
      <c r="D349" s="420" t="s">
        <v>1654</v>
      </c>
      <c r="E349" s="418"/>
      <c r="J349" s="418" t="s">
        <v>798</v>
      </c>
      <c r="K349" s="418" t="s">
        <v>798</v>
      </c>
      <c r="L349" s="418" t="s">
        <v>798</v>
      </c>
      <c r="M349" s="70" t="s">
        <v>795</v>
      </c>
      <c r="P349" s="70" t="s">
        <v>799</v>
      </c>
      <c r="Q349" s="70" t="s">
        <v>780</v>
      </c>
      <c r="R349" s="429"/>
      <c r="S349" s="422"/>
      <c r="T349" s="104"/>
      <c r="U349" s="100"/>
      <c r="V349" s="70" t="s">
        <v>873</v>
      </c>
      <c r="W349" s="421"/>
      <c r="X349" s="539"/>
      <c r="Y349" s="539"/>
      <c r="Z349" s="539"/>
    </row>
    <row r="350" spans="1:26" s="70" customFormat="1" ht="14.25" customHeight="1">
      <c r="A350" s="422" t="s">
        <v>2706</v>
      </c>
      <c r="B350" s="425" t="s">
        <v>299</v>
      </c>
      <c r="C350" s="426" t="s">
        <v>2311</v>
      </c>
      <c r="D350" s="420"/>
      <c r="E350" s="418" t="s">
        <v>1367</v>
      </c>
      <c r="F350" s="70" t="s">
        <v>1662</v>
      </c>
      <c r="G350" s="70" t="s">
        <v>1663</v>
      </c>
      <c r="J350" s="70" t="s">
        <v>44</v>
      </c>
      <c r="K350" s="70" t="s">
        <v>44</v>
      </c>
      <c r="L350" s="70" t="s">
        <v>794</v>
      </c>
      <c r="M350" s="70" t="s">
        <v>795</v>
      </c>
      <c r="N350" s="70">
        <v>20.207284999999999</v>
      </c>
      <c r="O350" s="70">
        <v>92.788177000000005</v>
      </c>
      <c r="P350" s="70" t="s">
        <v>761</v>
      </c>
      <c r="Q350" s="70" t="s">
        <v>780</v>
      </c>
      <c r="R350" s="429"/>
      <c r="S350" s="422"/>
      <c r="T350" s="104">
        <v>43488</v>
      </c>
      <c r="U350" s="100"/>
      <c r="V350" s="70" t="s">
        <v>873</v>
      </c>
      <c r="W350" s="421"/>
      <c r="X350" s="539"/>
      <c r="Y350" s="539"/>
      <c r="Z350" s="539"/>
    </row>
    <row r="351" spans="1:26" s="70" customFormat="1" ht="14.25" customHeight="1">
      <c r="A351" s="422" t="s">
        <v>2706</v>
      </c>
      <c r="B351" s="425" t="s">
        <v>299</v>
      </c>
      <c r="C351" s="426" t="s">
        <v>843</v>
      </c>
      <c r="D351" s="420" t="s">
        <v>1654</v>
      </c>
      <c r="E351" s="418">
        <v>196130</v>
      </c>
      <c r="J351" s="70" t="s">
        <v>798</v>
      </c>
      <c r="K351" s="70" t="s">
        <v>798</v>
      </c>
      <c r="L351" s="70" t="s">
        <v>798</v>
      </c>
      <c r="M351" s="70" t="s">
        <v>298</v>
      </c>
      <c r="N351" s="70">
        <v>20.142474</v>
      </c>
      <c r="O351" s="70">
        <v>92.494243999999995</v>
      </c>
      <c r="P351" s="70" t="s">
        <v>799</v>
      </c>
      <c r="R351" s="429"/>
      <c r="S351" s="422"/>
      <c r="T351" s="104"/>
      <c r="U351" s="100"/>
      <c r="V351" s="70" t="s">
        <v>843</v>
      </c>
      <c r="W351" s="421"/>
      <c r="X351" s="539"/>
      <c r="Y351" s="539"/>
      <c r="Z351" s="539"/>
    </row>
    <row r="352" spans="1:26" s="70" customFormat="1" ht="14.25" customHeight="1">
      <c r="A352" s="422" t="s">
        <v>2706</v>
      </c>
      <c r="B352" s="419" t="s">
        <v>299</v>
      </c>
      <c r="C352" s="419" t="s">
        <v>2638</v>
      </c>
      <c r="D352" s="470"/>
      <c r="E352" s="418">
        <v>196130</v>
      </c>
      <c r="J352" s="70" t="s">
        <v>798</v>
      </c>
      <c r="K352" s="419" t="s">
        <v>798</v>
      </c>
      <c r="L352" s="419" t="s">
        <v>798</v>
      </c>
      <c r="M352" s="418" t="s">
        <v>298</v>
      </c>
      <c r="N352" s="418">
        <v>20.142474</v>
      </c>
      <c r="O352" s="418">
        <v>92.494243999999995</v>
      </c>
      <c r="P352" s="418" t="s">
        <v>799</v>
      </c>
      <c r="R352" s="425"/>
      <c r="S352" s="426"/>
      <c r="T352" s="104"/>
      <c r="U352" s="100"/>
      <c r="W352" s="421"/>
      <c r="X352" s="539"/>
      <c r="Y352" s="539"/>
      <c r="Z352" s="539"/>
    </row>
    <row r="353" spans="1:26" s="70" customFormat="1" ht="14.25" customHeight="1">
      <c r="A353" s="422" t="s">
        <v>2706</v>
      </c>
      <c r="B353" s="425" t="s">
        <v>299</v>
      </c>
      <c r="C353" s="426" t="s">
        <v>2026</v>
      </c>
      <c r="D353" s="420"/>
      <c r="E353" s="70">
        <v>196162</v>
      </c>
      <c r="F353" s="70" t="s">
        <v>2025</v>
      </c>
      <c r="J353" s="70" t="s">
        <v>798</v>
      </c>
      <c r="K353" s="70" t="s">
        <v>798</v>
      </c>
      <c r="L353" s="70" t="s">
        <v>798</v>
      </c>
      <c r="M353" s="70" t="s">
        <v>795</v>
      </c>
      <c r="N353" s="70">
        <v>20.239929199999999</v>
      </c>
      <c r="O353" s="70">
        <v>92.827529909999996</v>
      </c>
      <c r="P353" s="70" t="s">
        <v>799</v>
      </c>
      <c r="R353" s="429"/>
      <c r="S353" s="422"/>
      <c r="T353" s="104">
        <v>43294</v>
      </c>
      <c r="U353" s="100"/>
      <c r="W353" s="421"/>
      <c r="X353" s="539"/>
      <c r="Y353" s="539"/>
      <c r="Z353" s="539"/>
    </row>
    <row r="354" spans="1:26" s="70" customFormat="1" ht="14.25" customHeight="1">
      <c r="A354" s="422" t="s">
        <v>2706</v>
      </c>
      <c r="B354" s="419" t="s">
        <v>299</v>
      </c>
      <c r="C354" s="419" t="s">
        <v>2640</v>
      </c>
      <c r="D354" s="470"/>
      <c r="E354" s="419">
        <v>196131</v>
      </c>
      <c r="F354" s="419" t="s">
        <v>878</v>
      </c>
      <c r="J354" s="70" t="s">
        <v>798</v>
      </c>
      <c r="K354" s="419" t="s">
        <v>798</v>
      </c>
      <c r="L354" s="419" t="s">
        <v>798</v>
      </c>
      <c r="N354" s="70">
        <v>20.239799499511701</v>
      </c>
      <c r="O354" s="70">
        <v>92.825088500976605</v>
      </c>
      <c r="R354" s="421"/>
      <c r="S354" s="422"/>
      <c r="T354" s="104"/>
      <c r="U354" s="100"/>
      <c r="W354" s="421"/>
      <c r="X354" s="539"/>
      <c r="Y354" s="539"/>
      <c r="Z354" s="539"/>
    </row>
    <row r="355" spans="1:26" s="70" customFormat="1" ht="14.25" customHeight="1">
      <c r="A355" s="422" t="s">
        <v>2706</v>
      </c>
      <c r="B355" s="419" t="s">
        <v>299</v>
      </c>
      <c r="C355" s="419" t="s">
        <v>2643</v>
      </c>
      <c r="D355" s="420"/>
      <c r="J355" s="70" t="s">
        <v>798</v>
      </c>
      <c r="K355" s="419" t="s">
        <v>798</v>
      </c>
      <c r="L355" s="419" t="s">
        <v>798</v>
      </c>
      <c r="R355" s="419"/>
      <c r="S355" s="419"/>
      <c r="T355" s="104"/>
      <c r="U355" s="100"/>
      <c r="W355" s="421"/>
      <c r="X355" s="539"/>
      <c r="Y355" s="539"/>
      <c r="Z355" s="539"/>
    </row>
    <row r="356" spans="1:26" s="70" customFormat="1" ht="14.25" customHeight="1">
      <c r="A356" s="422" t="s">
        <v>2706</v>
      </c>
      <c r="B356" s="425" t="s">
        <v>299</v>
      </c>
      <c r="C356" s="426" t="s">
        <v>849</v>
      </c>
      <c r="D356" s="420" t="s">
        <v>1655</v>
      </c>
      <c r="E356" s="70" t="s">
        <v>1347</v>
      </c>
      <c r="F356" s="70" t="s">
        <v>1684</v>
      </c>
      <c r="G356" s="70" t="s">
        <v>1685</v>
      </c>
      <c r="J356" s="70" t="s">
        <v>44</v>
      </c>
      <c r="K356" s="418" t="s">
        <v>44</v>
      </c>
      <c r="L356" s="418" t="s">
        <v>760</v>
      </c>
      <c r="M356" s="70" t="s">
        <v>298</v>
      </c>
      <c r="N356" s="70">
        <v>20.151471999999998</v>
      </c>
      <c r="O356" s="70">
        <v>92.887277999999995</v>
      </c>
      <c r="P356" s="70" t="s">
        <v>761</v>
      </c>
      <c r="R356" s="429"/>
      <c r="S356" s="422"/>
      <c r="T356" s="104"/>
      <c r="U356" s="100"/>
      <c r="V356" s="70" t="s">
        <v>849</v>
      </c>
      <c r="W356" s="421"/>
      <c r="X356" s="539"/>
      <c r="Y356" s="539"/>
      <c r="Z356" s="539"/>
    </row>
    <row r="357" spans="1:26" s="70" customFormat="1" ht="14.25" customHeight="1">
      <c r="A357" s="422" t="s">
        <v>2706</v>
      </c>
      <c r="B357" s="425" t="s">
        <v>299</v>
      </c>
      <c r="C357" s="426" t="s">
        <v>422</v>
      </c>
      <c r="D357" s="470" t="s">
        <v>2786</v>
      </c>
      <c r="E357" s="70" t="s">
        <v>1348</v>
      </c>
      <c r="F357" s="70" t="s">
        <v>1684</v>
      </c>
      <c r="G357" s="70" t="s">
        <v>1685</v>
      </c>
      <c r="J357" s="70" t="s">
        <v>798</v>
      </c>
      <c r="K357" s="70" t="s">
        <v>798</v>
      </c>
      <c r="L357" s="418" t="s">
        <v>821</v>
      </c>
      <c r="M357" s="70" t="s">
        <v>298</v>
      </c>
      <c r="N357" s="70">
        <v>20.151471999999998</v>
      </c>
      <c r="O357" s="70">
        <v>92.887277999999995</v>
      </c>
      <c r="P357" s="418" t="s">
        <v>799</v>
      </c>
      <c r="Q357" s="70" t="s">
        <v>780</v>
      </c>
      <c r="R357" s="98">
        <v>249</v>
      </c>
      <c r="S357" s="422">
        <v>1282</v>
      </c>
      <c r="T357" s="104"/>
      <c r="U357" s="100"/>
      <c r="V357" s="70" t="s">
        <v>422</v>
      </c>
      <c r="W357" s="421"/>
      <c r="X357" s="539"/>
      <c r="Y357" s="539"/>
      <c r="Z357" s="539"/>
    </row>
    <row r="358" spans="1:26" s="70" customFormat="1" ht="14.25" customHeight="1">
      <c r="A358" s="422" t="s">
        <v>2706</v>
      </c>
      <c r="B358" s="425" t="s">
        <v>299</v>
      </c>
      <c r="C358" s="426" t="s">
        <v>423</v>
      </c>
      <c r="D358" s="470" t="s">
        <v>2786</v>
      </c>
      <c r="E358" s="70" t="s">
        <v>1349</v>
      </c>
      <c r="F358" s="70" t="s">
        <v>1684</v>
      </c>
      <c r="G358" s="70" t="s">
        <v>1685</v>
      </c>
      <c r="J358" s="70" t="s">
        <v>798</v>
      </c>
      <c r="K358" s="70" t="s">
        <v>798</v>
      </c>
      <c r="L358" s="70" t="s">
        <v>821</v>
      </c>
      <c r="M358" s="70" t="s">
        <v>298</v>
      </c>
      <c r="N358" s="70">
        <v>20.151471999999998</v>
      </c>
      <c r="O358" s="70">
        <v>92.887277999999995</v>
      </c>
      <c r="P358" s="70" t="s">
        <v>799</v>
      </c>
      <c r="Q358" s="70" t="s">
        <v>780</v>
      </c>
      <c r="R358" s="421">
        <v>420</v>
      </c>
      <c r="S358" s="422">
        <v>2200</v>
      </c>
      <c r="T358" s="104"/>
      <c r="U358" s="100"/>
      <c r="V358" s="70" t="s">
        <v>423</v>
      </c>
      <c r="W358" s="421"/>
      <c r="X358" s="539"/>
      <c r="Y358" s="539"/>
      <c r="Z358" s="539"/>
    </row>
    <row r="359" spans="1:26" s="70" customFormat="1" ht="14.25" customHeight="1">
      <c r="A359" s="422" t="s">
        <v>2706</v>
      </c>
      <c r="B359" s="549" t="s">
        <v>299</v>
      </c>
      <c r="C359" s="426" t="s">
        <v>443</v>
      </c>
      <c r="D359" s="470" t="s">
        <v>3183</v>
      </c>
      <c r="E359" s="418" t="s">
        <v>1367</v>
      </c>
      <c r="F359" s="418" t="s">
        <v>1743</v>
      </c>
      <c r="G359" s="418" t="s">
        <v>443</v>
      </c>
      <c r="H359" s="418" t="s">
        <v>42</v>
      </c>
      <c r="I359" s="418"/>
      <c r="J359" s="418" t="s">
        <v>44</v>
      </c>
      <c r="K359" s="539" t="s">
        <v>44</v>
      </c>
      <c r="L359" s="539" t="s">
        <v>794</v>
      </c>
      <c r="M359" s="418" t="s">
        <v>795</v>
      </c>
      <c r="N359" s="418">
        <v>20.202525000000001</v>
      </c>
      <c r="O359" s="418">
        <v>92.792479999999998</v>
      </c>
      <c r="P359" s="418" t="s">
        <v>761</v>
      </c>
      <c r="Q359" s="418" t="s">
        <v>780</v>
      </c>
      <c r="R359" s="421">
        <v>2681</v>
      </c>
      <c r="S359" s="546">
        <v>13770</v>
      </c>
      <c r="T359" s="441"/>
      <c r="U359" s="423"/>
      <c r="V359" s="418" t="s">
        <v>443</v>
      </c>
      <c r="W359" s="421"/>
      <c r="X359" s="539">
        <v>116</v>
      </c>
      <c r="Y359" s="539">
        <v>1099</v>
      </c>
      <c r="Z359" s="539">
        <v>1215</v>
      </c>
    </row>
    <row r="360" spans="1:26" s="70" customFormat="1" ht="14.25" customHeight="1">
      <c r="A360" s="422" t="s">
        <v>2706</v>
      </c>
      <c r="B360" s="543" t="s">
        <v>299</v>
      </c>
      <c r="C360" s="426" t="s">
        <v>441</v>
      </c>
      <c r="D360" s="470"/>
      <c r="E360" s="70">
        <v>196154</v>
      </c>
      <c r="J360" s="70" t="s">
        <v>798</v>
      </c>
      <c r="K360" s="543" t="s">
        <v>798</v>
      </c>
      <c r="L360" s="543" t="s">
        <v>798</v>
      </c>
      <c r="R360" s="421"/>
      <c r="S360" s="545"/>
      <c r="T360" s="104"/>
      <c r="U360" s="100"/>
      <c r="W360" s="421"/>
      <c r="X360" s="539"/>
      <c r="Y360" s="539"/>
      <c r="Z360" s="539"/>
    </row>
    <row r="361" spans="1:26" s="70" customFormat="1" ht="14.25" customHeight="1">
      <c r="A361" s="422" t="s">
        <v>2706</v>
      </c>
      <c r="B361" s="425" t="s">
        <v>299</v>
      </c>
      <c r="C361" s="426" t="s">
        <v>441</v>
      </c>
      <c r="D361" s="420" t="s">
        <v>1654</v>
      </c>
      <c r="E361" s="70">
        <v>196154</v>
      </c>
      <c r="J361" s="70" t="s">
        <v>798</v>
      </c>
      <c r="K361" s="70" t="s">
        <v>798</v>
      </c>
      <c r="L361" s="70" t="s">
        <v>798</v>
      </c>
      <c r="M361" s="70" t="s">
        <v>795</v>
      </c>
      <c r="N361" s="70">
        <v>20.201499999999999</v>
      </c>
      <c r="O361" s="70">
        <v>92.796599999999998</v>
      </c>
      <c r="P361" s="70" t="s">
        <v>799</v>
      </c>
      <c r="Q361" s="70" t="s">
        <v>780</v>
      </c>
      <c r="R361" s="429"/>
      <c r="S361" s="422"/>
      <c r="T361" s="104">
        <v>42745</v>
      </c>
      <c r="U361" s="100"/>
      <c r="W361" s="421"/>
      <c r="X361" s="539"/>
      <c r="Y361" s="539"/>
      <c r="Z361" s="539"/>
    </row>
    <row r="362" spans="1:26" s="70" customFormat="1" ht="14.25" customHeight="1">
      <c r="A362" s="422" t="s">
        <v>2706</v>
      </c>
      <c r="B362" s="425" t="s">
        <v>299</v>
      </c>
      <c r="C362" s="426" t="s">
        <v>437</v>
      </c>
      <c r="D362" s="420" t="s">
        <v>1654</v>
      </c>
      <c r="E362" s="70">
        <v>196155</v>
      </c>
      <c r="J362" s="70" t="s">
        <v>798</v>
      </c>
      <c r="K362" s="70" t="s">
        <v>798</v>
      </c>
      <c r="L362" s="70" t="s">
        <v>798</v>
      </c>
      <c r="M362" s="70" t="s">
        <v>795</v>
      </c>
      <c r="N362" s="70">
        <v>20.19171906</v>
      </c>
      <c r="O362" s="70">
        <v>92.808166499999999</v>
      </c>
      <c r="P362" s="70" t="s">
        <v>799</v>
      </c>
      <c r="Q362" s="70" t="s">
        <v>780</v>
      </c>
      <c r="R362" s="429"/>
      <c r="S362" s="422"/>
      <c r="T362" s="104"/>
      <c r="U362" s="100"/>
      <c r="V362" s="70" t="s">
        <v>437</v>
      </c>
      <c r="W362" s="421"/>
      <c r="X362" s="539"/>
      <c r="Y362" s="539"/>
      <c r="Z362" s="539"/>
    </row>
    <row r="363" spans="1:26" s="70" customFormat="1" ht="14.25" customHeight="1">
      <c r="A363" s="422" t="s">
        <v>2706</v>
      </c>
      <c r="B363" s="425" t="s">
        <v>299</v>
      </c>
      <c r="C363" s="426" t="s">
        <v>420</v>
      </c>
      <c r="D363" s="470" t="s">
        <v>2786</v>
      </c>
      <c r="E363" s="418" t="s">
        <v>1346</v>
      </c>
      <c r="F363" s="418" t="s">
        <v>1872</v>
      </c>
      <c r="G363" s="418" t="s">
        <v>1872</v>
      </c>
      <c r="H363" s="418"/>
      <c r="I363" s="418"/>
      <c r="J363" s="418" t="s">
        <v>798</v>
      </c>
      <c r="K363" s="418" t="s">
        <v>798</v>
      </c>
      <c r="L363" s="418" t="s">
        <v>821</v>
      </c>
      <c r="M363" s="418" t="s">
        <v>846</v>
      </c>
      <c r="N363" s="418">
        <v>20.148584</v>
      </c>
      <c r="O363" s="418">
        <v>92.880319999999998</v>
      </c>
      <c r="P363" s="418" t="s">
        <v>799</v>
      </c>
      <c r="Q363" s="418" t="s">
        <v>780</v>
      </c>
      <c r="R363" s="421">
        <v>72</v>
      </c>
      <c r="S363" s="422">
        <v>462</v>
      </c>
      <c r="T363" s="441"/>
      <c r="U363" s="423"/>
      <c r="V363" s="418" t="s">
        <v>420</v>
      </c>
      <c r="W363" s="421"/>
      <c r="X363" s="539"/>
      <c r="Y363" s="539"/>
      <c r="Z363" s="539"/>
    </row>
    <row r="364" spans="1:26" s="70" customFormat="1" ht="14.25" customHeight="1">
      <c r="A364" s="422" t="s">
        <v>2706</v>
      </c>
      <c r="B364" s="425" t="s">
        <v>299</v>
      </c>
      <c r="C364" s="426" t="s">
        <v>1902</v>
      </c>
      <c r="D364" s="470" t="s">
        <v>2786</v>
      </c>
      <c r="E364" s="70" t="s">
        <v>1351</v>
      </c>
      <c r="F364" s="70" t="s">
        <v>1872</v>
      </c>
      <c r="G364" s="70" t="s">
        <v>1872</v>
      </c>
      <c r="J364" s="70" t="s">
        <v>798</v>
      </c>
      <c r="K364" s="70" t="s">
        <v>798</v>
      </c>
      <c r="L364" s="70" t="s">
        <v>821</v>
      </c>
      <c r="M364" s="70" t="s">
        <v>298</v>
      </c>
      <c r="N364" s="70">
        <v>20.155805999999998</v>
      </c>
      <c r="O364" s="70">
        <v>92.879138999999995</v>
      </c>
      <c r="P364" s="70" t="s">
        <v>799</v>
      </c>
      <c r="Q364" s="70" t="s">
        <v>780</v>
      </c>
      <c r="R364" s="421">
        <v>151</v>
      </c>
      <c r="S364" s="422">
        <v>654</v>
      </c>
      <c r="T364" s="104"/>
      <c r="U364" s="100"/>
      <c r="V364" s="70" t="s">
        <v>424</v>
      </c>
      <c r="W364" s="421"/>
      <c r="X364" s="539"/>
      <c r="Y364" s="539"/>
      <c r="Z364" s="539"/>
    </row>
    <row r="365" spans="1:26" s="70" customFormat="1" ht="14.25" customHeight="1">
      <c r="A365" s="422" t="s">
        <v>2706</v>
      </c>
      <c r="B365" s="425" t="s">
        <v>299</v>
      </c>
      <c r="C365" s="426" t="s">
        <v>2022</v>
      </c>
      <c r="D365" s="420"/>
      <c r="E365" s="70">
        <v>196179</v>
      </c>
      <c r="F365" s="70" t="s">
        <v>2022</v>
      </c>
      <c r="J365" s="70" t="s">
        <v>798</v>
      </c>
      <c r="K365" s="70" t="s">
        <v>798</v>
      </c>
      <c r="L365" s="70" t="s">
        <v>798</v>
      </c>
      <c r="M365" s="70" t="s">
        <v>1910</v>
      </c>
      <c r="N365" s="70">
        <v>20.236970899999999</v>
      </c>
      <c r="O365" s="70">
        <v>92.877876279999995</v>
      </c>
      <c r="P365" s="70" t="s">
        <v>799</v>
      </c>
      <c r="R365" s="429"/>
      <c r="S365" s="422"/>
      <c r="T365" s="104">
        <v>43294</v>
      </c>
      <c r="U365" s="100"/>
      <c r="W365" s="421"/>
      <c r="X365" s="539"/>
      <c r="Y365" s="539"/>
      <c r="Z365" s="539"/>
    </row>
    <row r="366" spans="1:26" s="70" customFormat="1" ht="14.25" customHeight="1">
      <c r="A366" s="422" t="s">
        <v>2706</v>
      </c>
      <c r="B366" s="425" t="s">
        <v>299</v>
      </c>
      <c r="C366" s="426" t="s">
        <v>426</v>
      </c>
      <c r="D366" s="470" t="s">
        <v>3183</v>
      </c>
      <c r="E366" s="70" t="s">
        <v>1353</v>
      </c>
      <c r="F366" s="70" t="s">
        <v>419</v>
      </c>
      <c r="G366" s="70" t="s">
        <v>425</v>
      </c>
      <c r="H366" s="70" t="s">
        <v>42</v>
      </c>
      <c r="J366" s="70" t="s">
        <v>44</v>
      </c>
      <c r="K366" s="70" t="s">
        <v>44</v>
      </c>
      <c r="L366" s="70" t="s">
        <v>797</v>
      </c>
      <c r="M366" s="70" t="s">
        <v>795</v>
      </c>
      <c r="N366" s="70">
        <v>20.1585</v>
      </c>
      <c r="O366" s="70">
        <v>92.839416999999997</v>
      </c>
      <c r="P366" s="70" t="s">
        <v>761</v>
      </c>
      <c r="Q366" s="70" t="s">
        <v>780</v>
      </c>
      <c r="R366" s="421">
        <v>2270</v>
      </c>
      <c r="S366" s="422">
        <v>13110</v>
      </c>
      <c r="T366" s="104"/>
      <c r="U366" s="100"/>
      <c r="V366" s="70" t="s">
        <v>856</v>
      </c>
      <c r="W366" s="421"/>
      <c r="X366" s="539">
        <v>283</v>
      </c>
      <c r="Y366" s="539">
        <v>715</v>
      </c>
      <c r="Z366" s="539">
        <v>998</v>
      </c>
    </row>
    <row r="367" spans="1:26" s="70" customFormat="1" ht="14.25" customHeight="1">
      <c r="A367" s="422" t="s">
        <v>2706</v>
      </c>
      <c r="B367" s="425" t="s">
        <v>299</v>
      </c>
      <c r="C367" s="426" t="s">
        <v>852</v>
      </c>
      <c r="D367" s="420" t="s">
        <v>1655</v>
      </c>
      <c r="E367" s="418" t="s">
        <v>1352</v>
      </c>
      <c r="F367" s="418" t="s">
        <v>419</v>
      </c>
      <c r="G367" s="418" t="s">
        <v>425</v>
      </c>
      <c r="H367" s="418"/>
      <c r="J367" s="70" t="s">
        <v>44</v>
      </c>
      <c r="K367" s="70" t="s">
        <v>44</v>
      </c>
      <c r="L367" s="418" t="s">
        <v>760</v>
      </c>
      <c r="N367" s="418">
        <v>20.156842000000001</v>
      </c>
      <c r="O367" s="418">
        <v>92.837576999999996</v>
      </c>
      <c r="P367" s="418" t="s">
        <v>761</v>
      </c>
      <c r="R367" s="429"/>
      <c r="S367" s="422"/>
      <c r="T367" s="104"/>
      <c r="U367" s="423"/>
      <c r="V367" s="418" t="s">
        <v>853</v>
      </c>
      <c r="W367" s="421"/>
      <c r="X367" s="539"/>
      <c r="Y367" s="539"/>
      <c r="Z367" s="539"/>
    </row>
    <row r="368" spans="1:26" s="70" customFormat="1" ht="14.25" customHeight="1">
      <c r="A368" s="422" t="s">
        <v>2706</v>
      </c>
      <c r="B368" s="425" t="s">
        <v>299</v>
      </c>
      <c r="C368" s="426" t="s">
        <v>693</v>
      </c>
      <c r="D368" s="420" t="s">
        <v>1654</v>
      </c>
      <c r="E368" s="70">
        <v>196210</v>
      </c>
      <c r="J368" s="70" t="s">
        <v>798</v>
      </c>
      <c r="K368" s="70" t="s">
        <v>798</v>
      </c>
      <c r="L368" s="70" t="s">
        <v>798</v>
      </c>
      <c r="M368" s="70" t="s">
        <v>298</v>
      </c>
      <c r="N368" s="70">
        <v>20.16259956</v>
      </c>
      <c r="O368" s="70">
        <v>92.834457400000005</v>
      </c>
      <c r="P368" s="70" t="s">
        <v>799</v>
      </c>
      <c r="Q368" s="70" t="s">
        <v>780</v>
      </c>
      <c r="R368" s="429"/>
      <c r="S368" s="422"/>
      <c r="T368" s="104"/>
      <c r="U368" s="100"/>
      <c r="W368" s="421"/>
      <c r="X368" s="539"/>
      <c r="Y368" s="539"/>
      <c r="Z368" s="539"/>
    </row>
    <row r="369" spans="1:26" s="70" customFormat="1" ht="14.25" customHeight="1">
      <c r="A369" s="422" t="s">
        <v>2706</v>
      </c>
      <c r="B369" s="425" t="s">
        <v>299</v>
      </c>
      <c r="C369" s="426" t="s">
        <v>305</v>
      </c>
      <c r="D369" s="420" t="s">
        <v>1654</v>
      </c>
      <c r="E369" s="418"/>
      <c r="F369" s="418"/>
      <c r="G369" s="418"/>
      <c r="H369" s="418"/>
      <c r="J369" s="70" t="s">
        <v>798</v>
      </c>
      <c r="K369" s="70" t="s">
        <v>798</v>
      </c>
      <c r="L369" s="418" t="s">
        <v>798</v>
      </c>
      <c r="M369" s="70" t="s">
        <v>795</v>
      </c>
      <c r="N369" s="418"/>
      <c r="O369" s="418"/>
      <c r="P369" s="418" t="s">
        <v>799</v>
      </c>
      <c r="Q369" s="70" t="s">
        <v>762</v>
      </c>
      <c r="R369" s="429"/>
      <c r="S369" s="422"/>
      <c r="T369" s="104">
        <v>42811</v>
      </c>
      <c r="U369" s="423"/>
      <c r="V369" s="418"/>
      <c r="W369" s="421"/>
      <c r="X369" s="539"/>
      <c r="Y369" s="539"/>
      <c r="Z369" s="539"/>
    </row>
    <row r="370" spans="1:26" s="70" customFormat="1" ht="14.25" customHeight="1">
      <c r="A370" s="422" t="s">
        <v>2706</v>
      </c>
      <c r="B370" s="425" t="s">
        <v>299</v>
      </c>
      <c r="C370" s="426" t="s">
        <v>425</v>
      </c>
      <c r="D370" s="420" t="s">
        <v>1654</v>
      </c>
      <c r="E370" s="70">
        <v>196211</v>
      </c>
      <c r="J370" s="418" t="s">
        <v>798</v>
      </c>
      <c r="K370" s="418" t="s">
        <v>798</v>
      </c>
      <c r="L370" s="70" t="s">
        <v>798</v>
      </c>
      <c r="M370" s="70" t="s">
        <v>795</v>
      </c>
      <c r="N370" s="70">
        <v>20.15736008</v>
      </c>
      <c r="O370" s="70">
        <v>92.838653559999997</v>
      </c>
      <c r="P370" s="70" t="s">
        <v>799</v>
      </c>
      <c r="Q370" s="70" t="s">
        <v>780</v>
      </c>
      <c r="R370" s="429"/>
      <c r="S370" s="422"/>
      <c r="T370" s="104"/>
      <c r="U370" s="100"/>
      <c r="V370" s="70" t="s">
        <v>854</v>
      </c>
      <c r="W370" s="421"/>
      <c r="X370" s="539"/>
      <c r="Y370" s="539"/>
      <c r="Z370" s="539"/>
    </row>
    <row r="371" spans="1:26" s="70" customFormat="1" ht="14.25" customHeight="1">
      <c r="A371" s="422" t="s">
        <v>2706</v>
      </c>
      <c r="B371" s="425" t="s">
        <v>299</v>
      </c>
      <c r="C371" s="426" t="s">
        <v>421</v>
      </c>
      <c r="D371" s="420" t="s">
        <v>1654</v>
      </c>
      <c r="E371" s="418">
        <v>196209</v>
      </c>
      <c r="F371" s="419" t="s">
        <v>419</v>
      </c>
      <c r="G371" s="418"/>
      <c r="H371" s="418"/>
      <c r="J371" s="70" t="s">
        <v>798</v>
      </c>
      <c r="K371" s="70" t="s">
        <v>798</v>
      </c>
      <c r="L371" s="418" t="s">
        <v>798</v>
      </c>
      <c r="M371" s="70" t="s">
        <v>795</v>
      </c>
      <c r="N371" s="418">
        <v>20.147863431600001</v>
      </c>
      <c r="O371" s="418">
        <v>92.846768572000002</v>
      </c>
      <c r="P371" s="418" t="s">
        <v>799</v>
      </c>
      <c r="Q371" s="70" t="s">
        <v>762</v>
      </c>
      <c r="R371" s="429"/>
      <c r="S371" s="422"/>
      <c r="T371" s="104"/>
      <c r="U371" s="423"/>
      <c r="V371" s="418" t="s">
        <v>847</v>
      </c>
      <c r="W371" s="421"/>
      <c r="X371" s="539"/>
      <c r="Y371" s="539"/>
      <c r="Z371" s="539"/>
    </row>
    <row r="372" spans="1:26" s="70" customFormat="1" ht="14.25" customHeight="1">
      <c r="A372" s="422" t="s">
        <v>2706</v>
      </c>
      <c r="B372" s="425" t="s">
        <v>299</v>
      </c>
      <c r="C372" s="426" t="s">
        <v>855</v>
      </c>
      <c r="D372" s="420" t="s">
        <v>1654</v>
      </c>
      <c r="E372" s="418">
        <v>196211</v>
      </c>
      <c r="F372" s="418"/>
      <c r="G372" s="418"/>
      <c r="H372" s="418"/>
      <c r="I372" s="418"/>
      <c r="J372" s="418" t="s">
        <v>798</v>
      </c>
      <c r="K372" s="418" t="s">
        <v>798</v>
      </c>
      <c r="L372" s="418" t="s">
        <v>798</v>
      </c>
      <c r="M372" s="418" t="s">
        <v>795</v>
      </c>
      <c r="N372" s="418">
        <v>20.15736008</v>
      </c>
      <c r="O372" s="418">
        <v>92.838653559999997</v>
      </c>
      <c r="P372" s="418" t="s">
        <v>799</v>
      </c>
      <c r="Q372" s="418"/>
      <c r="R372" s="429"/>
      <c r="S372" s="422"/>
      <c r="T372" s="441"/>
      <c r="U372" s="423"/>
      <c r="V372" s="418" t="s">
        <v>855</v>
      </c>
      <c r="W372" s="421"/>
      <c r="X372" s="539"/>
      <c r="Y372" s="539"/>
      <c r="Z372" s="539"/>
    </row>
    <row r="373" spans="1:26" s="70" customFormat="1" ht="14.25" customHeight="1">
      <c r="A373" s="422" t="s">
        <v>2706</v>
      </c>
      <c r="B373" s="425" t="s">
        <v>299</v>
      </c>
      <c r="C373" s="426" t="s">
        <v>450</v>
      </c>
      <c r="D373" s="420" t="s">
        <v>1654</v>
      </c>
      <c r="E373" s="418">
        <v>196167</v>
      </c>
      <c r="F373" s="418" t="s">
        <v>450</v>
      </c>
      <c r="G373" s="418"/>
      <c r="H373" s="418"/>
      <c r="I373" s="418"/>
      <c r="J373" s="418" t="s">
        <v>798</v>
      </c>
      <c r="K373" s="418" t="s">
        <v>798</v>
      </c>
      <c r="L373" s="418" t="s">
        <v>798</v>
      </c>
      <c r="M373" s="418" t="s">
        <v>298</v>
      </c>
      <c r="N373" s="418">
        <v>20.22929001</v>
      </c>
      <c r="O373" s="418">
        <v>92.864669800000001</v>
      </c>
      <c r="P373" s="418" t="s">
        <v>799</v>
      </c>
      <c r="Q373" s="418" t="s">
        <v>762</v>
      </c>
      <c r="R373" s="429"/>
      <c r="S373" s="422"/>
      <c r="T373" s="441">
        <v>42811</v>
      </c>
      <c r="U373" s="423"/>
      <c r="V373" s="418"/>
      <c r="W373" s="421"/>
      <c r="X373" s="539"/>
      <c r="Y373" s="539"/>
      <c r="Z373" s="539"/>
    </row>
    <row r="374" spans="1:26" s="70" customFormat="1" ht="14.25" customHeight="1">
      <c r="A374" s="422" t="s">
        <v>2706</v>
      </c>
      <c r="B374" s="425" t="s">
        <v>299</v>
      </c>
      <c r="C374" s="426" t="s">
        <v>430</v>
      </c>
      <c r="D374" s="470" t="s">
        <v>3183</v>
      </c>
      <c r="E374" s="418" t="s">
        <v>1358</v>
      </c>
      <c r="F374" s="418" t="s">
        <v>419</v>
      </c>
      <c r="G374" s="418" t="s">
        <v>1742</v>
      </c>
      <c r="H374" s="418" t="s">
        <v>42</v>
      </c>
      <c r="J374" s="70" t="s">
        <v>44</v>
      </c>
      <c r="K374" s="70" t="s">
        <v>44</v>
      </c>
      <c r="L374" s="418" t="s">
        <v>794</v>
      </c>
      <c r="M374" s="70" t="s">
        <v>795</v>
      </c>
      <c r="N374" s="418">
        <v>20.179939999999998</v>
      </c>
      <c r="O374" s="418">
        <v>92.831879000000001</v>
      </c>
      <c r="P374" s="418" t="s">
        <v>761</v>
      </c>
      <c r="Q374" s="70" t="s">
        <v>780</v>
      </c>
      <c r="R374" s="421">
        <v>1022</v>
      </c>
      <c r="S374" s="422">
        <v>6188</v>
      </c>
      <c r="T374" s="104"/>
      <c r="U374" s="423"/>
      <c r="V374" s="418" t="s">
        <v>863</v>
      </c>
      <c r="W374" s="421"/>
      <c r="X374" s="539">
        <v>111</v>
      </c>
      <c r="Y374" s="539">
        <v>853</v>
      </c>
      <c r="Z374" s="539">
        <v>964</v>
      </c>
    </row>
    <row r="375" spans="1:26" s="70" customFormat="1" ht="14.25" customHeight="1">
      <c r="A375" s="422" t="s">
        <v>2706</v>
      </c>
      <c r="B375" s="425" t="s">
        <v>299</v>
      </c>
      <c r="C375" s="426" t="s">
        <v>432</v>
      </c>
      <c r="D375" s="470" t="s">
        <v>3183</v>
      </c>
      <c r="E375" s="418" t="s">
        <v>1361</v>
      </c>
      <c r="F375" s="418"/>
      <c r="G375" s="418"/>
      <c r="H375" s="418" t="s">
        <v>42</v>
      </c>
      <c r="J375" s="70" t="s">
        <v>44</v>
      </c>
      <c r="K375" s="70" t="s">
        <v>44</v>
      </c>
      <c r="L375" s="418" t="s">
        <v>772</v>
      </c>
      <c r="M375" s="70" t="s">
        <v>795</v>
      </c>
      <c r="N375" s="418">
        <v>20.181742</v>
      </c>
      <c r="O375" s="418">
        <v>92.842230000000001</v>
      </c>
      <c r="P375" s="418" t="s">
        <v>773</v>
      </c>
      <c r="R375" s="421">
        <v>496</v>
      </c>
      <c r="S375" s="422">
        <v>2942</v>
      </c>
      <c r="T375" s="104">
        <v>42745</v>
      </c>
      <c r="U375" s="423" t="s">
        <v>857</v>
      </c>
      <c r="V375" s="418"/>
      <c r="W375" s="421"/>
      <c r="X375" s="539"/>
      <c r="Y375" s="539"/>
      <c r="Z375" s="539"/>
    </row>
    <row r="376" spans="1:26" s="70" customFormat="1" ht="14.25" customHeight="1">
      <c r="A376" s="422" t="s">
        <v>2706</v>
      </c>
      <c r="B376" s="425" t="s">
        <v>299</v>
      </c>
      <c r="C376" s="426" t="s">
        <v>2646</v>
      </c>
      <c r="D376" s="420" t="s">
        <v>1654</v>
      </c>
      <c r="J376" s="539" t="s">
        <v>798</v>
      </c>
      <c r="K376" s="539" t="s">
        <v>798</v>
      </c>
      <c r="L376" s="539" t="s">
        <v>798</v>
      </c>
      <c r="M376" s="70" t="s">
        <v>795</v>
      </c>
      <c r="N376" s="418"/>
      <c r="O376" s="418"/>
      <c r="P376" s="418" t="s">
        <v>923</v>
      </c>
      <c r="Q376" s="70" t="s">
        <v>762</v>
      </c>
      <c r="R376" s="429"/>
      <c r="S376" s="422"/>
      <c r="T376" s="104">
        <v>42811</v>
      </c>
      <c r="U376" s="100"/>
      <c r="W376" s="421"/>
      <c r="X376" s="539"/>
      <c r="Y376" s="539"/>
      <c r="Z376" s="539"/>
    </row>
    <row r="377" spans="1:26" s="70" customFormat="1" ht="14.25" customHeight="1">
      <c r="A377" s="422" t="s">
        <v>2706</v>
      </c>
      <c r="B377" s="425" t="s">
        <v>299</v>
      </c>
      <c r="C377" s="426" t="s">
        <v>438</v>
      </c>
      <c r="D377" s="420" t="s">
        <v>1654</v>
      </c>
      <c r="E377" s="70">
        <v>196147</v>
      </c>
      <c r="J377" s="70" t="s">
        <v>798</v>
      </c>
      <c r="K377" s="70" t="s">
        <v>798</v>
      </c>
      <c r="L377" s="70" t="s">
        <v>798</v>
      </c>
      <c r="M377" s="70" t="s">
        <v>795</v>
      </c>
      <c r="N377" s="70">
        <v>20.193460460000001</v>
      </c>
      <c r="O377" s="70">
        <v>92.867782590000004</v>
      </c>
      <c r="P377" s="418" t="s">
        <v>799</v>
      </c>
      <c r="Q377" s="70" t="s">
        <v>762</v>
      </c>
      <c r="R377" s="429"/>
      <c r="S377" s="422"/>
      <c r="T377" s="104">
        <v>42811</v>
      </c>
      <c r="U377" s="100"/>
      <c r="W377" s="421"/>
      <c r="X377" s="539"/>
      <c r="Y377" s="539"/>
      <c r="Z377" s="539"/>
    </row>
    <row r="378" spans="1:26" s="70" customFormat="1" ht="14.25" customHeight="1">
      <c r="A378" s="422" t="s">
        <v>2706</v>
      </c>
      <c r="B378" s="425" t="s">
        <v>299</v>
      </c>
      <c r="C378" s="426" t="s">
        <v>1146</v>
      </c>
      <c r="D378" s="420" t="s">
        <v>1654</v>
      </c>
      <c r="E378" s="418"/>
      <c r="F378" s="418"/>
      <c r="G378" s="418"/>
      <c r="H378" s="418"/>
      <c r="I378" s="418"/>
      <c r="J378" s="418" t="s">
        <v>798</v>
      </c>
      <c r="K378" s="418" t="s">
        <v>798</v>
      </c>
      <c r="L378" s="418" t="s">
        <v>798</v>
      </c>
      <c r="M378" s="418" t="s">
        <v>795</v>
      </c>
      <c r="N378" s="418"/>
      <c r="O378" s="418"/>
      <c r="P378" s="418" t="s">
        <v>799</v>
      </c>
      <c r="Q378" s="418" t="s">
        <v>780</v>
      </c>
      <c r="R378" s="429"/>
      <c r="S378" s="422"/>
      <c r="T378" s="441"/>
      <c r="U378" s="423"/>
      <c r="V378" s="418" t="s">
        <v>1146</v>
      </c>
      <c r="W378" s="421"/>
      <c r="X378" s="539"/>
      <c r="Y378" s="539"/>
      <c r="Z378" s="539"/>
    </row>
    <row r="379" spans="1:26" s="70" customFormat="1" ht="14.25" customHeight="1">
      <c r="A379" s="422" t="s">
        <v>2706</v>
      </c>
      <c r="B379" s="425" t="s">
        <v>299</v>
      </c>
      <c r="C379" s="426" t="s">
        <v>2250</v>
      </c>
      <c r="D379" s="420"/>
      <c r="E379" s="418">
        <v>196193</v>
      </c>
      <c r="F379" s="418" t="s">
        <v>2250</v>
      </c>
      <c r="G379" s="418"/>
      <c r="H379" s="418"/>
      <c r="I379" s="418"/>
      <c r="J379" s="418" t="s">
        <v>798</v>
      </c>
      <c r="K379" s="418" t="s">
        <v>798</v>
      </c>
      <c r="L379" s="418" t="s">
        <v>798</v>
      </c>
      <c r="M379" s="418"/>
      <c r="N379" s="418">
        <v>20.1663494110107</v>
      </c>
      <c r="O379" s="418">
        <v>92.871902465820298</v>
      </c>
      <c r="P379" s="418"/>
      <c r="Q379" s="418"/>
      <c r="R379" s="429"/>
      <c r="S379" s="422"/>
      <c r="T379" s="441"/>
      <c r="U379" s="423"/>
      <c r="V379" s="418"/>
      <c r="W379" s="421"/>
      <c r="X379" s="539"/>
      <c r="Y379" s="539"/>
      <c r="Z379" s="539"/>
    </row>
    <row r="380" spans="1:26" s="70" customFormat="1" ht="14.25" customHeight="1">
      <c r="A380" s="422" t="s">
        <v>2706</v>
      </c>
      <c r="B380" s="425" t="s">
        <v>299</v>
      </c>
      <c r="C380" s="426" t="s">
        <v>878</v>
      </c>
      <c r="D380" s="420" t="s">
        <v>1654</v>
      </c>
      <c r="E380" s="70">
        <v>196129</v>
      </c>
      <c r="F380" s="70" t="s">
        <v>878</v>
      </c>
      <c r="J380" s="70" t="s">
        <v>879</v>
      </c>
      <c r="K380" s="418" t="s">
        <v>798</v>
      </c>
      <c r="L380" s="418" t="s">
        <v>879</v>
      </c>
      <c r="M380" s="70" t="s">
        <v>298</v>
      </c>
      <c r="N380" s="70">
        <v>20.226730346679702</v>
      </c>
      <c r="O380" s="70">
        <v>92.836929321289105</v>
      </c>
      <c r="P380" s="70" t="s">
        <v>799</v>
      </c>
      <c r="Q380" s="70" t="s">
        <v>802</v>
      </c>
      <c r="R380" s="429"/>
      <c r="S380" s="422"/>
      <c r="T380" s="104">
        <v>42926</v>
      </c>
      <c r="U380" s="100"/>
      <c r="V380" s="70" t="s">
        <v>878</v>
      </c>
      <c r="W380" s="421"/>
      <c r="X380" s="539"/>
      <c r="Y380" s="539"/>
      <c r="Z380" s="539"/>
    </row>
    <row r="381" spans="1:26" s="70" customFormat="1" ht="14.25" customHeight="1">
      <c r="A381" s="422" t="s">
        <v>2706</v>
      </c>
      <c r="B381" s="419" t="s">
        <v>299</v>
      </c>
      <c r="C381" s="419" t="s">
        <v>2631</v>
      </c>
      <c r="D381" s="470"/>
      <c r="E381" s="418">
        <v>196136</v>
      </c>
      <c r="F381" s="418" t="s">
        <v>2760</v>
      </c>
      <c r="G381" s="418"/>
      <c r="H381" s="418"/>
      <c r="I381" s="418"/>
      <c r="J381" s="418" t="s">
        <v>798</v>
      </c>
      <c r="K381" s="418" t="s">
        <v>798</v>
      </c>
      <c r="L381" s="418" t="s">
        <v>798</v>
      </c>
      <c r="M381" s="418"/>
      <c r="N381" s="418">
        <v>20.1899604797363</v>
      </c>
      <c r="O381" s="418">
        <v>92.895767211914105</v>
      </c>
      <c r="P381" s="418"/>
      <c r="Q381" s="418"/>
      <c r="R381" s="421"/>
      <c r="S381" s="422"/>
      <c r="T381" s="441"/>
      <c r="U381" s="423"/>
      <c r="V381" s="418"/>
      <c r="W381" s="421"/>
      <c r="X381" s="539"/>
      <c r="Y381" s="539"/>
      <c r="Z381" s="539"/>
    </row>
    <row r="382" spans="1:26" s="70" customFormat="1" ht="14.25" customHeight="1">
      <c r="A382" s="422" t="s">
        <v>2706</v>
      </c>
      <c r="B382" s="425" t="s">
        <v>299</v>
      </c>
      <c r="C382" s="426" t="s">
        <v>2029</v>
      </c>
      <c r="D382" s="420"/>
      <c r="E382" s="418">
        <v>196181</v>
      </c>
      <c r="F382" s="418" t="s">
        <v>2029</v>
      </c>
      <c r="G382" s="418"/>
      <c r="H382" s="418"/>
      <c r="I382" s="418"/>
      <c r="J382" s="418" t="s">
        <v>798</v>
      </c>
      <c r="K382" s="418" t="s">
        <v>798</v>
      </c>
      <c r="L382" s="418" t="s">
        <v>798</v>
      </c>
      <c r="M382" s="418"/>
      <c r="N382" s="418">
        <v>20.227340699999999</v>
      </c>
      <c r="O382" s="418">
        <v>92.893341059999997</v>
      </c>
      <c r="P382" s="418" t="s">
        <v>799</v>
      </c>
      <c r="Q382" s="418"/>
      <c r="R382" s="429"/>
      <c r="S382" s="422"/>
      <c r="T382" s="441">
        <v>43297</v>
      </c>
      <c r="U382" s="423"/>
      <c r="V382" s="418"/>
      <c r="W382" s="421"/>
      <c r="X382" s="539"/>
      <c r="Y382" s="539"/>
      <c r="Z382" s="539"/>
    </row>
    <row r="383" spans="1:26" s="70" customFormat="1" ht="14.25" customHeight="1">
      <c r="A383" s="422" t="s">
        <v>2706</v>
      </c>
      <c r="B383" s="425" t="s">
        <v>299</v>
      </c>
      <c r="C383" s="426" t="s">
        <v>2024</v>
      </c>
      <c r="D383" s="420"/>
      <c r="E383" s="418">
        <v>196161</v>
      </c>
      <c r="F383" s="418" t="s">
        <v>2025</v>
      </c>
      <c r="G383" s="418"/>
      <c r="H383" s="418"/>
      <c r="I383" s="418"/>
      <c r="J383" s="418" t="s">
        <v>798</v>
      </c>
      <c r="K383" s="418" t="s">
        <v>798</v>
      </c>
      <c r="L383" s="418" t="s">
        <v>798</v>
      </c>
      <c r="M383" s="418" t="s">
        <v>298</v>
      </c>
      <c r="N383" s="418">
        <v>20.257850650000002</v>
      </c>
      <c r="O383" s="418">
        <v>92.811126709999996</v>
      </c>
      <c r="P383" s="418" t="s">
        <v>799</v>
      </c>
      <c r="Q383" s="418"/>
      <c r="R383" s="429"/>
      <c r="S383" s="422"/>
      <c r="T383" s="441">
        <v>43294</v>
      </c>
      <c r="U383" s="423"/>
      <c r="V383" s="418"/>
      <c r="W383" s="421"/>
      <c r="X383" s="539"/>
      <c r="Y383" s="539"/>
      <c r="Z383" s="539"/>
    </row>
    <row r="384" spans="1:26" s="70" customFormat="1" ht="14.25" customHeight="1">
      <c r="A384" s="422" t="s">
        <v>2706</v>
      </c>
      <c r="B384" s="425" t="s">
        <v>299</v>
      </c>
      <c r="C384" s="426" t="s">
        <v>2023</v>
      </c>
      <c r="D384" s="420"/>
      <c r="E384" s="70">
        <v>196168</v>
      </c>
      <c r="F384" s="70" t="s">
        <v>450</v>
      </c>
      <c r="J384" s="70" t="s">
        <v>798</v>
      </c>
      <c r="K384" s="418" t="s">
        <v>798</v>
      </c>
      <c r="L384" s="418" t="s">
        <v>798</v>
      </c>
      <c r="M384" s="70" t="s">
        <v>1910</v>
      </c>
      <c r="N384" s="70">
        <v>20.223510739999998</v>
      </c>
      <c r="O384" s="70">
        <v>92.86984253</v>
      </c>
      <c r="P384" s="70" t="s">
        <v>799</v>
      </c>
      <c r="R384" s="429"/>
      <c r="S384" s="422"/>
      <c r="T384" s="104">
        <v>43294</v>
      </c>
      <c r="U384" s="100"/>
      <c r="W384" s="421"/>
      <c r="X384" s="539"/>
      <c r="Y384" s="539"/>
      <c r="Z384" s="539"/>
    </row>
    <row r="385" spans="1:26" s="70" customFormat="1" ht="14.25" customHeight="1">
      <c r="A385" s="422" t="s">
        <v>2706</v>
      </c>
      <c r="B385" s="419" t="s">
        <v>299</v>
      </c>
      <c r="C385" s="419" t="s">
        <v>673</v>
      </c>
      <c r="D385" s="470"/>
      <c r="E385" s="419">
        <v>196208</v>
      </c>
      <c r="F385" s="419" t="s">
        <v>673</v>
      </c>
      <c r="J385" s="70" t="s">
        <v>798</v>
      </c>
      <c r="K385" s="419" t="s">
        <v>798</v>
      </c>
      <c r="L385" s="419" t="s">
        <v>798</v>
      </c>
      <c r="N385" s="70">
        <v>20.128850936889599</v>
      </c>
      <c r="O385" s="419">
        <v>92.872497558593807</v>
      </c>
      <c r="R385" s="421"/>
      <c r="S385" s="421"/>
      <c r="T385" s="104"/>
      <c r="U385" s="100"/>
      <c r="W385" s="421"/>
      <c r="X385" s="539"/>
      <c r="Y385" s="539"/>
      <c r="Z385" s="539"/>
    </row>
    <row r="386" spans="1:26" s="70" customFormat="1" ht="14.25" customHeight="1">
      <c r="A386" s="422" t="s">
        <v>2706</v>
      </c>
      <c r="B386" s="425" t="s">
        <v>299</v>
      </c>
      <c r="C386" s="426" t="s">
        <v>1876</v>
      </c>
      <c r="D386" s="420" t="s">
        <v>1874</v>
      </c>
      <c r="J386" s="70" t="s">
        <v>798</v>
      </c>
      <c r="K386" s="418" t="s">
        <v>798</v>
      </c>
      <c r="L386" s="418" t="s">
        <v>798</v>
      </c>
      <c r="P386" s="70" t="s">
        <v>799</v>
      </c>
      <c r="R386" s="429"/>
      <c r="S386" s="422"/>
      <c r="T386" s="104"/>
      <c r="U386" s="100"/>
      <c r="W386" s="421"/>
      <c r="X386" s="539"/>
      <c r="Y386" s="539"/>
      <c r="Z386" s="539"/>
    </row>
    <row r="387" spans="1:26" s="70" customFormat="1" ht="14.25" customHeight="1">
      <c r="A387" s="422" t="s">
        <v>2706</v>
      </c>
      <c r="B387" s="425" t="s">
        <v>299</v>
      </c>
      <c r="C387" s="426" t="s">
        <v>442</v>
      </c>
      <c r="D387" s="420" t="s">
        <v>1654</v>
      </c>
      <c r="E387" s="70">
        <v>196159</v>
      </c>
      <c r="J387" s="70" t="s">
        <v>798</v>
      </c>
      <c r="K387" s="418" t="s">
        <v>798</v>
      </c>
      <c r="L387" s="418" t="s">
        <v>798</v>
      </c>
      <c r="M387" s="70" t="s">
        <v>298</v>
      </c>
      <c r="N387" s="70">
        <v>20.2023601531982</v>
      </c>
      <c r="O387" s="70">
        <v>92.812782287597699</v>
      </c>
      <c r="P387" s="70" t="s">
        <v>799</v>
      </c>
      <c r="Q387" s="70" t="s">
        <v>780</v>
      </c>
      <c r="R387" s="429"/>
      <c r="S387" s="422"/>
      <c r="T387" s="104"/>
      <c r="U387" s="100"/>
      <c r="V387" s="70" t="s">
        <v>442</v>
      </c>
      <c r="W387" s="421"/>
      <c r="X387" s="539"/>
      <c r="Y387" s="539"/>
      <c r="Z387" s="539"/>
    </row>
    <row r="388" spans="1:26" s="70" customFormat="1" ht="14.25" customHeight="1">
      <c r="A388" s="418" t="s">
        <v>38</v>
      </c>
      <c r="B388" s="418" t="s">
        <v>189</v>
      </c>
      <c r="C388" s="418" t="s">
        <v>1086</v>
      </c>
      <c r="D388" s="470" t="s">
        <v>1654</v>
      </c>
      <c r="E388" s="418"/>
      <c r="J388" s="70" t="s">
        <v>1449</v>
      </c>
      <c r="K388" s="418" t="s">
        <v>44</v>
      </c>
      <c r="L388" s="418" t="s">
        <v>1087</v>
      </c>
      <c r="M388" s="70" t="s">
        <v>45</v>
      </c>
      <c r="P388" s="70" t="s">
        <v>761</v>
      </c>
      <c r="R388" s="98"/>
      <c r="S388" s="422"/>
      <c r="T388" s="104"/>
      <c r="U388" s="100"/>
      <c r="V388" s="70" t="s">
        <v>1086</v>
      </c>
      <c r="W388" s="418"/>
      <c r="X388" s="539"/>
      <c r="Y388" s="539"/>
      <c r="Z388" s="539"/>
    </row>
    <row r="389" spans="1:26" s="70" customFormat="1" ht="14.25" customHeight="1">
      <c r="A389" s="418" t="s">
        <v>38</v>
      </c>
      <c r="B389" s="418" t="s">
        <v>189</v>
      </c>
      <c r="C389" s="418" t="s">
        <v>271</v>
      </c>
      <c r="D389" s="470" t="s">
        <v>2896</v>
      </c>
      <c r="E389" s="70" t="s">
        <v>1482</v>
      </c>
      <c r="F389" s="70" t="s">
        <v>1784</v>
      </c>
      <c r="G389" s="70" t="s">
        <v>1784</v>
      </c>
      <c r="H389" s="70" t="s">
        <v>42</v>
      </c>
      <c r="I389" s="70" t="s">
        <v>43</v>
      </c>
      <c r="J389" s="70" t="s">
        <v>44</v>
      </c>
      <c r="K389" s="418" t="s">
        <v>44</v>
      </c>
      <c r="L389" s="418" t="s">
        <v>44</v>
      </c>
      <c r="M389" s="70" t="s">
        <v>45</v>
      </c>
      <c r="N389" s="70">
        <v>24.260719999999999</v>
      </c>
      <c r="O389" s="70">
        <v>97.238829999999993</v>
      </c>
      <c r="P389" s="70" t="s">
        <v>761</v>
      </c>
      <c r="Q389" s="70" t="s">
        <v>780</v>
      </c>
      <c r="R389" s="98">
        <v>218</v>
      </c>
      <c r="S389" s="421">
        <v>1067</v>
      </c>
      <c r="T389" s="104"/>
      <c r="U389" s="100"/>
      <c r="V389" s="70" t="s">
        <v>271</v>
      </c>
      <c r="X389" s="539"/>
      <c r="Y389" s="539"/>
      <c r="Z389" s="539"/>
    </row>
    <row r="390" spans="1:26" s="70" customFormat="1" ht="14.25" customHeight="1">
      <c r="A390" s="418" t="s">
        <v>38</v>
      </c>
      <c r="B390" s="418" t="s">
        <v>189</v>
      </c>
      <c r="C390" s="418" t="s">
        <v>190</v>
      </c>
      <c r="D390" s="470" t="s">
        <v>2896</v>
      </c>
      <c r="E390" s="70" t="s">
        <v>1481</v>
      </c>
      <c r="F390" s="70" t="s">
        <v>1783</v>
      </c>
      <c r="G390" s="70" t="s">
        <v>1783</v>
      </c>
      <c r="H390" s="70" t="s">
        <v>42</v>
      </c>
      <c r="I390" s="70" t="s">
        <v>135</v>
      </c>
      <c r="J390" s="70" t="s">
        <v>44</v>
      </c>
      <c r="K390" s="418" t="s">
        <v>44</v>
      </c>
      <c r="L390" s="418" t="s">
        <v>44</v>
      </c>
      <c r="M390" s="70" t="s">
        <v>45</v>
      </c>
      <c r="N390" s="70">
        <v>24.260466999999998</v>
      </c>
      <c r="O390" s="70">
        <v>97.252650000000003</v>
      </c>
      <c r="P390" s="70" t="s">
        <v>761</v>
      </c>
      <c r="Q390" s="70" t="s">
        <v>780</v>
      </c>
      <c r="R390" s="421">
        <v>12</v>
      </c>
      <c r="S390" s="421">
        <v>52</v>
      </c>
      <c r="T390" s="104"/>
      <c r="U390" s="100"/>
      <c r="V390" s="70" t="s">
        <v>190</v>
      </c>
      <c r="W390" s="418"/>
      <c r="X390" s="539"/>
      <c r="Y390" s="539"/>
      <c r="Z390" s="539"/>
    </row>
    <row r="391" spans="1:26" s="70" customFormat="1" ht="14.25" customHeight="1">
      <c r="A391" s="418" t="s">
        <v>38</v>
      </c>
      <c r="B391" s="418" t="s">
        <v>189</v>
      </c>
      <c r="C391" s="418" t="s">
        <v>1094</v>
      </c>
      <c r="D391" s="470" t="s">
        <v>1654</v>
      </c>
      <c r="E391" s="418"/>
      <c r="J391" s="70" t="s">
        <v>798</v>
      </c>
      <c r="K391" s="70" t="s">
        <v>798</v>
      </c>
      <c r="L391" s="70" t="s">
        <v>798</v>
      </c>
      <c r="M391" s="70" t="s">
        <v>45</v>
      </c>
      <c r="P391" s="70" t="s">
        <v>799</v>
      </c>
      <c r="R391" s="421"/>
      <c r="S391" s="422"/>
      <c r="T391" s="104"/>
      <c r="U391" s="100"/>
      <c r="W391" s="418"/>
      <c r="X391" s="539"/>
      <c r="Y391" s="539"/>
      <c r="Z391" s="539"/>
    </row>
    <row r="392" spans="1:26" s="70" customFormat="1" ht="14.25" customHeight="1">
      <c r="A392" s="418" t="s">
        <v>38</v>
      </c>
      <c r="B392" s="418" t="s">
        <v>189</v>
      </c>
      <c r="C392" s="418" t="s">
        <v>1009</v>
      </c>
      <c r="D392" s="470" t="s">
        <v>2896</v>
      </c>
      <c r="E392" s="418" t="s">
        <v>1485</v>
      </c>
      <c r="I392" s="70" t="s">
        <v>2141</v>
      </c>
      <c r="J392" s="70" t="s">
        <v>44</v>
      </c>
      <c r="K392" s="70" t="s">
        <v>44</v>
      </c>
      <c r="L392" s="70" t="s">
        <v>772</v>
      </c>
      <c r="M392" s="70" t="s">
        <v>45</v>
      </c>
      <c r="N392" s="418">
        <v>24.263786</v>
      </c>
      <c r="O392" s="418">
        <v>97.228835000000004</v>
      </c>
      <c r="P392" s="70" t="s">
        <v>773</v>
      </c>
      <c r="Q392" s="70" t="s">
        <v>762</v>
      </c>
      <c r="R392" s="98">
        <v>181</v>
      </c>
      <c r="S392" s="421">
        <v>906</v>
      </c>
      <c r="T392" s="104"/>
      <c r="U392" s="100" t="s">
        <v>1010</v>
      </c>
      <c r="V392" s="70" t="s">
        <v>772</v>
      </c>
      <c r="W392" s="418"/>
      <c r="X392" s="539"/>
      <c r="Y392" s="539"/>
      <c r="Z392" s="539"/>
    </row>
    <row r="393" spans="1:26" s="70" customFormat="1" ht="14.25" customHeight="1">
      <c r="A393" s="418" t="s">
        <v>38</v>
      </c>
      <c r="B393" s="418" t="s">
        <v>189</v>
      </c>
      <c r="C393" s="418" t="s">
        <v>768</v>
      </c>
      <c r="D393" s="470" t="s">
        <v>1655</v>
      </c>
      <c r="E393" s="418" t="s">
        <v>1312</v>
      </c>
      <c r="F393" s="70">
        <v>0</v>
      </c>
      <c r="G393" s="70">
        <v>0</v>
      </c>
      <c r="I393" s="70">
        <v>0</v>
      </c>
      <c r="J393" s="70" t="s">
        <v>44</v>
      </c>
      <c r="K393" s="70" t="s">
        <v>44</v>
      </c>
      <c r="L393" s="70" t="s">
        <v>760</v>
      </c>
      <c r="M393" s="70" t="s">
        <v>45</v>
      </c>
      <c r="N393" s="418"/>
      <c r="O393" s="418"/>
      <c r="P393" s="70" t="s">
        <v>761</v>
      </c>
      <c r="R393" s="98"/>
      <c r="S393" s="422"/>
      <c r="T393" s="104"/>
      <c r="U393" s="100"/>
      <c r="V393" s="70" t="s">
        <v>768</v>
      </c>
      <c r="W393" s="418" t="s">
        <v>2142</v>
      </c>
      <c r="X393" s="539"/>
      <c r="Y393" s="539"/>
      <c r="Z393" s="539"/>
    </row>
    <row r="394" spans="1:26" s="70" customFormat="1" ht="14.25" customHeight="1">
      <c r="A394" s="418" t="s">
        <v>38</v>
      </c>
      <c r="B394" s="418" t="s">
        <v>189</v>
      </c>
      <c r="C394" s="418" t="s">
        <v>192</v>
      </c>
      <c r="D394" s="470" t="s">
        <v>2896</v>
      </c>
      <c r="E394" s="418" t="s">
        <v>1473</v>
      </c>
      <c r="F394" s="418" t="s">
        <v>1781</v>
      </c>
      <c r="G394" s="418" t="s">
        <v>1782</v>
      </c>
      <c r="H394" s="418" t="s">
        <v>42</v>
      </c>
      <c r="I394" s="418" t="s">
        <v>135</v>
      </c>
      <c r="J394" s="418" t="s">
        <v>44</v>
      </c>
      <c r="K394" s="418" t="s">
        <v>44</v>
      </c>
      <c r="L394" s="418" t="s">
        <v>44</v>
      </c>
      <c r="M394" s="418" t="s">
        <v>45</v>
      </c>
      <c r="N394" s="418">
        <v>24.24766</v>
      </c>
      <c r="O394" s="418">
        <v>97.236919999999998</v>
      </c>
      <c r="P394" s="418" t="s">
        <v>761</v>
      </c>
      <c r="Q394" s="418" t="s">
        <v>780</v>
      </c>
      <c r="R394" s="421">
        <v>40</v>
      </c>
      <c r="S394" s="421">
        <v>232</v>
      </c>
      <c r="T394" s="441"/>
      <c r="U394" s="423"/>
      <c r="V394" s="418" t="s">
        <v>192</v>
      </c>
      <c r="W394" s="418"/>
      <c r="X394" s="539"/>
      <c r="Y394" s="539"/>
      <c r="Z394" s="539"/>
    </row>
    <row r="395" spans="1:26" s="70" customFormat="1" ht="14.25" customHeight="1">
      <c r="A395" s="418" t="s">
        <v>38</v>
      </c>
      <c r="B395" s="418" t="s">
        <v>189</v>
      </c>
      <c r="C395" s="418" t="s">
        <v>1008</v>
      </c>
      <c r="D395" s="470" t="s">
        <v>1655</v>
      </c>
      <c r="E395" s="418" t="s">
        <v>1483</v>
      </c>
      <c r="F395" s="418">
        <v>0</v>
      </c>
      <c r="G395" s="418">
        <v>0</v>
      </c>
      <c r="H395" s="418"/>
      <c r="I395" s="418">
        <v>0</v>
      </c>
      <c r="J395" s="70" t="s">
        <v>44</v>
      </c>
      <c r="K395" s="418" t="s">
        <v>44</v>
      </c>
      <c r="L395" s="418" t="s">
        <v>760</v>
      </c>
      <c r="M395" s="70" t="s">
        <v>45</v>
      </c>
      <c r="N395" s="70">
        <v>24.262418019999998</v>
      </c>
      <c r="O395" s="70">
        <v>97.221556500000005</v>
      </c>
      <c r="P395" s="70" t="s">
        <v>761</v>
      </c>
      <c r="R395" s="421"/>
      <c r="S395" s="422"/>
      <c r="T395" s="104"/>
      <c r="U395" s="100"/>
      <c r="V395" s="70" t="s">
        <v>1008</v>
      </c>
      <c r="W395" s="70" t="s">
        <v>2143</v>
      </c>
      <c r="X395" s="539"/>
      <c r="Y395" s="539"/>
      <c r="Z395" s="539"/>
    </row>
    <row r="396" spans="1:26" s="70" customFormat="1" ht="14.25" customHeight="1">
      <c r="A396" s="418" t="s">
        <v>38</v>
      </c>
      <c r="B396" s="418" t="s">
        <v>189</v>
      </c>
      <c r="C396" s="418" t="s">
        <v>194</v>
      </c>
      <c r="D396" s="470" t="s">
        <v>2896</v>
      </c>
      <c r="E396" s="418" t="s">
        <v>1484</v>
      </c>
      <c r="F396" s="418" t="s">
        <v>1784</v>
      </c>
      <c r="G396" s="418" t="s">
        <v>1784</v>
      </c>
      <c r="H396" s="418" t="s">
        <v>42</v>
      </c>
      <c r="I396" s="418" t="s">
        <v>236</v>
      </c>
      <c r="J396" s="70" t="s">
        <v>44</v>
      </c>
      <c r="K396" s="418" t="s">
        <v>44</v>
      </c>
      <c r="L396" s="418" t="s">
        <v>44</v>
      </c>
      <c r="M396" s="418" t="s">
        <v>45</v>
      </c>
      <c r="N396" s="418">
        <v>24.263174360000001</v>
      </c>
      <c r="O396" s="418">
        <v>97.240183459999997</v>
      </c>
      <c r="P396" s="70" t="s">
        <v>761</v>
      </c>
      <c r="Q396" s="418" t="s">
        <v>780</v>
      </c>
      <c r="R396" s="421">
        <v>139</v>
      </c>
      <c r="S396" s="421">
        <v>777</v>
      </c>
      <c r="T396" s="441"/>
      <c r="U396" s="423"/>
      <c r="V396" s="418" t="s">
        <v>194</v>
      </c>
      <c r="W396" s="418"/>
      <c r="X396" s="539"/>
      <c r="Y396" s="539"/>
      <c r="Z396" s="539"/>
    </row>
    <row r="397" spans="1:26" s="70" customFormat="1" ht="14.25" customHeight="1">
      <c r="A397" s="422" t="s">
        <v>38</v>
      </c>
      <c r="B397" s="418" t="s">
        <v>189</v>
      </c>
      <c r="C397" s="411" t="s">
        <v>2032</v>
      </c>
      <c r="D397" s="420"/>
      <c r="E397" s="418"/>
      <c r="J397" s="70" t="s">
        <v>1449</v>
      </c>
      <c r="K397" s="70" t="s">
        <v>44</v>
      </c>
      <c r="L397" s="70" t="s">
        <v>1087</v>
      </c>
      <c r="M397" s="70" t="s">
        <v>45</v>
      </c>
      <c r="N397" s="418"/>
      <c r="O397" s="418"/>
      <c r="P397" s="70" t="s">
        <v>1992</v>
      </c>
      <c r="R397" s="429"/>
      <c r="S397" s="422"/>
      <c r="T397" s="104">
        <v>43298</v>
      </c>
      <c r="U397" s="100"/>
      <c r="W397" s="418"/>
      <c r="X397" s="539"/>
      <c r="Y397" s="539"/>
      <c r="Z397" s="539"/>
    </row>
    <row r="398" spans="1:26" s="70" customFormat="1" ht="14.25" customHeight="1">
      <c r="A398" s="418" t="s">
        <v>38</v>
      </c>
      <c r="B398" s="418" t="s">
        <v>189</v>
      </c>
      <c r="C398" s="418" t="s">
        <v>195</v>
      </c>
      <c r="D398" s="470" t="s">
        <v>2896</v>
      </c>
      <c r="E398" s="418" t="s">
        <v>1479</v>
      </c>
      <c r="F398" s="418" t="s">
        <v>1781</v>
      </c>
      <c r="G398" s="418" t="s">
        <v>1782</v>
      </c>
      <c r="H398" s="418" t="s">
        <v>42</v>
      </c>
      <c r="I398" s="418" t="s">
        <v>236</v>
      </c>
      <c r="J398" s="418" t="s">
        <v>44</v>
      </c>
      <c r="K398" s="418" t="s">
        <v>44</v>
      </c>
      <c r="L398" s="418" t="s">
        <v>44</v>
      </c>
      <c r="M398" s="418" t="s">
        <v>45</v>
      </c>
      <c r="N398" s="418">
        <v>24.253067000000001</v>
      </c>
      <c r="O398" s="418">
        <v>97.234200000000001</v>
      </c>
      <c r="P398" s="418" t="s">
        <v>761</v>
      </c>
      <c r="Q398" s="418" t="s">
        <v>780</v>
      </c>
      <c r="R398" s="421">
        <v>14</v>
      </c>
      <c r="S398" s="421">
        <v>55</v>
      </c>
      <c r="T398" s="441"/>
      <c r="U398" s="423"/>
      <c r="V398" s="418" t="s">
        <v>195</v>
      </c>
      <c r="W398" s="418"/>
      <c r="X398" s="539"/>
      <c r="Y398" s="539"/>
      <c r="Z398" s="539"/>
    </row>
    <row r="399" spans="1:26" s="70" customFormat="1" ht="14.25" customHeight="1">
      <c r="A399" s="418" t="s">
        <v>38</v>
      </c>
      <c r="B399" s="418" t="s">
        <v>189</v>
      </c>
      <c r="C399" s="418" t="s">
        <v>197</v>
      </c>
      <c r="D399" s="470" t="s">
        <v>2896</v>
      </c>
      <c r="E399" s="418" t="s">
        <v>1489</v>
      </c>
      <c r="F399" s="418" t="s">
        <v>1788</v>
      </c>
      <c r="G399" s="418" t="s">
        <v>1788</v>
      </c>
      <c r="H399" s="418" t="s">
        <v>42</v>
      </c>
      <c r="I399" s="418" t="s">
        <v>43</v>
      </c>
      <c r="J399" s="418" t="s">
        <v>44</v>
      </c>
      <c r="K399" s="418" t="s">
        <v>44</v>
      </c>
      <c r="L399" s="418" t="s">
        <v>760</v>
      </c>
      <c r="M399" s="418" t="s">
        <v>45</v>
      </c>
      <c r="N399" s="418">
        <v>24.32638</v>
      </c>
      <c r="O399" s="418">
        <v>97.315860000000001</v>
      </c>
      <c r="P399" s="418" t="s">
        <v>761</v>
      </c>
      <c r="Q399" s="418" t="s">
        <v>780</v>
      </c>
      <c r="R399" s="421"/>
      <c r="S399" s="421"/>
      <c r="T399" s="441"/>
      <c r="U399" s="423"/>
      <c r="V399" s="418" t="s">
        <v>197</v>
      </c>
      <c r="W399" s="418"/>
      <c r="X399" s="539"/>
      <c r="Y399" s="539"/>
      <c r="Z399" s="539"/>
    </row>
    <row r="400" spans="1:26" s="70" customFormat="1" ht="14.25" customHeight="1">
      <c r="A400" s="418" t="s">
        <v>38</v>
      </c>
      <c r="B400" s="418" t="s">
        <v>189</v>
      </c>
      <c r="C400" s="418" t="s">
        <v>273</v>
      </c>
      <c r="D400" s="470" t="s">
        <v>2896</v>
      </c>
      <c r="E400" s="418" t="s">
        <v>1470</v>
      </c>
      <c r="F400" s="418" t="s">
        <v>1778</v>
      </c>
      <c r="G400" s="418" t="s">
        <v>1779</v>
      </c>
      <c r="H400" s="418" t="s">
        <v>42</v>
      </c>
      <c r="I400" s="418" t="s">
        <v>135</v>
      </c>
      <c r="J400" s="70" t="s">
        <v>44</v>
      </c>
      <c r="K400" s="418" t="s">
        <v>44</v>
      </c>
      <c r="L400" s="418" t="s">
        <v>44</v>
      </c>
      <c r="M400" s="418" t="s">
        <v>45</v>
      </c>
      <c r="N400" s="418">
        <v>24.222349999999999</v>
      </c>
      <c r="O400" s="418">
        <v>97.252650000000003</v>
      </c>
      <c r="P400" s="70" t="s">
        <v>761</v>
      </c>
      <c r="Q400" s="418" t="s">
        <v>780</v>
      </c>
      <c r="R400" s="421">
        <v>147</v>
      </c>
      <c r="S400" s="421">
        <v>783</v>
      </c>
      <c r="T400" s="441"/>
      <c r="U400" s="423"/>
      <c r="V400" s="418" t="s">
        <v>273</v>
      </c>
      <c r="W400" s="418"/>
      <c r="X400" s="539"/>
      <c r="Y400" s="539"/>
      <c r="Z400" s="539"/>
    </row>
    <row r="401" spans="1:26" s="70" customFormat="1" ht="14.25" customHeight="1">
      <c r="A401" s="418" t="s">
        <v>38</v>
      </c>
      <c r="B401" s="419" t="s">
        <v>189</v>
      </c>
      <c r="C401" s="419" t="s">
        <v>274</v>
      </c>
      <c r="D401" s="470" t="s">
        <v>2896</v>
      </c>
      <c r="E401" s="418" t="s">
        <v>1486</v>
      </c>
      <c r="F401" s="419" t="s">
        <v>1781</v>
      </c>
      <c r="G401" s="418" t="s">
        <v>1785</v>
      </c>
      <c r="H401" s="418" t="s">
        <v>42</v>
      </c>
      <c r="I401" s="418" t="s">
        <v>135</v>
      </c>
      <c r="J401" s="418" t="s">
        <v>44</v>
      </c>
      <c r="K401" s="418" t="s">
        <v>44</v>
      </c>
      <c r="L401" s="418" t="s">
        <v>44</v>
      </c>
      <c r="M401" s="418" t="s">
        <v>45</v>
      </c>
      <c r="N401" s="418">
        <v>24.26829283</v>
      </c>
      <c r="O401" s="418">
        <v>97.229116809999994</v>
      </c>
      <c r="P401" s="418" t="s">
        <v>761</v>
      </c>
      <c r="Q401" s="418" t="s">
        <v>780</v>
      </c>
      <c r="R401" s="425">
        <v>641</v>
      </c>
      <c r="S401" s="425">
        <v>4027</v>
      </c>
      <c r="T401" s="441"/>
      <c r="U401" s="423"/>
      <c r="V401" s="418" t="s">
        <v>274</v>
      </c>
      <c r="W401" s="412" t="s">
        <v>2270</v>
      </c>
      <c r="X401" s="539"/>
      <c r="Y401" s="539"/>
      <c r="Z401" s="539"/>
    </row>
    <row r="402" spans="1:26" s="70" customFormat="1" ht="14.25" customHeight="1">
      <c r="A402" s="426" t="s">
        <v>38</v>
      </c>
      <c r="B402" s="425" t="s">
        <v>189</v>
      </c>
      <c r="C402" s="431" t="s">
        <v>1646</v>
      </c>
      <c r="D402" s="470" t="s">
        <v>1654</v>
      </c>
      <c r="E402" s="419"/>
      <c r="F402" s="419"/>
      <c r="G402" s="419"/>
      <c r="H402" s="419" t="s">
        <v>130</v>
      </c>
      <c r="I402" s="419"/>
      <c r="J402" s="419" t="s">
        <v>1449</v>
      </c>
      <c r="K402" s="70" t="s">
        <v>44</v>
      </c>
      <c r="L402" s="70" t="s">
        <v>44</v>
      </c>
      <c r="M402" s="70" t="s">
        <v>45</v>
      </c>
      <c r="N402" s="419"/>
      <c r="O402" s="419"/>
      <c r="P402" s="70" t="s">
        <v>761</v>
      </c>
      <c r="Q402" s="419"/>
      <c r="R402" s="430"/>
      <c r="S402" s="426"/>
      <c r="T402" s="442">
        <v>43245</v>
      </c>
      <c r="U402" s="427"/>
      <c r="V402" s="419"/>
      <c r="W402" s="418"/>
      <c r="X402" s="539"/>
      <c r="Y402" s="539"/>
      <c r="Z402" s="539"/>
    </row>
    <row r="403" spans="1:26" s="70" customFormat="1" ht="14.25" customHeight="1">
      <c r="A403" s="418" t="s">
        <v>38</v>
      </c>
      <c r="B403" s="419" t="s">
        <v>189</v>
      </c>
      <c r="C403" s="419" t="s">
        <v>1011</v>
      </c>
      <c r="D403" s="470" t="s">
        <v>1960</v>
      </c>
      <c r="E403" s="419" t="s">
        <v>1488</v>
      </c>
      <c r="F403" s="418" t="s">
        <v>1781</v>
      </c>
      <c r="G403" s="418" t="s">
        <v>1861</v>
      </c>
      <c r="H403" s="418" t="s">
        <v>42</v>
      </c>
      <c r="I403" s="418" t="s">
        <v>236</v>
      </c>
      <c r="J403" s="418" t="s">
        <v>44</v>
      </c>
      <c r="K403" s="418" t="s">
        <v>44</v>
      </c>
      <c r="L403" s="418" t="s">
        <v>760</v>
      </c>
      <c r="M403" s="418" t="s">
        <v>45</v>
      </c>
      <c r="N403" s="418">
        <v>24.29138</v>
      </c>
      <c r="O403" s="418">
        <v>97.227789999999999</v>
      </c>
      <c r="P403" s="418" t="s">
        <v>761</v>
      </c>
      <c r="Q403" s="418" t="s">
        <v>762</v>
      </c>
      <c r="R403" s="421"/>
      <c r="S403" s="422"/>
      <c r="T403" s="441">
        <v>43276</v>
      </c>
      <c r="U403" s="423" t="s">
        <v>1961</v>
      </c>
      <c r="V403" s="418" t="s">
        <v>1011</v>
      </c>
      <c r="W403" s="412" t="s">
        <v>2144</v>
      </c>
      <c r="X403" s="539"/>
      <c r="Y403" s="539"/>
      <c r="Z403" s="539"/>
    </row>
    <row r="404" spans="1:26" s="70" customFormat="1" ht="14.25" customHeight="1">
      <c r="A404" s="418" t="s">
        <v>38</v>
      </c>
      <c r="B404" s="419" t="s">
        <v>189</v>
      </c>
      <c r="C404" s="419" t="s">
        <v>791</v>
      </c>
      <c r="D404" s="470" t="s">
        <v>1655</v>
      </c>
      <c r="E404" s="419" t="s">
        <v>1332</v>
      </c>
      <c r="F404" s="418">
        <v>0</v>
      </c>
      <c r="G404" s="418">
        <v>0</v>
      </c>
      <c r="H404" s="418"/>
      <c r="I404" s="418">
        <v>0</v>
      </c>
      <c r="J404" s="418" t="s">
        <v>44</v>
      </c>
      <c r="K404" s="418" t="s">
        <v>44</v>
      </c>
      <c r="L404" s="418" t="s">
        <v>760</v>
      </c>
      <c r="M404" s="418" t="s">
        <v>45</v>
      </c>
      <c r="N404" s="418"/>
      <c r="O404" s="418"/>
      <c r="P404" s="418" t="s">
        <v>761</v>
      </c>
      <c r="Q404" s="418"/>
      <c r="R404" s="421"/>
      <c r="S404" s="422"/>
      <c r="T404" s="441"/>
      <c r="U404" s="423"/>
      <c r="V404" s="418" t="s">
        <v>791</v>
      </c>
      <c r="W404" s="418" t="s">
        <v>2145</v>
      </c>
      <c r="X404" s="539"/>
      <c r="Y404" s="539"/>
      <c r="Z404" s="539"/>
    </row>
    <row r="405" spans="1:26" s="70" customFormat="1" ht="14.25" customHeight="1">
      <c r="A405" s="418" t="s">
        <v>38</v>
      </c>
      <c r="B405" s="419" t="s">
        <v>189</v>
      </c>
      <c r="C405" s="419" t="s">
        <v>198</v>
      </c>
      <c r="D405" s="470" t="s">
        <v>2721</v>
      </c>
      <c r="E405" s="419" t="s">
        <v>1474</v>
      </c>
      <c r="F405" s="418" t="s">
        <v>1778</v>
      </c>
      <c r="G405" s="418" t="s">
        <v>1778</v>
      </c>
      <c r="H405" s="418" t="s">
        <v>42</v>
      </c>
      <c r="I405" s="418" t="s">
        <v>236</v>
      </c>
      <c r="J405" s="418" t="s">
        <v>44</v>
      </c>
      <c r="K405" s="418" t="s">
        <v>44</v>
      </c>
      <c r="L405" s="418" t="s">
        <v>760</v>
      </c>
      <c r="M405" s="418" t="s">
        <v>45</v>
      </c>
      <c r="N405" s="418">
        <v>24.24953</v>
      </c>
      <c r="O405" s="418">
        <v>97.240639999999999</v>
      </c>
      <c r="P405" s="418" t="s">
        <v>761</v>
      </c>
      <c r="Q405" s="418" t="s">
        <v>780</v>
      </c>
      <c r="R405" s="421"/>
      <c r="S405" s="421"/>
      <c r="T405" s="441"/>
      <c r="U405" s="423"/>
      <c r="V405" s="418" t="s">
        <v>198</v>
      </c>
      <c r="W405" s="418"/>
      <c r="X405" s="539"/>
      <c r="Y405" s="539"/>
      <c r="Z405" s="539"/>
    </row>
    <row r="406" spans="1:26" s="70" customFormat="1" ht="14.25" customHeight="1">
      <c r="A406" s="418" t="s">
        <v>38</v>
      </c>
      <c r="B406" s="418" t="s">
        <v>140</v>
      </c>
      <c r="C406" s="418" t="s">
        <v>1098</v>
      </c>
      <c r="D406" s="470" t="s">
        <v>1654</v>
      </c>
      <c r="E406" s="418"/>
      <c r="F406" s="418"/>
      <c r="G406" s="418"/>
      <c r="H406" s="418"/>
      <c r="I406" s="418"/>
      <c r="J406" s="418" t="s">
        <v>44</v>
      </c>
      <c r="K406" s="418" t="s">
        <v>44</v>
      </c>
      <c r="L406" s="418" t="s">
        <v>1099</v>
      </c>
      <c r="M406" s="418" t="s">
        <v>45</v>
      </c>
      <c r="N406" s="418"/>
      <c r="O406" s="418"/>
      <c r="P406" s="418" t="s">
        <v>761</v>
      </c>
      <c r="Q406" s="418"/>
      <c r="R406" s="421"/>
      <c r="S406" s="422"/>
      <c r="T406" s="441"/>
      <c r="U406" s="423"/>
      <c r="V406" s="418" t="s">
        <v>1098</v>
      </c>
      <c r="W406" s="418"/>
      <c r="X406" s="539"/>
      <c r="Y406" s="539"/>
      <c r="Z406" s="539"/>
    </row>
    <row r="407" spans="1:26" s="70" customFormat="1" ht="14.25" customHeight="1">
      <c r="A407" s="418" t="s">
        <v>38</v>
      </c>
      <c r="B407" s="418" t="s">
        <v>140</v>
      </c>
      <c r="C407" s="70" t="s">
        <v>239</v>
      </c>
      <c r="D407" s="470" t="s">
        <v>2896</v>
      </c>
      <c r="E407" s="70" t="s">
        <v>1594</v>
      </c>
      <c r="F407" s="70" t="s">
        <v>1842</v>
      </c>
      <c r="G407" s="70" t="s">
        <v>1843</v>
      </c>
      <c r="H407" s="70" t="s">
        <v>42</v>
      </c>
      <c r="I407" s="70" t="s">
        <v>236</v>
      </c>
      <c r="J407" s="70" t="s">
        <v>44</v>
      </c>
      <c r="K407" s="70" t="s">
        <v>44</v>
      </c>
      <c r="L407" s="70" t="s">
        <v>44</v>
      </c>
      <c r="M407" s="70" t="s">
        <v>45</v>
      </c>
      <c r="N407" s="70">
        <v>25.889410000000002</v>
      </c>
      <c r="O407" s="70">
        <v>98.131550000000004</v>
      </c>
      <c r="P407" s="70" t="s">
        <v>761</v>
      </c>
      <c r="Q407" s="70" t="s">
        <v>780</v>
      </c>
      <c r="R407" s="421">
        <v>163</v>
      </c>
      <c r="S407" s="421">
        <v>830</v>
      </c>
      <c r="T407" s="104"/>
      <c r="U407" s="100"/>
      <c r="V407" s="70" t="s">
        <v>239</v>
      </c>
      <c r="X407" s="539"/>
      <c r="Y407" s="539"/>
      <c r="Z407" s="539"/>
    </row>
    <row r="408" spans="1:26" s="70" customFormat="1" ht="14.25" customHeight="1">
      <c r="A408" s="418" t="s">
        <v>38</v>
      </c>
      <c r="B408" s="418" t="s">
        <v>140</v>
      </c>
      <c r="C408" s="70" t="s">
        <v>769</v>
      </c>
      <c r="D408" s="470" t="s">
        <v>1655</v>
      </c>
      <c r="E408" s="70" t="s">
        <v>1313</v>
      </c>
      <c r="F408" s="70">
        <v>0</v>
      </c>
      <c r="G408" s="70">
        <v>0</v>
      </c>
      <c r="H408" s="70" t="s">
        <v>42</v>
      </c>
      <c r="I408" s="70" t="s">
        <v>1314</v>
      </c>
      <c r="J408" s="70" t="s">
        <v>44</v>
      </c>
      <c r="K408" s="70" t="s">
        <v>44</v>
      </c>
      <c r="L408" s="70" t="s">
        <v>760</v>
      </c>
      <c r="M408" s="70" t="s">
        <v>45</v>
      </c>
      <c r="P408" s="70" t="s">
        <v>761</v>
      </c>
      <c r="R408" s="98"/>
      <c r="S408" s="422"/>
      <c r="T408" s="104"/>
      <c r="U408" s="100"/>
      <c r="V408" s="70" t="s">
        <v>769</v>
      </c>
      <c r="W408" s="412" t="s">
        <v>2146</v>
      </c>
      <c r="X408" s="539"/>
      <c r="Y408" s="539"/>
      <c r="Z408" s="539"/>
    </row>
    <row r="409" spans="1:26" s="70" customFormat="1" ht="14.25" customHeight="1">
      <c r="A409" s="418" t="s">
        <v>38</v>
      </c>
      <c r="B409" s="418" t="s">
        <v>140</v>
      </c>
      <c r="C409" s="418" t="s">
        <v>141</v>
      </c>
      <c r="D409" s="470" t="s">
        <v>2896</v>
      </c>
      <c r="E409" s="418" t="s">
        <v>1590</v>
      </c>
      <c r="F409" s="418" t="s">
        <v>1839</v>
      </c>
      <c r="G409" s="418" t="s">
        <v>1840</v>
      </c>
      <c r="H409" s="418" t="s">
        <v>42</v>
      </c>
      <c r="I409" s="418" t="s">
        <v>135</v>
      </c>
      <c r="J409" s="418" t="s">
        <v>44</v>
      </c>
      <c r="K409" s="418" t="s">
        <v>44</v>
      </c>
      <c r="L409" s="418" t="s">
        <v>44</v>
      </c>
      <c r="M409" s="418" t="s">
        <v>778</v>
      </c>
      <c r="N409" s="418">
        <v>25.754110000000001</v>
      </c>
      <c r="O409" s="418">
        <v>98.475719999999995</v>
      </c>
      <c r="P409" s="418" t="s">
        <v>761</v>
      </c>
      <c r="Q409" s="418" t="s">
        <v>780</v>
      </c>
      <c r="R409" s="421">
        <v>163</v>
      </c>
      <c r="S409" s="421">
        <v>967</v>
      </c>
      <c r="T409" s="441"/>
      <c r="U409" s="423"/>
      <c r="V409" s="418" t="s">
        <v>141</v>
      </c>
      <c r="W409" s="412" t="s">
        <v>2271</v>
      </c>
      <c r="X409" s="539"/>
      <c r="Y409" s="539"/>
      <c r="Z409" s="539"/>
    </row>
    <row r="410" spans="1:26" s="70" customFormat="1" ht="14.25" customHeight="1">
      <c r="A410" s="418" t="s">
        <v>38</v>
      </c>
      <c r="B410" s="418" t="s">
        <v>140</v>
      </c>
      <c r="C410" s="418" t="s">
        <v>1062</v>
      </c>
      <c r="D410" s="470" t="s">
        <v>1655</v>
      </c>
      <c r="E410" s="418" t="s">
        <v>1588</v>
      </c>
      <c r="F410" s="418" t="s">
        <v>1720</v>
      </c>
      <c r="G410" s="418" t="s">
        <v>1721</v>
      </c>
      <c r="H410" s="418"/>
      <c r="I410" s="418">
        <v>0</v>
      </c>
      <c r="J410" s="418" t="s">
        <v>44</v>
      </c>
      <c r="K410" s="418" t="s">
        <v>44</v>
      </c>
      <c r="L410" s="418" t="s">
        <v>760</v>
      </c>
      <c r="M410" s="418" t="s">
        <v>45</v>
      </c>
      <c r="N410" s="418">
        <v>25.708763000000001</v>
      </c>
      <c r="O410" s="418">
        <v>98.354146999999998</v>
      </c>
      <c r="P410" s="418" t="s">
        <v>773</v>
      </c>
      <c r="Q410" s="418" t="s">
        <v>762</v>
      </c>
      <c r="R410" s="421"/>
      <c r="S410" s="422"/>
      <c r="T410" s="441">
        <v>42983</v>
      </c>
      <c r="U410" s="423" t="s">
        <v>1063</v>
      </c>
      <c r="V410" s="418" t="s">
        <v>1062</v>
      </c>
      <c r="W410" s="418" t="s">
        <v>2147</v>
      </c>
      <c r="X410" s="539"/>
      <c r="Y410" s="539"/>
      <c r="Z410" s="539"/>
    </row>
    <row r="411" spans="1:26" s="70" customFormat="1" ht="14.25" customHeight="1">
      <c r="A411" s="418" t="s">
        <v>38</v>
      </c>
      <c r="B411" s="418" t="s">
        <v>140</v>
      </c>
      <c r="C411" s="418" t="s">
        <v>241</v>
      </c>
      <c r="D411" s="470" t="s">
        <v>2896</v>
      </c>
      <c r="E411" s="418" t="s">
        <v>1593</v>
      </c>
      <c r="F411" s="418" t="s">
        <v>1684</v>
      </c>
      <c r="G411" s="418" t="s">
        <v>1841</v>
      </c>
      <c r="H411" s="418" t="s">
        <v>42</v>
      </c>
      <c r="I411" s="418" t="s">
        <v>236</v>
      </c>
      <c r="J411" s="418" t="s">
        <v>44</v>
      </c>
      <c r="K411" s="418" t="s">
        <v>44</v>
      </c>
      <c r="L411" s="418" t="s">
        <v>44</v>
      </c>
      <c r="M411" s="418" t="s">
        <v>45</v>
      </c>
      <c r="N411" s="418">
        <v>25.887339999999998</v>
      </c>
      <c r="O411" s="418">
        <v>98.129990000000006</v>
      </c>
      <c r="P411" s="418" t="s">
        <v>761</v>
      </c>
      <c r="Q411" s="418" t="s">
        <v>780</v>
      </c>
      <c r="R411" s="421">
        <v>206</v>
      </c>
      <c r="S411" s="421">
        <v>856</v>
      </c>
      <c r="T411" s="441"/>
      <c r="U411" s="423"/>
      <c r="V411" s="418" t="s">
        <v>241</v>
      </c>
      <c r="W411" s="418"/>
      <c r="X411" s="539"/>
      <c r="Y411" s="539"/>
      <c r="Z411" s="539"/>
    </row>
    <row r="412" spans="1:26" s="70" customFormat="1" ht="14.25" customHeight="1">
      <c r="A412" s="418" t="s">
        <v>38</v>
      </c>
      <c r="B412" s="418" t="s">
        <v>140</v>
      </c>
      <c r="C412" s="70" t="s">
        <v>219</v>
      </c>
      <c r="D412" s="470" t="s">
        <v>2896</v>
      </c>
      <c r="E412" s="70" t="s">
        <v>1571</v>
      </c>
      <c r="F412" s="70" t="s">
        <v>1834</v>
      </c>
      <c r="G412" s="70" t="s">
        <v>1704</v>
      </c>
      <c r="H412" s="70" t="s">
        <v>42</v>
      </c>
      <c r="I412" s="70" t="s">
        <v>1314</v>
      </c>
      <c r="J412" s="70" t="s">
        <v>44</v>
      </c>
      <c r="K412" s="70" t="s">
        <v>44</v>
      </c>
      <c r="L412" s="70" t="s">
        <v>44</v>
      </c>
      <c r="M412" s="70" t="s">
        <v>45</v>
      </c>
      <c r="N412" s="70">
        <v>25.60867</v>
      </c>
      <c r="O412" s="70">
        <v>98.377780000000001</v>
      </c>
      <c r="P412" s="70" t="s">
        <v>761</v>
      </c>
      <c r="Q412" s="70" t="s">
        <v>780</v>
      </c>
      <c r="R412" s="98">
        <v>57</v>
      </c>
      <c r="S412" s="421">
        <v>274</v>
      </c>
      <c r="T412" s="104"/>
      <c r="U412" s="100"/>
      <c r="V412" s="70" t="s">
        <v>219</v>
      </c>
      <c r="X412" s="539"/>
      <c r="Y412" s="539"/>
      <c r="Z412" s="539"/>
    </row>
    <row r="413" spans="1:26" s="70" customFormat="1" ht="14.25" customHeight="1">
      <c r="A413" s="418" t="s">
        <v>38</v>
      </c>
      <c r="B413" s="419" t="s">
        <v>140</v>
      </c>
      <c r="C413" s="419" t="s">
        <v>221</v>
      </c>
      <c r="D413" s="470" t="s">
        <v>2896</v>
      </c>
      <c r="E413" s="70" t="s">
        <v>1581</v>
      </c>
      <c r="F413" s="70" t="s">
        <v>1721</v>
      </c>
      <c r="G413" s="70" t="s">
        <v>221</v>
      </c>
      <c r="H413" s="70" t="s">
        <v>42</v>
      </c>
      <c r="I413" s="70" t="s">
        <v>1314</v>
      </c>
      <c r="J413" s="70" t="s">
        <v>44</v>
      </c>
      <c r="K413" s="70" t="s">
        <v>44</v>
      </c>
      <c r="L413" s="70" t="s">
        <v>44</v>
      </c>
      <c r="M413" s="70" t="s">
        <v>45</v>
      </c>
      <c r="N413" s="70">
        <v>25.645959999999999</v>
      </c>
      <c r="O413" s="70">
        <v>98.356260000000006</v>
      </c>
      <c r="P413" s="418" t="s">
        <v>761</v>
      </c>
      <c r="Q413" s="70" t="s">
        <v>780</v>
      </c>
      <c r="R413" s="421">
        <v>32</v>
      </c>
      <c r="S413" s="421">
        <v>167</v>
      </c>
      <c r="T413" s="104"/>
      <c r="U413" s="100"/>
      <c r="V413" s="70" t="s">
        <v>1057</v>
      </c>
      <c r="X413" s="539"/>
      <c r="Y413" s="539"/>
      <c r="Z413" s="539"/>
    </row>
    <row r="414" spans="1:26" s="70" customFormat="1" ht="14.25" customHeight="1">
      <c r="A414" s="418" t="s">
        <v>38</v>
      </c>
      <c r="B414" s="418" t="s">
        <v>142</v>
      </c>
      <c r="C414" s="70" t="s">
        <v>1058</v>
      </c>
      <c r="D414" s="470" t="s">
        <v>1655</v>
      </c>
      <c r="E414" s="70" t="s">
        <v>1584</v>
      </c>
      <c r="F414" s="70" t="s">
        <v>1718</v>
      </c>
      <c r="G414" s="70" t="s">
        <v>1718</v>
      </c>
      <c r="H414" s="70" t="s">
        <v>42</v>
      </c>
      <c r="I414" s="70" t="s">
        <v>135</v>
      </c>
      <c r="J414" s="70" t="s">
        <v>44</v>
      </c>
      <c r="K414" s="70" t="s">
        <v>44</v>
      </c>
      <c r="L414" s="70" t="s">
        <v>760</v>
      </c>
      <c r="M414" s="70" t="s">
        <v>45</v>
      </c>
      <c r="N414" s="70">
        <v>25.656130000000001</v>
      </c>
      <c r="O414" s="70">
        <v>96.355270000000004</v>
      </c>
      <c r="P414" s="70" t="s">
        <v>761</v>
      </c>
      <c r="Q414" s="70" t="s">
        <v>780</v>
      </c>
      <c r="R414" s="421"/>
      <c r="S414" s="422"/>
      <c r="T414" s="104">
        <v>42983</v>
      </c>
      <c r="U414" s="100" t="s">
        <v>1059</v>
      </c>
      <c r="V414" s="70" t="s">
        <v>1058</v>
      </c>
      <c r="W414" s="412" t="s">
        <v>2148</v>
      </c>
      <c r="X414" s="539"/>
      <c r="Y414" s="539"/>
      <c r="Z414" s="539"/>
    </row>
    <row r="415" spans="1:26" s="70" customFormat="1" ht="14.25" customHeight="1">
      <c r="A415" s="418" t="s">
        <v>38</v>
      </c>
      <c r="B415" s="418" t="s">
        <v>142</v>
      </c>
      <c r="C415" s="418" t="s">
        <v>224</v>
      </c>
      <c r="D415" s="470" t="s">
        <v>2896</v>
      </c>
      <c r="E415" s="70" t="s">
        <v>1583</v>
      </c>
      <c r="F415" s="70" t="s">
        <v>1718</v>
      </c>
      <c r="G415" s="70" t="s">
        <v>1718</v>
      </c>
      <c r="H415" s="70" t="s">
        <v>42</v>
      </c>
      <c r="I415" s="70" t="s">
        <v>1314</v>
      </c>
      <c r="J415" s="70" t="s">
        <v>44</v>
      </c>
      <c r="K415" s="70" t="s">
        <v>44</v>
      </c>
      <c r="L415" s="70" t="s">
        <v>44</v>
      </c>
      <c r="M415" s="70" t="s">
        <v>45</v>
      </c>
      <c r="N415" s="70">
        <v>25.656009999999998</v>
      </c>
      <c r="O415" s="70">
        <v>96.361609999999999</v>
      </c>
      <c r="P415" s="70" t="s">
        <v>761</v>
      </c>
      <c r="Q415" s="70" t="s">
        <v>780</v>
      </c>
      <c r="R415" s="421">
        <v>68</v>
      </c>
      <c r="S415" s="421">
        <v>343</v>
      </c>
      <c r="T415" s="104"/>
      <c r="U415" s="100"/>
      <c r="V415" s="70" t="s">
        <v>224</v>
      </c>
      <c r="W415" s="418"/>
      <c r="X415" s="539"/>
      <c r="Y415" s="539"/>
      <c r="Z415" s="539"/>
    </row>
    <row r="416" spans="1:26" s="70" customFormat="1" ht="14.25" customHeight="1">
      <c r="A416" s="418" t="s">
        <v>38</v>
      </c>
      <c r="B416" s="418" t="s">
        <v>142</v>
      </c>
      <c r="C416" s="70" t="s">
        <v>1068</v>
      </c>
      <c r="D416" s="470" t="s">
        <v>1655</v>
      </c>
      <c r="E416" s="70" t="s">
        <v>1595</v>
      </c>
      <c r="F416" s="70" t="s">
        <v>1725</v>
      </c>
      <c r="G416" s="70" t="s">
        <v>1726</v>
      </c>
      <c r="I416" s="70">
        <v>0</v>
      </c>
      <c r="J416" s="70" t="s">
        <v>44</v>
      </c>
      <c r="K416" s="70" t="s">
        <v>44</v>
      </c>
      <c r="L416" s="70" t="s">
        <v>760</v>
      </c>
      <c r="M416" s="70" t="s">
        <v>45</v>
      </c>
      <c r="N416" s="70">
        <v>25.920006000000001</v>
      </c>
      <c r="O416" s="70">
        <v>96.662092000000001</v>
      </c>
      <c r="P416" s="70" t="s">
        <v>761</v>
      </c>
      <c r="Q416" s="70" t="s">
        <v>762</v>
      </c>
      <c r="R416" s="98"/>
      <c r="S416" s="422"/>
      <c r="T416" s="104"/>
      <c r="U416" s="100"/>
      <c r="W416" s="412" t="s">
        <v>2149</v>
      </c>
      <c r="X416" s="539"/>
      <c r="Y416" s="539"/>
      <c r="Z416" s="539"/>
    </row>
    <row r="417" spans="1:26" s="70" customFormat="1" ht="14.25" customHeight="1">
      <c r="A417" s="418" t="s">
        <v>38</v>
      </c>
      <c r="B417" s="418" t="s">
        <v>142</v>
      </c>
      <c r="C417" s="70" t="s">
        <v>242</v>
      </c>
      <c r="D417" s="470" t="s">
        <v>2896</v>
      </c>
      <c r="E417" s="70" t="s">
        <v>1579</v>
      </c>
      <c r="F417" s="70" t="s">
        <v>1718</v>
      </c>
      <c r="G417" s="70" t="s">
        <v>1718</v>
      </c>
      <c r="H417" s="70" t="s">
        <v>42</v>
      </c>
      <c r="I417" s="70" t="s">
        <v>236</v>
      </c>
      <c r="J417" s="70" t="s">
        <v>44</v>
      </c>
      <c r="K417" s="70" t="s">
        <v>44</v>
      </c>
      <c r="L417" s="70" t="s">
        <v>44</v>
      </c>
      <c r="M417" s="70" t="s">
        <v>45</v>
      </c>
      <c r="N417" s="70">
        <v>25.635300000000001</v>
      </c>
      <c r="O417" s="70">
        <v>96.345569999999995</v>
      </c>
      <c r="P417" s="70" t="s">
        <v>761</v>
      </c>
      <c r="Q417" s="70" t="s">
        <v>780</v>
      </c>
      <c r="R417" s="421">
        <v>70</v>
      </c>
      <c r="S417" s="421">
        <v>372</v>
      </c>
      <c r="T417" s="104"/>
      <c r="U417" s="100"/>
      <c r="V417" s="70" t="s">
        <v>242</v>
      </c>
      <c r="X417" s="539"/>
      <c r="Y417" s="539"/>
      <c r="Z417" s="539"/>
    </row>
    <row r="418" spans="1:26" s="70" customFormat="1" ht="14.25" customHeight="1">
      <c r="A418" s="418" t="s">
        <v>38</v>
      </c>
      <c r="B418" s="418" t="s">
        <v>142</v>
      </c>
      <c r="C418" s="70" t="s">
        <v>243</v>
      </c>
      <c r="D418" s="470" t="s">
        <v>2896</v>
      </c>
      <c r="E418" s="70" t="s">
        <v>1576</v>
      </c>
      <c r="F418" s="70" t="s">
        <v>1835</v>
      </c>
      <c r="G418" s="70" t="s">
        <v>1836</v>
      </c>
      <c r="H418" s="70" t="s">
        <v>42</v>
      </c>
      <c r="I418" s="70" t="s">
        <v>236</v>
      </c>
      <c r="J418" s="70" t="s">
        <v>44</v>
      </c>
      <c r="K418" s="70" t="s">
        <v>44</v>
      </c>
      <c r="L418" s="70" t="s">
        <v>44</v>
      </c>
      <c r="M418" s="70" t="s">
        <v>45</v>
      </c>
      <c r="N418" s="70">
        <v>25.616509000000001</v>
      </c>
      <c r="O418" s="70">
        <v>96.317350000000005</v>
      </c>
      <c r="P418" s="70" t="s">
        <v>761</v>
      </c>
      <c r="Q418" s="70" t="s">
        <v>780</v>
      </c>
      <c r="R418" s="421">
        <v>13</v>
      </c>
      <c r="S418" s="421">
        <v>84</v>
      </c>
      <c r="T418" s="104"/>
      <c r="U418" s="100"/>
      <c r="V418" s="70" t="s">
        <v>243</v>
      </c>
      <c r="W418" s="418"/>
      <c r="X418" s="539"/>
      <c r="Y418" s="539"/>
      <c r="Z418" s="539"/>
    </row>
    <row r="419" spans="1:26" s="70" customFormat="1" ht="14.25" customHeight="1">
      <c r="A419" s="418" t="s">
        <v>38</v>
      </c>
      <c r="B419" s="418" t="s">
        <v>142</v>
      </c>
      <c r="C419" s="418" t="s">
        <v>244</v>
      </c>
      <c r="D419" s="470" t="s">
        <v>2896</v>
      </c>
      <c r="E419" s="418" t="s">
        <v>1582</v>
      </c>
      <c r="F419" s="418" t="s">
        <v>1718</v>
      </c>
      <c r="G419" s="418" t="s">
        <v>1838</v>
      </c>
      <c r="H419" s="418" t="s">
        <v>42</v>
      </c>
      <c r="I419" s="418" t="s">
        <v>135</v>
      </c>
      <c r="J419" s="418" t="s">
        <v>44</v>
      </c>
      <c r="K419" s="418" t="s">
        <v>44</v>
      </c>
      <c r="L419" s="418" t="s">
        <v>44</v>
      </c>
      <c r="M419" s="418" t="s">
        <v>45</v>
      </c>
      <c r="N419" s="418">
        <v>25.647649999999999</v>
      </c>
      <c r="O419" s="418">
        <v>96.346469999999997</v>
      </c>
      <c r="P419" s="418" t="s">
        <v>761</v>
      </c>
      <c r="Q419" s="418" t="s">
        <v>780</v>
      </c>
      <c r="R419" s="421">
        <v>36</v>
      </c>
      <c r="S419" s="421">
        <v>227</v>
      </c>
      <c r="T419" s="441"/>
      <c r="U419" s="423"/>
      <c r="V419" s="418" t="s">
        <v>244</v>
      </c>
      <c r="W419" s="418"/>
      <c r="X419" s="539"/>
      <c r="Y419" s="539"/>
      <c r="Z419" s="539"/>
    </row>
    <row r="420" spans="1:26" s="70" customFormat="1" ht="14.25" customHeight="1">
      <c r="A420" s="418" t="s">
        <v>38</v>
      </c>
      <c r="B420" s="418" t="s">
        <v>142</v>
      </c>
      <c r="C420" s="418" t="s">
        <v>1064</v>
      </c>
      <c r="D420" s="470" t="s">
        <v>1655</v>
      </c>
      <c r="E420" s="418" t="s">
        <v>1589</v>
      </c>
      <c r="F420" s="418" t="s">
        <v>1722</v>
      </c>
      <c r="G420" s="418" t="s">
        <v>1723</v>
      </c>
      <c r="H420" s="418" t="s">
        <v>42</v>
      </c>
      <c r="I420" s="418" t="s">
        <v>236</v>
      </c>
      <c r="J420" s="418" t="s">
        <v>44</v>
      </c>
      <c r="K420" s="418" t="s">
        <v>44</v>
      </c>
      <c r="L420" s="418" t="s">
        <v>760</v>
      </c>
      <c r="M420" s="418" t="s">
        <v>45</v>
      </c>
      <c r="N420" s="418">
        <v>25.728653000000001</v>
      </c>
      <c r="O420" s="418">
        <v>96.673805000000002</v>
      </c>
      <c r="P420" s="418" t="s">
        <v>761</v>
      </c>
      <c r="Q420" s="418"/>
      <c r="R420" s="421"/>
      <c r="S420" s="422"/>
      <c r="T420" s="441"/>
      <c r="U420" s="423"/>
      <c r="V420" s="418" t="s">
        <v>1064</v>
      </c>
      <c r="W420" s="412" t="s">
        <v>2150</v>
      </c>
      <c r="X420" s="539"/>
      <c r="Y420" s="539"/>
      <c r="Z420" s="539"/>
    </row>
    <row r="421" spans="1:26" s="70" customFormat="1" ht="14.25" customHeight="1">
      <c r="A421" s="418" t="s">
        <v>38</v>
      </c>
      <c r="B421" s="418" t="s">
        <v>142</v>
      </c>
      <c r="C421" s="70" t="s">
        <v>1061</v>
      </c>
      <c r="D421" s="470" t="s">
        <v>1655</v>
      </c>
      <c r="E421" s="70" t="s">
        <v>1587</v>
      </c>
      <c r="F421" s="70" t="s">
        <v>1718</v>
      </c>
      <c r="G421" s="70" t="s">
        <v>1719</v>
      </c>
      <c r="I421" s="70">
        <v>0</v>
      </c>
      <c r="J421" s="70" t="s">
        <v>44</v>
      </c>
      <c r="K421" s="70" t="s">
        <v>44</v>
      </c>
      <c r="L421" s="70" t="s">
        <v>760</v>
      </c>
      <c r="M421" s="70" t="s">
        <v>45</v>
      </c>
      <c r="N421" s="70">
        <v>25.668469999999999</v>
      </c>
      <c r="O421" s="70">
        <v>96.353070000000002</v>
      </c>
      <c r="P421" s="70" t="s">
        <v>761</v>
      </c>
      <c r="R421" s="98"/>
      <c r="S421" s="422"/>
      <c r="T421" s="104"/>
      <c r="U421" s="100"/>
      <c r="V421" s="70" t="s">
        <v>1061</v>
      </c>
      <c r="W421" s="70" t="s">
        <v>2151</v>
      </c>
      <c r="X421" s="539"/>
      <c r="Y421" s="539"/>
      <c r="Z421" s="539"/>
    </row>
    <row r="422" spans="1:26" s="70" customFormat="1" ht="14.25" customHeight="1">
      <c r="A422" s="418" t="s">
        <v>38</v>
      </c>
      <c r="B422" s="418" t="s">
        <v>142</v>
      </c>
      <c r="C422" s="70" t="s">
        <v>245</v>
      </c>
      <c r="D422" s="470" t="s">
        <v>2896</v>
      </c>
      <c r="E422" s="70" t="s">
        <v>1569</v>
      </c>
      <c r="F422" s="70" t="s">
        <v>1671</v>
      </c>
      <c r="G422" s="70" t="s">
        <v>1671</v>
      </c>
      <c r="H422" s="70" t="s">
        <v>42</v>
      </c>
      <c r="I422" s="70" t="s">
        <v>2141</v>
      </c>
      <c r="J422" s="70" t="s">
        <v>44</v>
      </c>
      <c r="K422" s="70" t="s">
        <v>44</v>
      </c>
      <c r="L422" s="70" t="s">
        <v>776</v>
      </c>
      <c r="M422" s="70" t="s">
        <v>45</v>
      </c>
      <c r="N422" s="70">
        <v>25.582065</v>
      </c>
      <c r="O422" s="70">
        <v>96.283377000000002</v>
      </c>
      <c r="P422" s="70" t="s">
        <v>761</v>
      </c>
      <c r="Q422" s="70" t="s">
        <v>780</v>
      </c>
      <c r="R422" s="98">
        <v>6</v>
      </c>
      <c r="S422" s="421">
        <v>31</v>
      </c>
      <c r="T422" s="104"/>
      <c r="U422" s="100"/>
      <c r="V422" s="70" t="s">
        <v>245</v>
      </c>
      <c r="X422" s="539"/>
      <c r="Y422" s="539"/>
      <c r="Z422" s="539"/>
    </row>
    <row r="423" spans="1:26" s="70" customFormat="1" ht="14.25" customHeight="1">
      <c r="A423" s="418" t="s">
        <v>38</v>
      </c>
      <c r="B423" s="418" t="s">
        <v>142</v>
      </c>
      <c r="C423" s="418" t="s">
        <v>246</v>
      </c>
      <c r="D423" s="470" t="s">
        <v>2896</v>
      </c>
      <c r="E423" s="418" t="s">
        <v>1580</v>
      </c>
      <c r="F423" s="418" t="s">
        <v>1718</v>
      </c>
      <c r="G423" s="418" t="s">
        <v>1837</v>
      </c>
      <c r="H423" s="418" t="s">
        <v>42</v>
      </c>
      <c r="I423" s="418" t="s">
        <v>236</v>
      </c>
      <c r="J423" s="70" t="s">
        <v>44</v>
      </c>
      <c r="K423" s="70" t="s">
        <v>44</v>
      </c>
      <c r="L423" s="70" t="s">
        <v>44</v>
      </c>
      <c r="M423" s="418" t="s">
        <v>45</v>
      </c>
      <c r="N423" s="418">
        <v>25.637309999999999</v>
      </c>
      <c r="O423" s="418">
        <v>96.35257</v>
      </c>
      <c r="P423" s="70" t="s">
        <v>761</v>
      </c>
      <c r="Q423" s="418" t="s">
        <v>780</v>
      </c>
      <c r="R423" s="421">
        <v>70</v>
      </c>
      <c r="S423" s="421">
        <v>376</v>
      </c>
      <c r="T423" s="441"/>
      <c r="U423" s="423"/>
      <c r="V423" s="418" t="s">
        <v>246</v>
      </c>
      <c r="X423" s="539"/>
      <c r="Y423" s="539"/>
      <c r="Z423" s="539"/>
    </row>
    <row r="424" spans="1:26" s="70" customFormat="1" ht="14.25" customHeight="1">
      <c r="A424" s="418" t="s">
        <v>38</v>
      </c>
      <c r="B424" s="418" t="s">
        <v>142</v>
      </c>
      <c r="C424" s="418" t="s">
        <v>143</v>
      </c>
      <c r="D424" s="470" t="s">
        <v>2896</v>
      </c>
      <c r="E424" s="418" t="s">
        <v>1564</v>
      </c>
      <c r="F424" s="418" t="s">
        <v>1830</v>
      </c>
      <c r="G424" s="418" t="s">
        <v>1831</v>
      </c>
      <c r="H424" s="418" t="s">
        <v>42</v>
      </c>
      <c r="I424" s="418" t="s">
        <v>135</v>
      </c>
      <c r="J424" s="418" t="s">
        <v>44</v>
      </c>
      <c r="K424" s="418" t="s">
        <v>44</v>
      </c>
      <c r="L424" s="418" t="s">
        <v>44</v>
      </c>
      <c r="M424" s="418" t="s">
        <v>45</v>
      </c>
      <c r="N424" s="418">
        <v>25.51352</v>
      </c>
      <c r="O424" s="418">
        <v>96.705960000000005</v>
      </c>
      <c r="P424" s="418" t="s">
        <v>761</v>
      </c>
      <c r="Q424" s="418" t="s">
        <v>780</v>
      </c>
      <c r="R424" s="421">
        <v>34</v>
      </c>
      <c r="S424" s="421">
        <v>137</v>
      </c>
      <c r="T424" s="441"/>
      <c r="U424" s="423"/>
      <c r="V424" s="418" t="s">
        <v>143</v>
      </c>
      <c r="W424" s="418"/>
      <c r="X424" s="539"/>
      <c r="Y424" s="539"/>
      <c r="Z424" s="539"/>
    </row>
    <row r="425" spans="1:26" s="70" customFormat="1" ht="14.25" customHeight="1">
      <c r="A425" s="418" t="s">
        <v>38</v>
      </c>
      <c r="B425" s="418" t="s">
        <v>142</v>
      </c>
      <c r="C425" s="418" t="s">
        <v>247</v>
      </c>
      <c r="D425" s="470" t="s">
        <v>2896</v>
      </c>
      <c r="E425" s="418" t="s">
        <v>1575</v>
      </c>
      <c r="F425" s="418" t="s">
        <v>1835</v>
      </c>
      <c r="G425" s="418" t="s">
        <v>1836</v>
      </c>
      <c r="H425" s="418" t="s">
        <v>42</v>
      </c>
      <c r="I425" s="418" t="s">
        <v>2141</v>
      </c>
      <c r="J425" s="418" t="s">
        <v>44</v>
      </c>
      <c r="K425" s="418" t="s">
        <v>44</v>
      </c>
      <c r="L425" s="418" t="s">
        <v>776</v>
      </c>
      <c r="M425" s="418" t="s">
        <v>45</v>
      </c>
      <c r="N425" s="418">
        <v>25.615960999999999</v>
      </c>
      <c r="O425" s="418">
        <v>96.316564</v>
      </c>
      <c r="P425" s="418" t="s">
        <v>761</v>
      </c>
      <c r="Q425" s="418" t="s">
        <v>780</v>
      </c>
      <c r="R425" s="421">
        <v>2</v>
      </c>
      <c r="S425" s="421">
        <v>14</v>
      </c>
      <c r="T425" s="441"/>
      <c r="U425" s="423"/>
      <c r="V425" s="418" t="s">
        <v>247</v>
      </c>
      <c r="W425" s="418"/>
      <c r="X425" s="539"/>
      <c r="Y425" s="539"/>
      <c r="Z425" s="539"/>
    </row>
    <row r="426" spans="1:26" s="70" customFormat="1" ht="14.25" customHeight="1">
      <c r="A426" s="418" t="s">
        <v>38</v>
      </c>
      <c r="B426" s="418" t="s">
        <v>142</v>
      </c>
      <c r="C426" s="418" t="s">
        <v>248</v>
      </c>
      <c r="D426" s="470" t="s">
        <v>2896</v>
      </c>
      <c r="E426" s="70" t="s">
        <v>1572</v>
      </c>
      <c r="F426" s="70" t="s">
        <v>1833</v>
      </c>
      <c r="G426" s="70" t="s">
        <v>1833</v>
      </c>
      <c r="H426" s="70" t="s">
        <v>42</v>
      </c>
      <c r="I426" s="70" t="s">
        <v>135</v>
      </c>
      <c r="J426" s="70" t="s">
        <v>44</v>
      </c>
      <c r="K426" s="70" t="s">
        <v>44</v>
      </c>
      <c r="L426" s="70" t="s">
        <v>44</v>
      </c>
      <c r="M426" s="70" t="s">
        <v>45</v>
      </c>
      <c r="N426" s="70">
        <v>25.611160000000002</v>
      </c>
      <c r="O426" s="70">
        <v>96.312790000000007</v>
      </c>
      <c r="P426" s="70" t="s">
        <v>761</v>
      </c>
      <c r="Q426" s="70" t="s">
        <v>780</v>
      </c>
      <c r="R426" s="98">
        <v>107</v>
      </c>
      <c r="S426" s="421">
        <v>519</v>
      </c>
      <c r="T426" s="104"/>
      <c r="U426" s="100"/>
      <c r="V426" s="70" t="s">
        <v>248</v>
      </c>
      <c r="X426" s="539"/>
      <c r="Y426" s="539"/>
      <c r="Z426" s="539"/>
    </row>
    <row r="427" spans="1:26" s="70" customFormat="1" ht="14.25" customHeight="1">
      <c r="A427" s="426" t="s">
        <v>38</v>
      </c>
      <c r="B427" s="425" t="s">
        <v>142</v>
      </c>
      <c r="C427" s="419" t="s">
        <v>1948</v>
      </c>
      <c r="D427" s="420" t="s">
        <v>1654</v>
      </c>
      <c r="J427" s="70" t="s">
        <v>1449</v>
      </c>
      <c r="K427" s="70" t="s">
        <v>44</v>
      </c>
      <c r="L427" s="70" t="s">
        <v>44</v>
      </c>
      <c r="M427" s="70" t="s">
        <v>45</v>
      </c>
      <c r="P427" s="418" t="s">
        <v>761</v>
      </c>
      <c r="Q427" s="70" t="s">
        <v>1949</v>
      </c>
      <c r="R427" s="429"/>
      <c r="S427" s="422"/>
      <c r="T427" s="104">
        <v>43270</v>
      </c>
      <c r="U427" s="100"/>
      <c r="W427" s="418"/>
      <c r="X427" s="539"/>
      <c r="Y427" s="539"/>
      <c r="Z427" s="539"/>
    </row>
    <row r="428" spans="1:26" s="70" customFormat="1" ht="14.25" customHeight="1">
      <c r="A428" s="426" t="s">
        <v>38</v>
      </c>
      <c r="B428" s="425" t="s">
        <v>142</v>
      </c>
      <c r="C428" s="419" t="s">
        <v>1982</v>
      </c>
      <c r="D428" s="470" t="s">
        <v>2896</v>
      </c>
      <c r="E428" s="419" t="s">
        <v>1983</v>
      </c>
      <c r="F428" s="419"/>
      <c r="G428" s="419"/>
      <c r="H428" s="419"/>
      <c r="I428" s="418" t="s">
        <v>1314</v>
      </c>
      <c r="J428" s="70" t="s">
        <v>44</v>
      </c>
      <c r="K428" s="70" t="s">
        <v>44</v>
      </c>
      <c r="L428" s="419" t="s">
        <v>44</v>
      </c>
      <c r="M428" s="418" t="s">
        <v>45</v>
      </c>
      <c r="N428" s="419"/>
      <c r="O428" s="419"/>
      <c r="P428" s="419" t="s">
        <v>761</v>
      </c>
      <c r="Q428" s="418" t="s">
        <v>1949</v>
      </c>
      <c r="R428" s="421">
        <v>16</v>
      </c>
      <c r="S428" s="421">
        <v>66</v>
      </c>
      <c r="T428" s="441">
        <v>43276</v>
      </c>
      <c r="U428" s="427" t="s">
        <v>1999</v>
      </c>
      <c r="V428" s="419"/>
      <c r="W428" s="412" t="s">
        <v>2272</v>
      </c>
      <c r="X428" s="539"/>
      <c r="Y428" s="539"/>
      <c r="Z428" s="539"/>
    </row>
    <row r="429" spans="1:26" s="70" customFormat="1" ht="14.25" customHeight="1">
      <c r="A429" s="418" t="s">
        <v>38</v>
      </c>
      <c r="B429" s="418" t="s">
        <v>142</v>
      </c>
      <c r="C429" s="418" t="s">
        <v>1065</v>
      </c>
      <c r="D429" s="470" t="s">
        <v>1655</v>
      </c>
      <c r="E429" s="70" t="s">
        <v>1591</v>
      </c>
      <c r="F429" s="70" t="s">
        <v>1718</v>
      </c>
      <c r="G429" s="70" t="s">
        <v>1724</v>
      </c>
      <c r="H429" s="70" t="s">
        <v>42</v>
      </c>
      <c r="I429" s="70" t="s">
        <v>135</v>
      </c>
      <c r="J429" s="70" t="s">
        <v>44</v>
      </c>
      <c r="K429" s="418" t="s">
        <v>44</v>
      </c>
      <c r="L429" s="418" t="s">
        <v>760</v>
      </c>
      <c r="M429" s="70" t="s">
        <v>45</v>
      </c>
      <c r="N429" s="70">
        <v>25.806999999999999</v>
      </c>
      <c r="O429" s="70">
        <v>96.637</v>
      </c>
      <c r="P429" s="70" t="s">
        <v>761</v>
      </c>
      <c r="Q429" s="70" t="s">
        <v>780</v>
      </c>
      <c r="R429" s="421"/>
      <c r="S429" s="99"/>
      <c r="T429" s="104">
        <v>42983</v>
      </c>
      <c r="U429" s="100" t="s">
        <v>1059</v>
      </c>
      <c r="V429" s="70" t="s">
        <v>1065</v>
      </c>
      <c r="W429" s="412" t="s">
        <v>2153</v>
      </c>
      <c r="X429" s="539"/>
      <c r="Y429" s="539"/>
      <c r="Z429" s="539"/>
    </row>
    <row r="430" spans="1:26" s="70" customFormat="1" ht="14.25" customHeight="1">
      <c r="A430" s="426" t="s">
        <v>38</v>
      </c>
      <c r="B430" s="425" t="s">
        <v>142</v>
      </c>
      <c r="C430" s="419" t="s">
        <v>1980</v>
      </c>
      <c r="D430" s="470" t="s">
        <v>2896</v>
      </c>
      <c r="E430" s="419" t="s">
        <v>1981</v>
      </c>
      <c r="F430" s="419"/>
      <c r="G430" s="419"/>
      <c r="H430" s="419"/>
      <c r="I430" s="418" t="s">
        <v>1314</v>
      </c>
      <c r="J430" s="418" t="s">
        <v>44</v>
      </c>
      <c r="K430" s="418" t="s">
        <v>44</v>
      </c>
      <c r="L430" s="419" t="s">
        <v>44</v>
      </c>
      <c r="M430" s="418" t="s">
        <v>45</v>
      </c>
      <c r="N430" s="419"/>
      <c r="O430" s="419"/>
      <c r="P430" s="419" t="s">
        <v>761</v>
      </c>
      <c r="Q430" s="418" t="s">
        <v>1949</v>
      </c>
      <c r="R430" s="421">
        <v>47</v>
      </c>
      <c r="S430" s="421">
        <v>218</v>
      </c>
      <c r="T430" s="441">
        <v>43276</v>
      </c>
      <c r="U430" s="427" t="s">
        <v>1999</v>
      </c>
      <c r="V430" s="419"/>
      <c r="W430" s="412" t="s">
        <v>2273</v>
      </c>
      <c r="X430" s="539"/>
      <c r="Y430" s="539"/>
      <c r="Z430" s="539"/>
    </row>
    <row r="431" spans="1:26" s="70" customFormat="1" ht="14.25" customHeight="1">
      <c r="A431" s="426" t="s">
        <v>38</v>
      </c>
      <c r="B431" s="425" t="s">
        <v>142</v>
      </c>
      <c r="C431" s="419" t="s">
        <v>1950</v>
      </c>
      <c r="D431" s="420"/>
      <c r="J431" s="70" t="s">
        <v>1449</v>
      </c>
      <c r="K431" s="70" t="s">
        <v>44</v>
      </c>
      <c r="L431" s="70" t="s">
        <v>44</v>
      </c>
      <c r="M431" s="70" t="s">
        <v>45</v>
      </c>
      <c r="P431" s="418" t="s">
        <v>761</v>
      </c>
      <c r="Q431" s="70" t="s">
        <v>1949</v>
      </c>
      <c r="R431" s="429"/>
      <c r="S431" s="422"/>
      <c r="T431" s="104">
        <v>43270</v>
      </c>
      <c r="U431" s="100"/>
      <c r="W431" s="418"/>
      <c r="X431" s="539"/>
      <c r="Y431" s="539"/>
      <c r="Z431" s="539"/>
    </row>
    <row r="432" spans="1:26" s="70" customFormat="1" ht="14.25" customHeight="1">
      <c r="A432" s="418" t="s">
        <v>38</v>
      </c>
      <c r="B432" s="418" t="s">
        <v>142</v>
      </c>
      <c r="C432" s="418" t="s">
        <v>237</v>
      </c>
      <c r="D432" s="470" t="s">
        <v>2896</v>
      </c>
      <c r="E432" s="70" t="s">
        <v>1610</v>
      </c>
      <c r="F432" s="70" t="s">
        <v>1718</v>
      </c>
      <c r="G432" s="70" t="s">
        <v>1847</v>
      </c>
      <c r="H432" s="70" t="s">
        <v>42</v>
      </c>
      <c r="I432" s="418" t="s">
        <v>135</v>
      </c>
      <c r="J432" s="70" t="s">
        <v>44</v>
      </c>
      <c r="K432" s="418" t="s">
        <v>44</v>
      </c>
      <c r="L432" s="418" t="s">
        <v>1087</v>
      </c>
      <c r="M432" s="70" t="s">
        <v>45</v>
      </c>
      <c r="P432" s="17" t="s">
        <v>1994</v>
      </c>
      <c r="Q432" s="70" t="s">
        <v>926</v>
      </c>
      <c r="R432" s="421">
        <v>124</v>
      </c>
      <c r="S432" s="421">
        <v>673</v>
      </c>
      <c r="T432" s="104">
        <v>42983</v>
      </c>
      <c r="U432" s="100" t="s">
        <v>1105</v>
      </c>
      <c r="W432" s="412" t="s">
        <v>2679</v>
      </c>
      <c r="X432" s="539"/>
      <c r="Y432" s="539"/>
      <c r="Z432" s="539"/>
    </row>
    <row r="433" spans="1:26" s="70" customFormat="1" ht="14.25" customHeight="1">
      <c r="A433" s="418" t="s">
        <v>38</v>
      </c>
      <c r="B433" s="418" t="s">
        <v>142</v>
      </c>
      <c r="C433" s="418" t="s">
        <v>249</v>
      </c>
      <c r="D433" s="470" t="s">
        <v>2896</v>
      </c>
      <c r="E433" s="70" t="s">
        <v>1566</v>
      </c>
      <c r="F433" s="70" t="s">
        <v>1671</v>
      </c>
      <c r="G433" s="70" t="s">
        <v>1672</v>
      </c>
      <c r="H433" s="70" t="s">
        <v>42</v>
      </c>
      <c r="I433" s="70" t="s">
        <v>236</v>
      </c>
      <c r="J433" s="70" t="s">
        <v>44</v>
      </c>
      <c r="K433" s="418" t="s">
        <v>44</v>
      </c>
      <c r="L433" s="418" t="s">
        <v>44</v>
      </c>
      <c r="M433" s="70" t="s">
        <v>45</v>
      </c>
      <c r="N433" s="418">
        <v>25.566510000000001</v>
      </c>
      <c r="O433" s="418">
        <v>96.269199999999998</v>
      </c>
      <c r="P433" s="418" t="s">
        <v>761</v>
      </c>
      <c r="Q433" s="70" t="s">
        <v>780</v>
      </c>
      <c r="R433" s="421">
        <v>18</v>
      </c>
      <c r="S433" s="421">
        <v>105</v>
      </c>
      <c r="T433" s="104"/>
      <c r="U433" s="100"/>
      <c r="V433" s="70" t="s">
        <v>249</v>
      </c>
      <c r="W433" s="418"/>
      <c r="X433" s="539"/>
      <c r="Y433" s="539"/>
      <c r="Z433" s="539"/>
    </row>
    <row r="434" spans="1:26" s="70" customFormat="1" ht="14.25" customHeight="1">
      <c r="A434" s="418" t="s">
        <v>38</v>
      </c>
      <c r="B434" s="418" t="s">
        <v>142</v>
      </c>
      <c r="C434" s="418" t="s">
        <v>250</v>
      </c>
      <c r="D434" s="470" t="s">
        <v>2896</v>
      </c>
      <c r="E434" s="70" t="s">
        <v>1578</v>
      </c>
      <c r="F434" s="70" t="s">
        <v>1835</v>
      </c>
      <c r="G434" s="70" t="s">
        <v>1836</v>
      </c>
      <c r="H434" s="70" t="s">
        <v>42</v>
      </c>
      <c r="I434" s="70" t="s">
        <v>236</v>
      </c>
      <c r="J434" s="70" t="s">
        <v>44</v>
      </c>
      <c r="K434" s="70" t="s">
        <v>44</v>
      </c>
      <c r="L434" s="418" t="s">
        <v>44</v>
      </c>
      <c r="M434" s="70" t="s">
        <v>45</v>
      </c>
      <c r="N434" s="70">
        <v>25.61842</v>
      </c>
      <c r="O434" s="70">
        <v>96.316400000000002</v>
      </c>
      <c r="P434" s="418" t="s">
        <v>761</v>
      </c>
      <c r="Q434" s="70" t="s">
        <v>780</v>
      </c>
      <c r="R434" s="421">
        <v>12</v>
      </c>
      <c r="S434" s="421">
        <v>60</v>
      </c>
      <c r="T434" s="104"/>
      <c r="U434" s="100"/>
      <c r="V434" s="70" t="s">
        <v>250</v>
      </c>
      <c r="W434" s="418"/>
      <c r="X434" s="539"/>
      <c r="Y434" s="539"/>
      <c r="Z434" s="539"/>
    </row>
    <row r="435" spans="1:26" s="70" customFormat="1" ht="14.25" customHeight="1">
      <c r="A435" s="422" t="s">
        <v>38</v>
      </c>
      <c r="B435" s="425" t="s">
        <v>142</v>
      </c>
      <c r="C435" s="426" t="s">
        <v>2031</v>
      </c>
      <c r="D435" s="420"/>
      <c r="J435" s="70" t="s">
        <v>1449</v>
      </c>
      <c r="K435" s="419" t="s">
        <v>44</v>
      </c>
      <c r="L435" s="419" t="s">
        <v>776</v>
      </c>
      <c r="M435" s="70" t="s">
        <v>45</v>
      </c>
      <c r="P435" s="418" t="s">
        <v>761</v>
      </c>
      <c r="R435" s="429"/>
      <c r="S435" s="422"/>
      <c r="T435" s="104">
        <v>43297</v>
      </c>
      <c r="U435" s="423"/>
      <c r="W435" s="418"/>
      <c r="X435" s="539"/>
      <c r="Y435" s="539"/>
      <c r="Z435" s="539"/>
    </row>
    <row r="436" spans="1:26" s="70" customFormat="1" ht="14.25" customHeight="1">
      <c r="A436" s="418" t="s">
        <v>38</v>
      </c>
      <c r="B436" s="418" t="s">
        <v>142</v>
      </c>
      <c r="C436" s="418" t="s">
        <v>251</v>
      </c>
      <c r="D436" s="470" t="s">
        <v>2896</v>
      </c>
      <c r="E436" s="70" t="s">
        <v>1574</v>
      </c>
      <c r="F436" s="70" t="s">
        <v>1835</v>
      </c>
      <c r="G436" s="70" t="s">
        <v>1836</v>
      </c>
      <c r="H436" s="70" t="s">
        <v>42</v>
      </c>
      <c r="I436" s="70" t="s">
        <v>2141</v>
      </c>
      <c r="J436" s="70" t="s">
        <v>44</v>
      </c>
      <c r="K436" s="70" t="s">
        <v>44</v>
      </c>
      <c r="L436" s="70" t="s">
        <v>776</v>
      </c>
      <c r="M436" s="70" t="s">
        <v>45</v>
      </c>
      <c r="N436" s="70">
        <v>25.6145</v>
      </c>
      <c r="O436" s="70">
        <v>96.319829999999996</v>
      </c>
      <c r="P436" s="418" t="s">
        <v>761</v>
      </c>
      <c r="Q436" s="70" t="s">
        <v>780</v>
      </c>
      <c r="R436" s="421">
        <v>3</v>
      </c>
      <c r="S436" s="421">
        <v>15</v>
      </c>
      <c r="T436" s="104"/>
      <c r="U436" s="100"/>
      <c r="V436" s="70" t="s">
        <v>251</v>
      </c>
      <c r="X436" s="539"/>
      <c r="Y436" s="539"/>
      <c r="Z436" s="539"/>
    </row>
    <row r="437" spans="1:26" s="70" customFormat="1" ht="14.25" customHeight="1">
      <c r="A437" s="418" t="s">
        <v>38</v>
      </c>
      <c r="B437" s="418" t="s">
        <v>142</v>
      </c>
      <c r="C437" s="70" t="s">
        <v>1060</v>
      </c>
      <c r="D437" s="470" t="s">
        <v>1655</v>
      </c>
      <c r="E437" s="70" t="s">
        <v>1585</v>
      </c>
      <c r="F437" s="70" t="s">
        <v>1718</v>
      </c>
      <c r="G437" s="70" t="s">
        <v>1718</v>
      </c>
      <c r="I437" s="70">
        <v>0</v>
      </c>
      <c r="J437" s="70" t="s">
        <v>44</v>
      </c>
      <c r="K437" s="70" t="s">
        <v>44</v>
      </c>
      <c r="L437" s="70" t="s">
        <v>760</v>
      </c>
      <c r="M437" s="70" t="s">
        <v>45</v>
      </c>
      <c r="N437" s="70">
        <v>25.658670000000001</v>
      </c>
      <c r="O437" s="70">
        <v>96.354159999999993</v>
      </c>
      <c r="P437" s="70" t="s">
        <v>761</v>
      </c>
      <c r="R437" s="98"/>
      <c r="S437" s="422"/>
      <c r="T437" s="104"/>
      <c r="U437" s="100"/>
      <c r="V437" s="70" t="s">
        <v>1060</v>
      </c>
      <c r="W437" s="418" t="s">
        <v>2154</v>
      </c>
      <c r="X437" s="539"/>
      <c r="Y437" s="539"/>
      <c r="Z437" s="539"/>
    </row>
    <row r="438" spans="1:26" s="70" customFormat="1" ht="14.25" customHeight="1">
      <c r="A438" s="418" t="s">
        <v>38</v>
      </c>
      <c r="B438" s="418" t="s">
        <v>142</v>
      </c>
      <c r="C438" s="418" t="s">
        <v>184</v>
      </c>
      <c r="D438" s="470" t="s">
        <v>2896</v>
      </c>
      <c r="E438" s="70" t="s">
        <v>1596</v>
      </c>
      <c r="F438" s="70" t="s">
        <v>1725</v>
      </c>
      <c r="G438" s="70" t="s">
        <v>1726</v>
      </c>
      <c r="H438" s="70" t="s">
        <v>42</v>
      </c>
      <c r="I438" s="70" t="s">
        <v>1314</v>
      </c>
      <c r="J438" s="70" t="s">
        <v>44</v>
      </c>
      <c r="K438" s="70" t="s">
        <v>44</v>
      </c>
      <c r="L438" s="418" t="s">
        <v>44</v>
      </c>
      <c r="M438" s="70" t="s">
        <v>45</v>
      </c>
      <c r="N438" s="418">
        <v>25.920006000000001</v>
      </c>
      <c r="O438" s="418">
        <v>96.662092000000001</v>
      </c>
      <c r="P438" s="418" t="s">
        <v>761</v>
      </c>
      <c r="Q438" s="70" t="s">
        <v>762</v>
      </c>
      <c r="R438" s="421">
        <v>25</v>
      </c>
      <c r="S438" s="421">
        <v>113</v>
      </c>
      <c r="T438" s="104"/>
      <c r="U438" s="423"/>
      <c r="W438" s="418"/>
      <c r="X438" s="539"/>
      <c r="Y438" s="539"/>
      <c r="Z438" s="539"/>
    </row>
    <row r="439" spans="1:26" s="70" customFormat="1" ht="14.25" customHeight="1">
      <c r="A439" s="418" t="s">
        <v>38</v>
      </c>
      <c r="B439" s="418" t="s">
        <v>142</v>
      </c>
      <c r="C439" s="418" t="s">
        <v>252</v>
      </c>
      <c r="D439" s="470" t="s">
        <v>2896</v>
      </c>
      <c r="E439" s="70" t="s">
        <v>1577</v>
      </c>
      <c r="F439" s="70" t="s">
        <v>1833</v>
      </c>
      <c r="G439" s="70" t="s">
        <v>1833</v>
      </c>
      <c r="H439" s="70" t="s">
        <v>42</v>
      </c>
      <c r="I439" s="70" t="s">
        <v>2141</v>
      </c>
      <c r="J439" s="70" t="s">
        <v>44</v>
      </c>
      <c r="K439" s="70" t="s">
        <v>44</v>
      </c>
      <c r="L439" s="418" t="s">
        <v>776</v>
      </c>
      <c r="M439" s="70" t="s">
        <v>45</v>
      </c>
      <c r="N439" s="70">
        <v>25.617998</v>
      </c>
      <c r="O439" s="70">
        <v>96.339590000000001</v>
      </c>
      <c r="P439" s="418" t="s">
        <v>761</v>
      </c>
      <c r="Q439" s="70" t="s">
        <v>780</v>
      </c>
      <c r="R439" s="421">
        <v>11</v>
      </c>
      <c r="S439" s="421">
        <v>43</v>
      </c>
      <c r="T439" s="104"/>
      <c r="U439" s="423"/>
      <c r="V439" s="70" t="s">
        <v>252</v>
      </c>
      <c r="W439" s="418"/>
      <c r="X439" s="539"/>
      <c r="Y439" s="539"/>
      <c r="Z439" s="539"/>
    </row>
    <row r="440" spans="1:26" s="70" customFormat="1" ht="14.25" customHeight="1">
      <c r="A440" s="418" t="s">
        <v>38</v>
      </c>
      <c r="B440" s="418" t="s">
        <v>142</v>
      </c>
      <c r="C440" s="418" t="s">
        <v>225</v>
      </c>
      <c r="D440" s="470" t="s">
        <v>2896</v>
      </c>
      <c r="E440" s="70" t="s">
        <v>1573</v>
      </c>
      <c r="F440" s="70" t="s">
        <v>1833</v>
      </c>
      <c r="G440" s="70" t="s">
        <v>1833</v>
      </c>
      <c r="H440" s="70" t="s">
        <v>42</v>
      </c>
      <c r="I440" s="70" t="s">
        <v>1314</v>
      </c>
      <c r="J440" s="70" t="s">
        <v>44</v>
      </c>
      <c r="K440" s="70" t="s">
        <v>44</v>
      </c>
      <c r="L440" s="70" t="s">
        <v>44</v>
      </c>
      <c r="M440" s="70" t="s">
        <v>45</v>
      </c>
      <c r="N440" s="70">
        <v>25.613894999999999</v>
      </c>
      <c r="O440" s="70">
        <v>96.341352999999998</v>
      </c>
      <c r="P440" s="418" t="s">
        <v>761</v>
      </c>
      <c r="Q440" s="70" t="s">
        <v>780</v>
      </c>
      <c r="R440" s="421">
        <v>47</v>
      </c>
      <c r="S440" s="421">
        <v>225</v>
      </c>
      <c r="T440" s="104"/>
      <c r="U440" s="100"/>
      <c r="V440" s="70" t="s">
        <v>225</v>
      </c>
      <c r="W440" s="418"/>
      <c r="X440" s="539"/>
      <c r="Y440" s="539"/>
      <c r="Z440" s="539"/>
    </row>
    <row r="441" spans="1:26" s="70" customFormat="1" ht="14.25" customHeight="1">
      <c r="A441" s="418" t="s">
        <v>38</v>
      </c>
      <c r="B441" s="418" t="s">
        <v>142</v>
      </c>
      <c r="C441" s="418" t="s">
        <v>253</v>
      </c>
      <c r="D441" s="470" t="s">
        <v>2896</v>
      </c>
      <c r="E441" s="70" t="s">
        <v>1565</v>
      </c>
      <c r="F441" s="70" t="s">
        <v>1671</v>
      </c>
      <c r="G441" s="70" t="s">
        <v>1672</v>
      </c>
      <c r="H441" s="70" t="s">
        <v>42</v>
      </c>
      <c r="I441" s="70" t="s">
        <v>2141</v>
      </c>
      <c r="J441" s="70" t="s">
        <v>44</v>
      </c>
      <c r="K441" s="70" t="s">
        <v>44</v>
      </c>
      <c r="L441" s="70" t="s">
        <v>776</v>
      </c>
      <c r="M441" s="70" t="s">
        <v>45</v>
      </c>
      <c r="N441" s="418">
        <v>25.56551</v>
      </c>
      <c r="O441" s="418">
        <v>96.279200000000003</v>
      </c>
      <c r="P441" s="418" t="s">
        <v>761</v>
      </c>
      <c r="Q441" s="70" t="s">
        <v>780</v>
      </c>
      <c r="R441" s="421">
        <v>10</v>
      </c>
      <c r="S441" s="421">
        <v>38</v>
      </c>
      <c r="T441" s="104"/>
      <c r="U441" s="423"/>
      <c r="V441" s="70" t="s">
        <v>253</v>
      </c>
      <c r="W441" s="418"/>
      <c r="X441" s="539"/>
      <c r="Y441" s="539"/>
      <c r="Z441" s="539"/>
    </row>
    <row r="442" spans="1:26" s="70" customFormat="1" ht="14.25" customHeight="1">
      <c r="A442" s="418" t="s">
        <v>38</v>
      </c>
      <c r="B442" s="419" t="s">
        <v>142</v>
      </c>
      <c r="C442" s="419" t="s">
        <v>254</v>
      </c>
      <c r="D442" s="470" t="s">
        <v>1655</v>
      </c>
      <c r="E442" s="70" t="s">
        <v>1586</v>
      </c>
      <c r="F442" s="70" t="s">
        <v>1671</v>
      </c>
      <c r="G442" s="70" t="s">
        <v>1672</v>
      </c>
      <c r="H442" s="70" t="s">
        <v>42</v>
      </c>
      <c r="I442" s="70" t="s">
        <v>135</v>
      </c>
      <c r="J442" s="70" t="s">
        <v>44</v>
      </c>
      <c r="K442" s="70" t="s">
        <v>44</v>
      </c>
      <c r="L442" s="70" t="s">
        <v>760</v>
      </c>
      <c r="M442" s="70" t="s">
        <v>45</v>
      </c>
      <c r="N442" s="70">
        <v>25.668399999999998</v>
      </c>
      <c r="O442" s="70">
        <v>96.353030000000004</v>
      </c>
      <c r="P442" s="418" t="s">
        <v>761</v>
      </c>
      <c r="Q442" s="70" t="s">
        <v>780</v>
      </c>
      <c r="R442" s="421"/>
      <c r="S442" s="422"/>
      <c r="T442" s="104"/>
      <c r="U442" s="423"/>
      <c r="V442" s="70" t="s">
        <v>254</v>
      </c>
      <c r="W442" s="412" t="s">
        <v>2680</v>
      </c>
      <c r="X442" s="539"/>
      <c r="Y442" s="539"/>
      <c r="Z442" s="539"/>
    </row>
    <row r="443" spans="1:26" s="70" customFormat="1" ht="14.25" customHeight="1">
      <c r="A443" s="418" t="s">
        <v>38</v>
      </c>
      <c r="B443" s="419" t="s">
        <v>142</v>
      </c>
      <c r="C443" s="419" t="s">
        <v>182</v>
      </c>
      <c r="D443" s="470" t="s">
        <v>2896</v>
      </c>
      <c r="E443" s="70" t="s">
        <v>1597</v>
      </c>
      <c r="F443" s="70" t="s">
        <v>1725</v>
      </c>
      <c r="G443" s="70" t="s">
        <v>1726</v>
      </c>
      <c r="H443" s="70" t="s">
        <v>42</v>
      </c>
      <c r="I443" s="70" t="s">
        <v>135</v>
      </c>
      <c r="J443" s="70" t="s">
        <v>44</v>
      </c>
      <c r="K443" s="419" t="s">
        <v>44</v>
      </c>
      <c r="L443" s="419" t="s">
        <v>44</v>
      </c>
      <c r="M443" s="70" t="s">
        <v>45</v>
      </c>
      <c r="N443" s="70">
        <v>25.920006000000001</v>
      </c>
      <c r="O443" s="70">
        <v>96.662092000000001</v>
      </c>
      <c r="P443" s="70" t="s">
        <v>761</v>
      </c>
      <c r="Q443" s="70" t="s">
        <v>762</v>
      </c>
      <c r="R443" s="421">
        <v>28</v>
      </c>
      <c r="S443" s="421">
        <v>126</v>
      </c>
      <c r="T443" s="104"/>
      <c r="U443" s="100"/>
      <c r="W443" s="418"/>
      <c r="X443" s="539"/>
      <c r="Y443" s="539"/>
      <c r="Z443" s="539"/>
    </row>
    <row r="444" spans="1:26" s="70" customFormat="1" ht="14.25" customHeight="1">
      <c r="A444" s="418" t="s">
        <v>38</v>
      </c>
      <c r="B444" s="418" t="s">
        <v>142</v>
      </c>
      <c r="C444" s="419" t="s">
        <v>183</v>
      </c>
      <c r="D444" s="470" t="s">
        <v>2896</v>
      </c>
      <c r="E444" s="70" t="s">
        <v>1598</v>
      </c>
      <c r="F444" s="70" t="s">
        <v>1725</v>
      </c>
      <c r="G444" s="70" t="s">
        <v>1726</v>
      </c>
      <c r="H444" s="70" t="s">
        <v>42</v>
      </c>
      <c r="I444" s="70" t="s">
        <v>2141</v>
      </c>
      <c r="J444" s="70" t="s">
        <v>44</v>
      </c>
      <c r="K444" s="419" t="s">
        <v>44</v>
      </c>
      <c r="L444" s="419" t="s">
        <v>776</v>
      </c>
      <c r="M444" s="70" t="s">
        <v>45</v>
      </c>
      <c r="N444" s="70">
        <v>25.920006000000001</v>
      </c>
      <c r="O444" s="70">
        <v>96.662092000000001</v>
      </c>
      <c r="P444" s="70" t="s">
        <v>761</v>
      </c>
      <c r="Q444" s="70" t="s">
        <v>762</v>
      </c>
      <c r="R444" s="421">
        <v>4</v>
      </c>
      <c r="S444" s="421">
        <v>11</v>
      </c>
      <c r="T444" s="104"/>
      <c r="U444" s="100" t="s">
        <v>2783</v>
      </c>
      <c r="W444" s="418"/>
      <c r="X444" s="539"/>
      <c r="Y444" s="539"/>
      <c r="Z444" s="539"/>
    </row>
    <row r="445" spans="1:26" s="70" customFormat="1" ht="14.25" customHeight="1">
      <c r="A445" s="418" t="s">
        <v>38</v>
      </c>
      <c r="B445" s="418" t="s">
        <v>142</v>
      </c>
      <c r="C445" s="419" t="s">
        <v>185</v>
      </c>
      <c r="D445" s="470" t="s">
        <v>1654</v>
      </c>
      <c r="J445" s="70" t="s">
        <v>1449</v>
      </c>
      <c r="K445" s="419" t="s">
        <v>44</v>
      </c>
      <c r="L445" s="419" t="s">
        <v>44</v>
      </c>
      <c r="M445" s="70" t="s">
        <v>45</v>
      </c>
      <c r="P445" s="70" t="s">
        <v>761</v>
      </c>
      <c r="Q445" s="70" t="s">
        <v>762</v>
      </c>
      <c r="R445" s="421"/>
      <c r="S445" s="422"/>
      <c r="T445" s="104">
        <v>42824</v>
      </c>
      <c r="U445" s="100"/>
      <c r="W445" s="418"/>
      <c r="X445" s="539"/>
      <c r="Y445" s="539"/>
      <c r="Z445" s="539"/>
    </row>
    <row r="446" spans="1:26" s="70" customFormat="1" ht="14.25" customHeight="1">
      <c r="A446" s="418" t="s">
        <v>38</v>
      </c>
      <c r="B446" s="419" t="s">
        <v>142</v>
      </c>
      <c r="C446" s="419" t="s">
        <v>1069</v>
      </c>
      <c r="D446" s="470" t="s">
        <v>1655</v>
      </c>
      <c r="E446" s="70" t="s">
        <v>1599</v>
      </c>
      <c r="F446" s="70" t="s">
        <v>1725</v>
      </c>
      <c r="G446" s="70" t="s">
        <v>1726</v>
      </c>
      <c r="I446" s="70">
        <v>0</v>
      </c>
      <c r="J446" s="70" t="s">
        <v>44</v>
      </c>
      <c r="K446" s="70" t="s">
        <v>44</v>
      </c>
      <c r="L446" s="70" t="s">
        <v>760</v>
      </c>
      <c r="M446" s="70" t="s">
        <v>45</v>
      </c>
      <c r="N446" s="418">
        <v>25.920006000000001</v>
      </c>
      <c r="O446" s="418">
        <v>96.662092000000001</v>
      </c>
      <c r="P446" s="70" t="s">
        <v>761</v>
      </c>
      <c r="Q446" s="70" t="s">
        <v>762</v>
      </c>
      <c r="R446" s="421"/>
      <c r="S446" s="422"/>
      <c r="T446" s="104"/>
      <c r="U446" s="100"/>
      <c r="W446" s="412" t="s">
        <v>2149</v>
      </c>
      <c r="X446" s="539"/>
      <c r="Y446" s="539"/>
      <c r="Z446" s="539"/>
    </row>
    <row r="447" spans="1:26" s="70" customFormat="1" ht="14.25" customHeight="1">
      <c r="A447" s="418" t="s">
        <v>38</v>
      </c>
      <c r="B447" s="419" t="s">
        <v>142</v>
      </c>
      <c r="C447" s="419" t="s">
        <v>1066</v>
      </c>
      <c r="D447" s="470" t="s">
        <v>1655</v>
      </c>
      <c r="E447" s="419" t="s">
        <v>1592</v>
      </c>
      <c r="F447" s="418" t="s">
        <v>1725</v>
      </c>
      <c r="G447" s="418" t="s">
        <v>1725</v>
      </c>
      <c r="H447" s="418"/>
      <c r="I447" s="418">
        <v>0</v>
      </c>
      <c r="J447" s="418" t="s">
        <v>44</v>
      </c>
      <c r="K447" s="418" t="s">
        <v>44</v>
      </c>
      <c r="L447" s="418" t="s">
        <v>760</v>
      </c>
      <c r="M447" s="418" t="s">
        <v>45</v>
      </c>
      <c r="N447" s="418">
        <v>25.806999999999999</v>
      </c>
      <c r="O447" s="418">
        <v>96.637</v>
      </c>
      <c r="P447" s="418" t="s">
        <v>761</v>
      </c>
      <c r="Q447" s="418" t="s">
        <v>762</v>
      </c>
      <c r="R447" s="421"/>
      <c r="S447" s="422"/>
      <c r="T447" s="441">
        <v>42983</v>
      </c>
      <c r="U447" s="423" t="s">
        <v>1067</v>
      </c>
      <c r="V447" s="418"/>
      <c r="W447" s="412" t="s">
        <v>2155</v>
      </c>
      <c r="X447" s="539"/>
      <c r="Y447" s="539"/>
      <c r="Z447" s="539"/>
    </row>
    <row r="448" spans="1:26" s="70" customFormat="1" ht="14.25" customHeight="1">
      <c r="A448" s="418" t="s">
        <v>38</v>
      </c>
      <c r="B448" s="419" t="s">
        <v>142</v>
      </c>
      <c r="C448" s="419" t="s">
        <v>1056</v>
      </c>
      <c r="D448" s="470" t="s">
        <v>1655</v>
      </c>
      <c r="E448" s="70" t="s">
        <v>1568</v>
      </c>
      <c r="F448" s="70" t="s">
        <v>1671</v>
      </c>
      <c r="G448" s="70" t="s">
        <v>1671</v>
      </c>
      <c r="H448" s="70" t="s">
        <v>42</v>
      </c>
      <c r="I448" s="70" t="s">
        <v>1314</v>
      </c>
      <c r="J448" s="70" t="s">
        <v>44</v>
      </c>
      <c r="K448" s="418" t="s">
        <v>44</v>
      </c>
      <c r="L448" s="418" t="s">
        <v>760</v>
      </c>
      <c r="M448" s="70" t="s">
        <v>45</v>
      </c>
      <c r="N448" s="70">
        <v>25.57921</v>
      </c>
      <c r="O448" s="70">
        <v>96.288250000000005</v>
      </c>
      <c r="P448" s="70" t="s">
        <v>761</v>
      </c>
      <c r="R448" s="421"/>
      <c r="S448" s="99"/>
      <c r="T448" s="104"/>
      <c r="U448" s="100"/>
      <c r="V448" s="70" t="s">
        <v>1056</v>
      </c>
      <c r="W448" s="70" t="s">
        <v>2156</v>
      </c>
      <c r="X448" s="539"/>
      <c r="Y448" s="539"/>
      <c r="Z448" s="539"/>
    </row>
    <row r="449" spans="1:26" s="70" customFormat="1" ht="14.25" customHeight="1">
      <c r="A449" s="418" t="s">
        <v>38</v>
      </c>
      <c r="B449" s="419" t="s">
        <v>142</v>
      </c>
      <c r="C449" s="419" t="s">
        <v>255</v>
      </c>
      <c r="D449" s="470" t="s">
        <v>2896</v>
      </c>
      <c r="E449" s="70" t="s">
        <v>1567</v>
      </c>
      <c r="F449" s="70" t="s">
        <v>1671</v>
      </c>
      <c r="G449" s="70" t="s">
        <v>1832</v>
      </c>
      <c r="H449" s="70" t="s">
        <v>42</v>
      </c>
      <c r="I449" s="70" t="s">
        <v>135</v>
      </c>
      <c r="J449" s="70" t="s">
        <v>44</v>
      </c>
      <c r="K449" s="70" t="s">
        <v>44</v>
      </c>
      <c r="L449" s="70" t="s">
        <v>44</v>
      </c>
      <c r="M449" s="70" t="s">
        <v>45</v>
      </c>
      <c r="N449" s="70">
        <v>25.577559999999998</v>
      </c>
      <c r="O449" s="70">
        <v>96.286680000000004</v>
      </c>
      <c r="P449" s="70" t="s">
        <v>761</v>
      </c>
      <c r="Q449" s="70" t="s">
        <v>780</v>
      </c>
      <c r="R449" s="98">
        <v>32</v>
      </c>
      <c r="S449" s="421">
        <v>173</v>
      </c>
      <c r="T449" s="104"/>
      <c r="U449" s="100"/>
      <c r="V449" s="70" t="s">
        <v>255</v>
      </c>
      <c r="W449" s="418"/>
      <c r="X449" s="539"/>
      <c r="Y449" s="539"/>
      <c r="Z449" s="539"/>
    </row>
    <row r="450" spans="1:26" s="70" customFormat="1" ht="14.25" customHeight="1">
      <c r="A450" s="418" t="s">
        <v>38</v>
      </c>
      <c r="B450" s="419" t="s">
        <v>142</v>
      </c>
      <c r="C450" s="419" t="s">
        <v>256</v>
      </c>
      <c r="D450" s="470" t="s">
        <v>2896</v>
      </c>
      <c r="E450" s="70" t="s">
        <v>1570</v>
      </c>
      <c r="F450" s="418" t="s">
        <v>1833</v>
      </c>
      <c r="G450" s="70" t="s">
        <v>1833</v>
      </c>
      <c r="H450" s="70" t="s">
        <v>42</v>
      </c>
      <c r="I450" s="70" t="s">
        <v>135</v>
      </c>
      <c r="J450" s="70" t="s">
        <v>44</v>
      </c>
      <c r="K450" s="70" t="s">
        <v>44</v>
      </c>
      <c r="L450" s="70" t="s">
        <v>44</v>
      </c>
      <c r="M450" s="70" t="s">
        <v>45</v>
      </c>
      <c r="N450" s="70">
        <v>25.599250000000001</v>
      </c>
      <c r="O450" s="70">
        <v>96.306910999999999</v>
      </c>
      <c r="P450" s="70" t="s">
        <v>761</v>
      </c>
      <c r="Q450" s="70" t="s">
        <v>780</v>
      </c>
      <c r="R450" s="421">
        <v>16</v>
      </c>
      <c r="S450" s="421">
        <v>69</v>
      </c>
      <c r="T450" s="104"/>
      <c r="U450" s="100"/>
      <c r="V450" s="70" t="s">
        <v>256</v>
      </c>
      <c r="W450" s="418"/>
      <c r="X450" s="539"/>
      <c r="Y450" s="539"/>
      <c r="Z450" s="539"/>
    </row>
    <row r="451" spans="1:26" s="70" customFormat="1" ht="14.25" customHeight="1">
      <c r="A451" s="418" t="s">
        <v>38</v>
      </c>
      <c r="B451" s="418" t="s">
        <v>775</v>
      </c>
      <c r="C451" s="418" t="s">
        <v>774</v>
      </c>
      <c r="D451" s="470" t="s">
        <v>1655</v>
      </c>
      <c r="E451" s="70" t="s">
        <v>1318</v>
      </c>
      <c r="F451" s="70">
        <v>0</v>
      </c>
      <c r="G451" s="70">
        <v>0</v>
      </c>
      <c r="I451" s="70">
        <v>0</v>
      </c>
      <c r="J451" s="70" t="s">
        <v>44</v>
      </c>
      <c r="K451" s="418" t="s">
        <v>44</v>
      </c>
      <c r="L451" s="418" t="s">
        <v>760</v>
      </c>
      <c r="M451" s="70" t="s">
        <v>45</v>
      </c>
      <c r="P451" s="70" t="s">
        <v>761</v>
      </c>
      <c r="R451" s="421"/>
      <c r="S451" s="422"/>
      <c r="T451" s="104"/>
      <c r="U451" s="100"/>
      <c r="V451" s="70" t="s">
        <v>774</v>
      </c>
      <c r="W451" s="418" t="s">
        <v>2157</v>
      </c>
      <c r="X451" s="539"/>
      <c r="Y451" s="539"/>
      <c r="Z451" s="539"/>
    </row>
    <row r="452" spans="1:26" s="70" customFormat="1" ht="14.25" customHeight="1">
      <c r="A452" s="418" t="s">
        <v>38</v>
      </c>
      <c r="B452" s="418" t="s">
        <v>1073</v>
      </c>
      <c r="C452" s="418" t="s">
        <v>1072</v>
      </c>
      <c r="D452" s="470" t="s">
        <v>1655</v>
      </c>
      <c r="E452" s="419" t="s">
        <v>1603</v>
      </c>
      <c r="F452" s="70" t="s">
        <v>1727</v>
      </c>
      <c r="G452" s="70" t="s">
        <v>1072</v>
      </c>
      <c r="I452" s="70">
        <v>0</v>
      </c>
      <c r="J452" s="70" t="s">
        <v>44</v>
      </c>
      <c r="K452" s="418" t="s">
        <v>44</v>
      </c>
      <c r="L452" s="418" t="s">
        <v>760</v>
      </c>
      <c r="M452" s="70" t="s">
        <v>45</v>
      </c>
      <c r="N452" s="70">
        <v>26.890058</v>
      </c>
      <c r="O452" s="70">
        <v>98.144502500000002</v>
      </c>
      <c r="P452" s="418" t="s">
        <v>761</v>
      </c>
      <c r="R452" s="421"/>
      <c r="S452" s="422"/>
      <c r="T452" s="104"/>
      <c r="U452" s="100"/>
      <c r="V452" s="70" t="s">
        <v>1072</v>
      </c>
      <c r="W452" s="412" t="s">
        <v>2158</v>
      </c>
      <c r="X452" s="539"/>
      <c r="Y452" s="539"/>
      <c r="Z452" s="539"/>
    </row>
    <row r="453" spans="1:26" s="70" customFormat="1" ht="14.25" customHeight="1">
      <c r="A453" s="418" t="s">
        <v>38</v>
      </c>
      <c r="B453" s="418" t="s">
        <v>1078</v>
      </c>
      <c r="C453" s="70" t="s">
        <v>1077</v>
      </c>
      <c r="D453" s="470" t="s">
        <v>1655</v>
      </c>
      <c r="E453" s="70" t="s">
        <v>1606</v>
      </c>
      <c r="F453" s="70">
        <v>0</v>
      </c>
      <c r="G453" s="70">
        <v>0</v>
      </c>
      <c r="I453" s="70">
        <v>0</v>
      </c>
      <c r="J453" s="70" t="s">
        <v>44</v>
      </c>
      <c r="K453" s="70" t="s">
        <v>44</v>
      </c>
      <c r="L453" s="70" t="s">
        <v>760</v>
      </c>
      <c r="M453" s="70" t="s">
        <v>45</v>
      </c>
      <c r="N453" s="70">
        <v>27.274059999999999</v>
      </c>
      <c r="O453" s="70">
        <v>97.586470000000006</v>
      </c>
      <c r="P453" s="418" t="s">
        <v>761</v>
      </c>
      <c r="R453" s="421"/>
      <c r="S453" s="422"/>
      <c r="T453" s="104"/>
      <c r="U453" s="100"/>
      <c r="V453" s="70" t="s">
        <v>1079</v>
      </c>
      <c r="W453" s="412" t="s">
        <v>2159</v>
      </c>
      <c r="X453" s="539"/>
      <c r="Y453" s="539"/>
      <c r="Z453" s="539"/>
    </row>
    <row r="454" spans="1:26" s="70" customFormat="1" ht="14.25" customHeight="1">
      <c r="A454" s="419" t="s">
        <v>38</v>
      </c>
      <c r="B454" s="419" t="s">
        <v>1304</v>
      </c>
      <c r="C454" s="419" t="s">
        <v>1881</v>
      </c>
      <c r="D454" s="420" t="s">
        <v>1874</v>
      </c>
      <c r="E454" s="428"/>
      <c r="F454" s="428"/>
      <c r="G454" s="428"/>
      <c r="H454" s="428"/>
      <c r="I454" s="428"/>
      <c r="J454" s="70" t="s">
        <v>1449</v>
      </c>
      <c r="K454" s="428"/>
      <c r="L454" s="428"/>
      <c r="P454" s="70" t="s">
        <v>761</v>
      </c>
      <c r="R454" s="429"/>
      <c r="S454" s="422"/>
      <c r="T454" s="104"/>
      <c r="U454" s="100"/>
      <c r="W454" s="418"/>
      <c r="X454" s="539"/>
      <c r="Y454" s="539"/>
      <c r="Z454" s="539"/>
    </row>
    <row r="455" spans="1:26" s="70" customFormat="1" ht="14.25" customHeight="1">
      <c r="A455" s="419" t="s">
        <v>38</v>
      </c>
      <c r="B455" s="419" t="s">
        <v>1304</v>
      </c>
      <c r="C455" s="419" t="s">
        <v>1305</v>
      </c>
      <c r="D455" s="420" t="s">
        <v>1874</v>
      </c>
      <c r="E455" s="428"/>
      <c r="F455" s="428"/>
      <c r="G455" s="428"/>
      <c r="H455" s="428"/>
      <c r="I455" s="428"/>
      <c r="J455" s="418" t="s">
        <v>1449</v>
      </c>
      <c r="K455" s="428"/>
      <c r="L455" s="428"/>
      <c r="M455" s="419"/>
      <c r="N455" s="419"/>
      <c r="O455" s="419"/>
      <c r="P455" s="418" t="s">
        <v>761</v>
      </c>
      <c r="Q455" s="419"/>
      <c r="R455" s="430"/>
      <c r="S455" s="426"/>
      <c r="T455" s="442"/>
      <c r="U455" s="427"/>
      <c r="V455" s="419"/>
      <c r="W455" s="418"/>
      <c r="X455" s="539"/>
      <c r="Y455" s="539"/>
      <c r="Z455" s="539"/>
    </row>
    <row r="456" spans="1:26" s="70" customFormat="1" ht="14.25" customHeight="1">
      <c r="A456" s="418" t="s">
        <v>38</v>
      </c>
      <c r="B456" s="418" t="s">
        <v>39</v>
      </c>
      <c r="C456" s="418" t="s">
        <v>765</v>
      </c>
      <c r="D456" s="470" t="s">
        <v>1655</v>
      </c>
      <c r="E456" s="418" t="s">
        <v>1309</v>
      </c>
      <c r="F456" s="418">
        <v>0</v>
      </c>
      <c r="G456" s="418">
        <v>0</v>
      </c>
      <c r="H456" s="418"/>
      <c r="I456" s="418">
        <v>0</v>
      </c>
      <c r="J456" s="70" t="s">
        <v>44</v>
      </c>
      <c r="K456" s="70" t="s">
        <v>44</v>
      </c>
      <c r="L456" s="70" t="s">
        <v>760</v>
      </c>
      <c r="M456" s="418" t="s">
        <v>45</v>
      </c>
      <c r="N456" s="418"/>
      <c r="O456" s="418"/>
      <c r="P456" s="418" t="s">
        <v>761</v>
      </c>
      <c r="Q456" s="418"/>
      <c r="R456" s="421"/>
      <c r="S456" s="422"/>
      <c r="T456" s="441"/>
      <c r="U456" s="423"/>
      <c r="V456" s="418" t="s">
        <v>765</v>
      </c>
      <c r="W456" s="70" t="s">
        <v>2160</v>
      </c>
      <c r="X456" s="539"/>
      <c r="Y456" s="539"/>
      <c r="Z456" s="539"/>
    </row>
    <row r="457" spans="1:26" s="70" customFormat="1" ht="14.25" customHeight="1">
      <c r="A457" s="418" t="s">
        <v>38</v>
      </c>
      <c r="B457" s="418" t="s">
        <v>39</v>
      </c>
      <c r="C457" s="418" t="s">
        <v>766</v>
      </c>
      <c r="D457" s="470" t="s">
        <v>1655</v>
      </c>
      <c r="E457" s="70" t="s">
        <v>1310</v>
      </c>
      <c r="F457" s="70">
        <v>0</v>
      </c>
      <c r="G457" s="70">
        <v>0</v>
      </c>
      <c r="I457" s="70">
        <v>0</v>
      </c>
      <c r="J457" s="70" t="s">
        <v>44</v>
      </c>
      <c r="K457" s="70" t="s">
        <v>44</v>
      </c>
      <c r="L457" s="70" t="s">
        <v>760</v>
      </c>
      <c r="M457" s="70" t="s">
        <v>45</v>
      </c>
      <c r="P457" s="418" t="s">
        <v>761</v>
      </c>
      <c r="R457" s="421"/>
      <c r="S457" s="422"/>
      <c r="T457" s="104"/>
      <c r="U457" s="100"/>
      <c r="V457" s="70" t="s">
        <v>766</v>
      </c>
      <c r="W457" s="412" t="s">
        <v>2161</v>
      </c>
      <c r="X457" s="539"/>
      <c r="Y457" s="539"/>
      <c r="Z457" s="539"/>
    </row>
    <row r="458" spans="1:26" s="70" customFormat="1" ht="14.25" customHeight="1">
      <c r="A458" s="418" t="s">
        <v>38</v>
      </c>
      <c r="B458" s="418" t="s">
        <v>39</v>
      </c>
      <c r="C458" s="418" t="s">
        <v>767</v>
      </c>
      <c r="D458" s="470" t="s">
        <v>1655</v>
      </c>
      <c r="E458" s="70" t="s">
        <v>1311</v>
      </c>
      <c r="F458" s="70">
        <v>0</v>
      </c>
      <c r="G458" s="70">
        <v>0</v>
      </c>
      <c r="I458" s="70">
        <v>0</v>
      </c>
      <c r="J458" s="70" t="s">
        <v>44</v>
      </c>
      <c r="K458" s="70" t="s">
        <v>44</v>
      </c>
      <c r="L458" s="70" t="s">
        <v>760</v>
      </c>
      <c r="M458" s="70" t="s">
        <v>45</v>
      </c>
      <c r="P458" s="70" t="s">
        <v>761</v>
      </c>
      <c r="R458" s="421"/>
      <c r="S458" s="422"/>
      <c r="T458" s="104"/>
      <c r="U458" s="100"/>
      <c r="V458" s="70" t="s">
        <v>767</v>
      </c>
      <c r="W458" s="70" t="s">
        <v>2160</v>
      </c>
      <c r="X458" s="539"/>
      <c r="Y458" s="539"/>
      <c r="Z458" s="539"/>
    </row>
    <row r="459" spans="1:26" s="70" customFormat="1" ht="14.25" customHeight="1">
      <c r="A459" s="418" t="s">
        <v>38</v>
      </c>
      <c r="B459" s="418" t="s">
        <v>39</v>
      </c>
      <c r="C459" s="418" t="s">
        <v>1898</v>
      </c>
      <c r="D459" s="470" t="s">
        <v>2896</v>
      </c>
      <c r="E459" s="70" t="s">
        <v>1451</v>
      </c>
      <c r="F459" s="70" t="s">
        <v>1695</v>
      </c>
      <c r="G459" s="70" t="s">
        <v>1695</v>
      </c>
      <c r="H459" s="70" t="s">
        <v>42</v>
      </c>
      <c r="I459" s="70" t="s">
        <v>43</v>
      </c>
      <c r="J459" s="70" t="s">
        <v>44</v>
      </c>
      <c r="K459" s="70" t="s">
        <v>44</v>
      </c>
      <c r="L459" s="70" t="s">
        <v>44</v>
      </c>
      <c r="M459" s="70" t="s">
        <v>778</v>
      </c>
      <c r="N459" s="70">
        <v>24.002433</v>
      </c>
      <c r="O459" s="70">
        <v>97.609832999999995</v>
      </c>
      <c r="P459" s="70" t="s">
        <v>761</v>
      </c>
      <c r="Q459" s="70" t="s">
        <v>762</v>
      </c>
      <c r="R459" s="421">
        <v>357</v>
      </c>
      <c r="S459" s="421">
        <v>1692</v>
      </c>
      <c r="T459" s="104"/>
      <c r="U459" s="100"/>
      <c r="W459" s="418"/>
      <c r="X459" s="539"/>
      <c r="Y459" s="539"/>
      <c r="Z459" s="539"/>
    </row>
    <row r="460" spans="1:26" s="70" customFormat="1" ht="14.25" customHeight="1">
      <c r="A460" s="418" t="s">
        <v>38</v>
      </c>
      <c r="B460" s="418" t="s">
        <v>39</v>
      </c>
      <c r="C460" s="418" t="s">
        <v>1882</v>
      </c>
      <c r="D460" s="470" t="s">
        <v>1654</v>
      </c>
      <c r="J460" s="70" t="s">
        <v>1449</v>
      </c>
      <c r="K460" s="70" t="s">
        <v>44</v>
      </c>
      <c r="L460" s="70" t="s">
        <v>1087</v>
      </c>
      <c r="M460" s="70" t="s">
        <v>778</v>
      </c>
      <c r="P460" s="70" t="s">
        <v>761</v>
      </c>
      <c r="R460" s="421"/>
      <c r="S460" s="422"/>
      <c r="T460" s="104"/>
      <c r="U460" s="100"/>
      <c r="V460" s="70" t="s">
        <v>1096</v>
      </c>
      <c r="W460" s="418"/>
      <c r="X460" s="539"/>
      <c r="Y460" s="539"/>
      <c r="Z460" s="539"/>
    </row>
    <row r="461" spans="1:26" s="70" customFormat="1" ht="14.25" customHeight="1">
      <c r="A461" s="418" t="s">
        <v>38</v>
      </c>
      <c r="B461" s="418" t="s">
        <v>39</v>
      </c>
      <c r="C461" s="418" t="s">
        <v>1899</v>
      </c>
      <c r="D461" s="470" t="s">
        <v>1655</v>
      </c>
      <c r="E461" s="70" t="s">
        <v>1450</v>
      </c>
      <c r="F461" s="70" t="s">
        <v>1695</v>
      </c>
      <c r="G461" s="70" t="s">
        <v>1695</v>
      </c>
      <c r="H461" s="70" t="s">
        <v>42</v>
      </c>
      <c r="I461" s="70" t="s">
        <v>43</v>
      </c>
      <c r="J461" s="70" t="s">
        <v>44</v>
      </c>
      <c r="K461" s="70" t="s">
        <v>44</v>
      </c>
      <c r="L461" s="70" t="s">
        <v>760</v>
      </c>
      <c r="M461" s="70" t="s">
        <v>778</v>
      </c>
      <c r="N461" s="70">
        <v>24.000250000000001</v>
      </c>
      <c r="O461" s="70">
        <v>97.608249999999998</v>
      </c>
      <c r="P461" s="70" t="s">
        <v>761</v>
      </c>
      <c r="R461" s="421"/>
      <c r="S461" s="422"/>
      <c r="T461" s="104"/>
      <c r="U461" s="100"/>
      <c r="V461" s="70" t="s">
        <v>989</v>
      </c>
      <c r="W461" s="412" t="s">
        <v>2162</v>
      </c>
      <c r="X461" s="539"/>
      <c r="Y461" s="539"/>
      <c r="Z461" s="539"/>
    </row>
    <row r="462" spans="1:26" s="70" customFormat="1" ht="14.25" customHeight="1">
      <c r="A462" s="418" t="s">
        <v>38</v>
      </c>
      <c r="B462" s="418" t="s">
        <v>39</v>
      </c>
      <c r="C462" s="418" t="s">
        <v>983</v>
      </c>
      <c r="D462" s="470" t="s">
        <v>1655</v>
      </c>
      <c r="E462" s="70" t="s">
        <v>1443</v>
      </c>
      <c r="F462" s="70" t="s">
        <v>1689</v>
      </c>
      <c r="G462" s="70">
        <v>0</v>
      </c>
      <c r="H462" s="70" t="s">
        <v>42</v>
      </c>
      <c r="I462" s="70" t="s">
        <v>43</v>
      </c>
      <c r="J462" s="70" t="s">
        <v>44</v>
      </c>
      <c r="K462" s="70" t="s">
        <v>44</v>
      </c>
      <c r="L462" s="70" t="s">
        <v>760</v>
      </c>
      <c r="M462" s="70" t="s">
        <v>778</v>
      </c>
      <c r="N462" s="70">
        <v>23.867713999999999</v>
      </c>
      <c r="O462" s="70">
        <v>97.601243999999994</v>
      </c>
      <c r="P462" s="70" t="s">
        <v>761</v>
      </c>
      <c r="R462" s="421"/>
      <c r="S462" s="422"/>
      <c r="T462" s="104"/>
      <c r="U462" s="100"/>
      <c r="V462" s="70" t="s">
        <v>983</v>
      </c>
      <c r="W462" s="418" t="s">
        <v>2163</v>
      </c>
      <c r="X462" s="539"/>
      <c r="Y462" s="539"/>
      <c r="Z462" s="539"/>
    </row>
    <row r="463" spans="1:26" s="70" customFormat="1" ht="14.25" customHeight="1">
      <c r="A463" s="418" t="s">
        <v>38</v>
      </c>
      <c r="B463" s="418" t="s">
        <v>39</v>
      </c>
      <c r="C463" s="418" t="s">
        <v>288</v>
      </c>
      <c r="D463" s="470" t="s">
        <v>2896</v>
      </c>
      <c r="E463" s="70" t="s">
        <v>1455</v>
      </c>
      <c r="F463" s="418"/>
      <c r="H463" s="70" t="s">
        <v>42</v>
      </c>
      <c r="I463" s="70" t="s">
        <v>43</v>
      </c>
      <c r="J463" s="70" t="s">
        <v>44</v>
      </c>
      <c r="K463" s="70" t="s">
        <v>44</v>
      </c>
      <c r="L463" s="70" t="s">
        <v>44</v>
      </c>
      <c r="M463" s="70" t="s">
        <v>778</v>
      </c>
      <c r="N463" s="70">
        <v>24.056132999999999</v>
      </c>
      <c r="O463" s="70">
        <v>97.625617000000005</v>
      </c>
      <c r="P463" s="70" t="s">
        <v>761</v>
      </c>
      <c r="Q463" s="70" t="s">
        <v>762</v>
      </c>
      <c r="R463" s="421">
        <v>522</v>
      </c>
      <c r="S463" s="421">
        <v>2536</v>
      </c>
      <c r="T463" s="104"/>
      <c r="U463" s="100"/>
      <c r="X463" s="539"/>
      <c r="Y463" s="539"/>
      <c r="Z463" s="539"/>
    </row>
    <row r="464" spans="1:26" s="70" customFormat="1" ht="14.25" customHeight="1">
      <c r="A464" s="418" t="s">
        <v>38</v>
      </c>
      <c r="B464" s="418" t="s">
        <v>39</v>
      </c>
      <c r="C464" s="418" t="s">
        <v>984</v>
      </c>
      <c r="D464" s="470" t="s">
        <v>1655</v>
      </c>
      <c r="E464" s="70" t="s">
        <v>1444</v>
      </c>
      <c r="F464" s="70" t="s">
        <v>1690</v>
      </c>
      <c r="G464" s="70">
        <v>0</v>
      </c>
      <c r="H464" s="70" t="s">
        <v>42</v>
      </c>
      <c r="I464" s="70" t="s">
        <v>43</v>
      </c>
      <c r="J464" s="70" t="s">
        <v>44</v>
      </c>
      <c r="K464" s="70" t="s">
        <v>44</v>
      </c>
      <c r="L464" s="70" t="s">
        <v>760</v>
      </c>
      <c r="M464" s="70" t="s">
        <v>778</v>
      </c>
      <c r="N464" s="70">
        <v>23.9055</v>
      </c>
      <c r="O464" s="70">
        <v>97.585667000000001</v>
      </c>
      <c r="P464" s="70" t="s">
        <v>761</v>
      </c>
      <c r="R464" s="98"/>
      <c r="S464" s="99"/>
      <c r="T464" s="104"/>
      <c r="U464" s="100"/>
      <c r="V464" s="70" t="s">
        <v>984</v>
      </c>
      <c r="W464" s="412" t="s">
        <v>2164</v>
      </c>
      <c r="X464" s="539"/>
      <c r="Y464" s="539"/>
      <c r="Z464" s="539"/>
    </row>
    <row r="465" spans="1:26" s="70" customFormat="1" ht="14.25" customHeight="1">
      <c r="A465" s="418" t="s">
        <v>38</v>
      </c>
      <c r="B465" s="418" t="s">
        <v>39</v>
      </c>
      <c r="C465" s="418" t="s">
        <v>177</v>
      </c>
      <c r="D465" s="470" t="s">
        <v>2896</v>
      </c>
      <c r="E465" s="70" t="s">
        <v>1446</v>
      </c>
      <c r="F465" s="70" t="s">
        <v>177</v>
      </c>
      <c r="G465" s="70" t="s">
        <v>177</v>
      </c>
      <c r="H465" s="70" t="s">
        <v>42</v>
      </c>
      <c r="I465" s="70" t="s">
        <v>135</v>
      </c>
      <c r="J465" s="70" t="s">
        <v>44</v>
      </c>
      <c r="K465" s="70" t="s">
        <v>44</v>
      </c>
      <c r="L465" s="70" t="s">
        <v>44</v>
      </c>
      <c r="M465" s="70" t="s">
        <v>45</v>
      </c>
      <c r="N465" s="70">
        <v>23.972453000000002</v>
      </c>
      <c r="O465" s="70">
        <v>97.225881000000001</v>
      </c>
      <c r="P465" s="70" t="s">
        <v>761</v>
      </c>
      <c r="Q465" s="70" t="s">
        <v>780</v>
      </c>
      <c r="R465" s="421">
        <v>432</v>
      </c>
      <c r="S465" s="421">
        <v>2528</v>
      </c>
      <c r="T465" s="104"/>
      <c r="U465" s="100"/>
      <c r="V465" s="70" t="s">
        <v>177</v>
      </c>
      <c r="W465" s="412" t="s">
        <v>2274</v>
      </c>
      <c r="X465" s="539"/>
      <c r="Y465" s="539"/>
      <c r="Z465" s="539"/>
    </row>
    <row r="466" spans="1:26" s="70" customFormat="1" ht="14.25" customHeight="1">
      <c r="A466" s="418" t="s">
        <v>38</v>
      </c>
      <c r="B466" s="418" t="s">
        <v>39</v>
      </c>
      <c r="C466" s="418" t="s">
        <v>40</v>
      </c>
      <c r="D466" s="470" t="s">
        <v>2896</v>
      </c>
      <c r="E466" s="70" t="s">
        <v>1447</v>
      </c>
      <c r="F466" s="70" t="s">
        <v>177</v>
      </c>
      <c r="G466" s="70" t="s">
        <v>177</v>
      </c>
      <c r="H466" s="70" t="s">
        <v>42</v>
      </c>
      <c r="I466" s="70" t="s">
        <v>43</v>
      </c>
      <c r="J466" s="70" t="s">
        <v>44</v>
      </c>
      <c r="K466" s="70" t="s">
        <v>44</v>
      </c>
      <c r="L466" s="70" t="s">
        <v>44</v>
      </c>
      <c r="M466" s="70" t="s">
        <v>45</v>
      </c>
      <c r="N466" s="70">
        <v>23.976571</v>
      </c>
      <c r="O466" s="70">
        <v>97.227057000000002</v>
      </c>
      <c r="P466" s="70" t="s">
        <v>761</v>
      </c>
      <c r="Q466" s="70" t="s">
        <v>780</v>
      </c>
      <c r="R466" s="421">
        <v>156</v>
      </c>
      <c r="S466" s="421">
        <v>694</v>
      </c>
      <c r="T466" s="104"/>
      <c r="U466" s="100"/>
      <c r="V466" s="70" t="s">
        <v>40</v>
      </c>
      <c r="W466" s="418"/>
      <c r="X466" s="539"/>
      <c r="Y466" s="539"/>
      <c r="Z466" s="539"/>
    </row>
    <row r="467" spans="1:26" s="70" customFormat="1" ht="14.25" customHeight="1">
      <c r="A467" s="418" t="s">
        <v>38</v>
      </c>
      <c r="B467" s="418" t="s">
        <v>39</v>
      </c>
      <c r="C467" s="418" t="s">
        <v>987</v>
      </c>
      <c r="D467" s="470" t="s">
        <v>1654</v>
      </c>
      <c r="J467" s="70" t="s">
        <v>1449</v>
      </c>
      <c r="K467" s="70" t="s">
        <v>44</v>
      </c>
      <c r="L467" s="70" t="s">
        <v>44</v>
      </c>
      <c r="M467" s="70" t="s">
        <v>45</v>
      </c>
      <c r="N467" s="70">
        <v>23.989049999999999</v>
      </c>
      <c r="O467" s="70">
        <v>97.225311000000005</v>
      </c>
      <c r="P467" s="70" t="s">
        <v>761</v>
      </c>
      <c r="Q467" s="70" t="s">
        <v>762</v>
      </c>
      <c r="R467" s="421"/>
      <c r="S467" s="422"/>
      <c r="T467" s="104">
        <v>42849</v>
      </c>
      <c r="U467" s="100" t="s">
        <v>988</v>
      </c>
      <c r="W467" s="418"/>
      <c r="X467" s="539"/>
      <c r="Y467" s="539"/>
      <c r="Z467" s="539"/>
    </row>
    <row r="468" spans="1:26" s="70" customFormat="1" ht="14.25" customHeight="1">
      <c r="A468" s="418" t="s">
        <v>38</v>
      </c>
      <c r="B468" s="418" t="s">
        <v>39</v>
      </c>
      <c r="C468" s="418" t="s">
        <v>998</v>
      </c>
      <c r="D468" s="470" t="s">
        <v>1655</v>
      </c>
      <c r="E468" s="70" t="s">
        <v>1460</v>
      </c>
      <c r="F468" s="418" t="s">
        <v>1696</v>
      </c>
      <c r="G468" s="70" t="s">
        <v>1697</v>
      </c>
      <c r="I468" s="70">
        <v>0</v>
      </c>
      <c r="J468" s="70" t="s">
        <v>44</v>
      </c>
      <c r="K468" s="70" t="s">
        <v>44</v>
      </c>
      <c r="L468" s="70" t="s">
        <v>760</v>
      </c>
      <c r="M468" s="70" t="s">
        <v>45</v>
      </c>
      <c r="N468" s="70">
        <v>24.181640000000002</v>
      </c>
      <c r="O468" s="70">
        <v>97.710989999999995</v>
      </c>
      <c r="P468" s="70" t="s">
        <v>761</v>
      </c>
      <c r="Q468" s="70" t="s">
        <v>780</v>
      </c>
      <c r="R468" s="421"/>
      <c r="S468" s="422"/>
      <c r="T468" s="104"/>
      <c r="U468" s="100" t="s">
        <v>999</v>
      </c>
      <c r="V468" s="70" t="s">
        <v>998</v>
      </c>
      <c r="W468" s="418" t="s">
        <v>2165</v>
      </c>
      <c r="X468" s="539"/>
      <c r="Y468" s="539"/>
      <c r="Z468" s="539"/>
    </row>
    <row r="469" spans="1:26" s="70" customFormat="1" ht="14.25" customHeight="1">
      <c r="A469" s="418" t="s">
        <v>38</v>
      </c>
      <c r="B469" s="418" t="s">
        <v>39</v>
      </c>
      <c r="C469" s="418" t="s">
        <v>1000</v>
      </c>
      <c r="D469" s="470" t="s">
        <v>1655</v>
      </c>
      <c r="E469" s="70" t="s">
        <v>1461</v>
      </c>
      <c r="F469" s="70" t="s">
        <v>1696</v>
      </c>
      <c r="G469" s="70" t="s">
        <v>1697</v>
      </c>
      <c r="I469" s="70">
        <v>0</v>
      </c>
      <c r="J469" s="70" t="s">
        <v>44</v>
      </c>
      <c r="K469" s="70" t="s">
        <v>44</v>
      </c>
      <c r="L469" s="70" t="s">
        <v>760</v>
      </c>
      <c r="M469" s="70" t="s">
        <v>45</v>
      </c>
      <c r="N469" s="70">
        <v>24.181640000000002</v>
      </c>
      <c r="O469" s="70">
        <v>97.710989999999995</v>
      </c>
      <c r="P469" s="70" t="s">
        <v>761</v>
      </c>
      <c r="R469" s="421"/>
      <c r="S469" s="422"/>
      <c r="T469" s="104"/>
      <c r="U469" s="100"/>
      <c r="V469" s="70" t="s">
        <v>1000</v>
      </c>
      <c r="W469" s="418" t="s">
        <v>2165</v>
      </c>
      <c r="X469" s="539"/>
      <c r="Y469" s="539"/>
      <c r="Z469" s="539"/>
    </row>
    <row r="470" spans="1:26" s="70" customFormat="1" ht="14.25" customHeight="1">
      <c r="A470" s="418" t="s">
        <v>38</v>
      </c>
      <c r="B470" s="418" t="s">
        <v>39</v>
      </c>
      <c r="C470" s="418" t="s">
        <v>292</v>
      </c>
      <c r="D470" s="470" t="s">
        <v>2896</v>
      </c>
      <c r="E470" s="70" t="s">
        <v>1437</v>
      </c>
      <c r="F470" s="70" t="s">
        <v>1676</v>
      </c>
      <c r="G470" s="70" t="s">
        <v>1676</v>
      </c>
      <c r="H470" s="70" t="s">
        <v>42</v>
      </c>
      <c r="I470" s="70" t="s">
        <v>135</v>
      </c>
      <c r="J470" s="70" t="s">
        <v>44</v>
      </c>
      <c r="K470" s="70" t="s">
        <v>44</v>
      </c>
      <c r="L470" s="70" t="s">
        <v>44</v>
      </c>
      <c r="M470" s="70" t="s">
        <v>45</v>
      </c>
      <c r="N470" s="70">
        <v>23.83013</v>
      </c>
      <c r="O470" s="70">
        <v>97.589979999999997</v>
      </c>
      <c r="P470" s="70" t="s">
        <v>761</v>
      </c>
      <c r="Q470" s="418" t="s">
        <v>780</v>
      </c>
      <c r="R470" s="421">
        <v>127</v>
      </c>
      <c r="S470" s="421">
        <v>653</v>
      </c>
      <c r="T470" s="441"/>
      <c r="U470" s="100"/>
      <c r="V470" s="70" t="s">
        <v>292</v>
      </c>
      <c r="W470" s="418"/>
      <c r="X470" s="539"/>
      <c r="Y470" s="539"/>
      <c r="Z470" s="539"/>
    </row>
    <row r="471" spans="1:26" s="70" customFormat="1" ht="14.25" customHeight="1">
      <c r="A471" s="418" t="s">
        <v>38</v>
      </c>
      <c r="B471" s="418" t="s">
        <v>39</v>
      </c>
      <c r="C471" s="418" t="s">
        <v>1114</v>
      </c>
      <c r="D471" s="470" t="s">
        <v>1654</v>
      </c>
      <c r="J471" s="70" t="s">
        <v>44</v>
      </c>
      <c r="K471" s="70" t="s">
        <v>44</v>
      </c>
      <c r="L471" s="70" t="s">
        <v>760</v>
      </c>
      <c r="M471" s="70" t="s">
        <v>45</v>
      </c>
      <c r="P471" s="70" t="s">
        <v>761</v>
      </c>
      <c r="R471" s="421"/>
      <c r="S471" s="422"/>
      <c r="T471" s="104"/>
      <c r="U471" s="100"/>
      <c r="W471" s="418"/>
      <c r="X471" s="539"/>
      <c r="Y471" s="539"/>
      <c r="Z471" s="539"/>
    </row>
    <row r="472" spans="1:26" s="70" customFormat="1" ht="14.25" customHeight="1">
      <c r="A472" s="418" t="s">
        <v>38</v>
      </c>
      <c r="B472" s="418" t="s">
        <v>39</v>
      </c>
      <c r="C472" s="418" t="s">
        <v>294</v>
      </c>
      <c r="D472" s="470" t="s">
        <v>2896</v>
      </c>
      <c r="E472" s="70" t="s">
        <v>1436</v>
      </c>
      <c r="F472" s="70" t="s">
        <v>1676</v>
      </c>
      <c r="G472" s="70" t="s">
        <v>1676</v>
      </c>
      <c r="H472" s="70" t="s">
        <v>42</v>
      </c>
      <c r="I472" s="70" t="s">
        <v>135</v>
      </c>
      <c r="J472" s="70" t="s">
        <v>44</v>
      </c>
      <c r="K472" s="70" t="s">
        <v>44</v>
      </c>
      <c r="L472" s="70" t="s">
        <v>44</v>
      </c>
      <c r="M472" s="70" t="s">
        <v>45</v>
      </c>
      <c r="N472" s="70">
        <v>23.829599000000002</v>
      </c>
      <c r="O472" s="70">
        <v>97.590767</v>
      </c>
      <c r="P472" s="70" t="s">
        <v>761</v>
      </c>
      <c r="Q472" s="418" t="s">
        <v>780</v>
      </c>
      <c r="R472" s="421">
        <v>156</v>
      </c>
      <c r="S472" s="421">
        <v>650</v>
      </c>
      <c r="T472" s="441"/>
      <c r="U472" s="100"/>
      <c r="V472" s="70" t="s">
        <v>978</v>
      </c>
      <c r="X472" s="539"/>
      <c r="Y472" s="539"/>
      <c r="Z472" s="539"/>
    </row>
    <row r="473" spans="1:26" s="70" customFormat="1" ht="14.25" customHeight="1">
      <c r="A473" s="418" t="s">
        <v>38</v>
      </c>
      <c r="B473" s="418" t="s">
        <v>39</v>
      </c>
      <c r="C473" s="418" t="s">
        <v>295</v>
      </c>
      <c r="D473" s="470" t="s">
        <v>2896</v>
      </c>
      <c r="E473" s="70" t="s">
        <v>1439</v>
      </c>
      <c r="F473" s="70" t="s">
        <v>1676</v>
      </c>
      <c r="G473" s="70" t="s">
        <v>1676</v>
      </c>
      <c r="H473" s="70" t="s">
        <v>42</v>
      </c>
      <c r="I473" s="70" t="s">
        <v>43</v>
      </c>
      <c r="J473" s="70" t="s">
        <v>44</v>
      </c>
      <c r="K473" s="70" t="s">
        <v>44</v>
      </c>
      <c r="L473" s="70" t="s">
        <v>44</v>
      </c>
      <c r="M473" s="70" t="s">
        <v>45</v>
      </c>
      <c r="N473" s="70">
        <v>23.835319999999999</v>
      </c>
      <c r="O473" s="70">
        <v>97.578490000000002</v>
      </c>
      <c r="P473" s="70" t="s">
        <v>761</v>
      </c>
      <c r="Q473" s="70" t="s">
        <v>780</v>
      </c>
      <c r="R473" s="421">
        <v>437</v>
      </c>
      <c r="S473" s="421">
        <v>2316</v>
      </c>
      <c r="T473" s="104"/>
      <c r="U473" s="100"/>
      <c r="V473" s="70" t="s">
        <v>295</v>
      </c>
      <c r="W473" s="418"/>
      <c r="X473" s="539"/>
      <c r="Y473" s="539"/>
      <c r="Z473" s="539"/>
    </row>
    <row r="474" spans="1:26" s="70" customFormat="1" ht="14.25" customHeight="1">
      <c r="A474" s="418" t="s">
        <v>38</v>
      </c>
      <c r="B474" s="418" t="s">
        <v>39</v>
      </c>
      <c r="C474" s="418" t="s">
        <v>296</v>
      </c>
      <c r="D474" s="470" t="s">
        <v>2896</v>
      </c>
      <c r="E474" s="70" t="s">
        <v>1438</v>
      </c>
      <c r="F474" s="70" t="s">
        <v>1676</v>
      </c>
      <c r="G474" s="70" t="s">
        <v>1676</v>
      </c>
      <c r="H474" s="70" t="s">
        <v>42</v>
      </c>
      <c r="I474" s="70" t="s">
        <v>43</v>
      </c>
      <c r="J474" s="70" t="s">
        <v>44</v>
      </c>
      <c r="K474" s="70" t="s">
        <v>44</v>
      </c>
      <c r="L474" s="70" t="s">
        <v>44</v>
      </c>
      <c r="M474" s="70" t="s">
        <v>45</v>
      </c>
      <c r="N474" s="70">
        <v>23.833477999999999</v>
      </c>
      <c r="O474" s="70">
        <v>97.578367</v>
      </c>
      <c r="P474" s="70" t="s">
        <v>761</v>
      </c>
      <c r="Q474" s="70" t="s">
        <v>780</v>
      </c>
      <c r="R474" s="421">
        <v>138</v>
      </c>
      <c r="S474" s="421">
        <v>732</v>
      </c>
      <c r="T474" s="104"/>
      <c r="U474" s="100"/>
      <c r="V474" s="70" t="s">
        <v>979</v>
      </c>
      <c r="W474" s="418"/>
      <c r="X474" s="539"/>
      <c r="Y474" s="539"/>
      <c r="Z474" s="539"/>
    </row>
    <row r="475" spans="1:26" s="70" customFormat="1" ht="14.25" customHeight="1">
      <c r="A475" s="418" t="s">
        <v>38</v>
      </c>
      <c r="B475" s="418" t="s">
        <v>39</v>
      </c>
      <c r="C475" s="418" t="s">
        <v>1115</v>
      </c>
      <c r="D475" s="470" t="s">
        <v>1654</v>
      </c>
      <c r="J475" s="70" t="s">
        <v>1449</v>
      </c>
      <c r="K475" s="70" t="s">
        <v>44</v>
      </c>
      <c r="L475" s="70" t="s">
        <v>1099</v>
      </c>
      <c r="M475" s="70" t="s">
        <v>45</v>
      </c>
      <c r="P475" s="70" t="s">
        <v>761</v>
      </c>
      <c r="Q475" s="70" t="s">
        <v>780</v>
      </c>
      <c r="R475" s="421"/>
      <c r="S475" s="422"/>
      <c r="T475" s="104"/>
      <c r="U475" s="100" t="s">
        <v>1095</v>
      </c>
      <c r="V475" s="70" t="s">
        <v>1115</v>
      </c>
      <c r="W475" s="418"/>
      <c r="X475" s="539"/>
      <c r="Y475" s="539"/>
      <c r="Z475" s="539"/>
    </row>
    <row r="476" spans="1:26" s="70" customFormat="1" ht="14.25" customHeight="1">
      <c r="A476" s="418" t="s">
        <v>38</v>
      </c>
      <c r="B476" s="418" t="s">
        <v>39</v>
      </c>
      <c r="C476" s="418" t="s">
        <v>977</v>
      </c>
      <c r="D476" s="470" t="s">
        <v>2896</v>
      </c>
      <c r="E476" s="70" t="s">
        <v>1433</v>
      </c>
      <c r="F476" s="70" t="s">
        <v>1676</v>
      </c>
      <c r="G476" s="70" t="s">
        <v>1676</v>
      </c>
      <c r="I476" s="70" t="s">
        <v>2141</v>
      </c>
      <c r="J476" s="70" t="s">
        <v>44</v>
      </c>
      <c r="K476" s="70" t="s">
        <v>44</v>
      </c>
      <c r="L476" s="70" t="s">
        <v>772</v>
      </c>
      <c r="M476" s="70" t="s">
        <v>45</v>
      </c>
      <c r="N476" s="70">
        <v>23.827870999999998</v>
      </c>
      <c r="O476" s="70">
        <v>97.588291999999996</v>
      </c>
      <c r="P476" s="70" t="s">
        <v>773</v>
      </c>
      <c r="Q476" s="70" t="s">
        <v>762</v>
      </c>
      <c r="R476" s="421">
        <v>175</v>
      </c>
      <c r="S476" s="421">
        <v>834</v>
      </c>
      <c r="T476" s="104"/>
      <c r="U476" s="100"/>
      <c r="V476" s="70" t="s">
        <v>977</v>
      </c>
      <c r="W476" s="418"/>
      <c r="X476" s="539"/>
      <c r="Y476" s="539"/>
      <c r="Z476" s="539"/>
    </row>
    <row r="477" spans="1:26" s="70" customFormat="1" ht="14.25" customHeight="1">
      <c r="A477" s="418" t="s">
        <v>38</v>
      </c>
      <c r="B477" s="418" t="s">
        <v>39</v>
      </c>
      <c r="C477" s="418" t="s">
        <v>187</v>
      </c>
      <c r="D477" s="470" t="s">
        <v>2896</v>
      </c>
      <c r="E477" s="70" t="s">
        <v>1459</v>
      </c>
      <c r="F477" s="70" t="s">
        <v>1771</v>
      </c>
      <c r="G477" s="70" t="s">
        <v>1772</v>
      </c>
      <c r="H477" s="70" t="s">
        <v>42</v>
      </c>
      <c r="I477" s="70" t="s">
        <v>135</v>
      </c>
      <c r="J477" s="70" t="s">
        <v>44</v>
      </c>
      <c r="K477" s="70" t="s">
        <v>44</v>
      </c>
      <c r="L477" s="70" t="s">
        <v>44</v>
      </c>
      <c r="M477" s="70" t="s">
        <v>45</v>
      </c>
      <c r="N477" s="70">
        <v>24.129059999999999</v>
      </c>
      <c r="O477" s="70">
        <v>97.291820000000001</v>
      </c>
      <c r="P477" s="70" t="s">
        <v>761</v>
      </c>
      <c r="Q477" s="70" t="s">
        <v>780</v>
      </c>
      <c r="R477" s="421">
        <v>190</v>
      </c>
      <c r="S477" s="421">
        <v>853</v>
      </c>
      <c r="T477" s="104"/>
      <c r="U477" s="100"/>
      <c r="V477" s="70" t="s">
        <v>187</v>
      </c>
      <c r="X477" s="539"/>
      <c r="Y477" s="539"/>
      <c r="Z477" s="539"/>
    </row>
    <row r="478" spans="1:26" s="70" customFormat="1" ht="14.25" customHeight="1">
      <c r="A478" s="418" t="s">
        <v>38</v>
      </c>
      <c r="B478" s="418" t="s">
        <v>39</v>
      </c>
      <c r="C478" s="418" t="s">
        <v>995</v>
      </c>
      <c r="D478" s="470" t="s">
        <v>2896</v>
      </c>
      <c r="E478" s="70" t="s">
        <v>1458</v>
      </c>
      <c r="I478" s="70" t="s">
        <v>2141</v>
      </c>
      <c r="J478" s="70" t="s">
        <v>44</v>
      </c>
      <c r="K478" s="70" t="s">
        <v>44</v>
      </c>
      <c r="L478" s="70" t="s">
        <v>772</v>
      </c>
      <c r="M478" s="70" t="s">
        <v>45</v>
      </c>
      <c r="N478" s="70">
        <v>24.118618999999999</v>
      </c>
      <c r="O478" s="70">
        <v>97.298055000000005</v>
      </c>
      <c r="P478" s="70" t="s">
        <v>773</v>
      </c>
      <c r="Q478" s="70" t="s">
        <v>762</v>
      </c>
      <c r="R478" s="421">
        <v>67</v>
      </c>
      <c r="S478" s="421">
        <v>324</v>
      </c>
      <c r="T478" s="104"/>
      <c r="U478" s="100" t="s">
        <v>996</v>
      </c>
      <c r="V478" s="70" t="s">
        <v>997</v>
      </c>
      <c r="W478" s="418"/>
      <c r="X478" s="539"/>
      <c r="Y478" s="539"/>
      <c r="Z478" s="539"/>
    </row>
    <row r="479" spans="1:26" s="70" customFormat="1" ht="14.25" customHeight="1">
      <c r="A479" s="418" t="s">
        <v>38</v>
      </c>
      <c r="B479" s="418" t="s">
        <v>39</v>
      </c>
      <c r="C479" s="418" t="s">
        <v>1001</v>
      </c>
      <c r="D479" s="470" t="s">
        <v>1655</v>
      </c>
      <c r="E479" s="70" t="s">
        <v>1468</v>
      </c>
      <c r="F479" s="70" t="s">
        <v>1698</v>
      </c>
      <c r="G479" s="70">
        <v>0</v>
      </c>
      <c r="I479" s="70">
        <v>0</v>
      </c>
      <c r="J479" s="70" t="s">
        <v>44</v>
      </c>
      <c r="K479" s="70" t="s">
        <v>44</v>
      </c>
      <c r="L479" s="70" t="s">
        <v>760</v>
      </c>
      <c r="M479" s="70" t="s">
        <v>778</v>
      </c>
      <c r="N479" s="70">
        <v>24.20645</v>
      </c>
      <c r="O479" s="70">
        <v>96.808850000000007</v>
      </c>
      <c r="P479" s="70" t="s">
        <v>761</v>
      </c>
      <c r="R479" s="421"/>
      <c r="S479" s="422"/>
      <c r="T479" s="104"/>
      <c r="U479" s="100"/>
      <c r="V479" s="70" t="s">
        <v>1001</v>
      </c>
      <c r="W479" s="70" t="s">
        <v>2143</v>
      </c>
      <c r="X479" s="539"/>
      <c r="Y479" s="539"/>
      <c r="Z479" s="539"/>
    </row>
    <row r="480" spans="1:26" s="70" customFormat="1" ht="14.25" customHeight="1">
      <c r="A480" s="418" t="s">
        <v>38</v>
      </c>
      <c r="B480" s="418" t="s">
        <v>39</v>
      </c>
      <c r="C480" s="70" t="s">
        <v>777</v>
      </c>
      <c r="D480" s="470" t="s">
        <v>1655</v>
      </c>
      <c r="E480" s="70" t="s">
        <v>1322</v>
      </c>
      <c r="F480" s="70" t="s">
        <v>1676</v>
      </c>
      <c r="G480" s="70">
        <v>0</v>
      </c>
      <c r="I480" s="70">
        <v>0</v>
      </c>
      <c r="J480" s="70" t="s">
        <v>44</v>
      </c>
      <c r="K480" s="70" t="s">
        <v>44</v>
      </c>
      <c r="L480" s="70" t="s">
        <v>760</v>
      </c>
      <c r="M480" s="70" t="s">
        <v>778</v>
      </c>
      <c r="P480" s="70" t="s">
        <v>761</v>
      </c>
      <c r="R480" s="421"/>
      <c r="S480" s="422"/>
      <c r="T480" s="104"/>
      <c r="U480" s="100"/>
      <c r="V480" s="70" t="s">
        <v>777</v>
      </c>
      <c r="W480" s="70" t="s">
        <v>2166</v>
      </c>
      <c r="X480" s="539"/>
      <c r="Y480" s="539"/>
      <c r="Z480" s="539"/>
    </row>
    <row r="481" spans="1:26" s="70" customFormat="1" ht="14.25" customHeight="1">
      <c r="A481" s="418" t="s">
        <v>38</v>
      </c>
      <c r="B481" s="418" t="s">
        <v>39</v>
      </c>
      <c r="C481" s="70" t="s">
        <v>975</v>
      </c>
      <c r="D481" s="470" t="s">
        <v>1655</v>
      </c>
      <c r="E481" s="70" t="s">
        <v>1430</v>
      </c>
      <c r="F481" s="70" t="s">
        <v>1678</v>
      </c>
      <c r="G481" s="70">
        <v>0</v>
      </c>
      <c r="I481" s="70">
        <v>0</v>
      </c>
      <c r="J481" s="70" t="s">
        <v>44</v>
      </c>
      <c r="K481" s="70" t="s">
        <v>44</v>
      </c>
      <c r="L481" s="70" t="s">
        <v>760</v>
      </c>
      <c r="M481" s="70" t="s">
        <v>778</v>
      </c>
      <c r="N481" s="70">
        <v>23.75817</v>
      </c>
      <c r="O481" s="70">
        <v>97.132339999999999</v>
      </c>
      <c r="P481" s="70" t="s">
        <v>761</v>
      </c>
      <c r="R481" s="98"/>
      <c r="S481" s="422"/>
      <c r="T481" s="104"/>
      <c r="U481" s="100"/>
      <c r="V481" s="70" t="s">
        <v>975</v>
      </c>
      <c r="W481" s="418" t="s">
        <v>2143</v>
      </c>
      <c r="X481" s="539"/>
      <c r="Y481" s="539"/>
      <c r="Z481" s="539"/>
    </row>
    <row r="482" spans="1:26" s="70" customFormat="1" ht="14.25" customHeight="1">
      <c r="A482" s="418" t="s">
        <v>38</v>
      </c>
      <c r="B482" s="418" t="s">
        <v>39</v>
      </c>
      <c r="C482" s="418" t="s">
        <v>781</v>
      </c>
      <c r="D482" s="470" t="s">
        <v>1655</v>
      </c>
      <c r="E482" s="70" t="s">
        <v>1325</v>
      </c>
      <c r="F482" s="70" t="s">
        <v>1678</v>
      </c>
      <c r="G482" s="70">
        <v>0</v>
      </c>
      <c r="I482" s="70">
        <v>0</v>
      </c>
      <c r="J482" s="70" t="s">
        <v>44</v>
      </c>
      <c r="K482" s="70" t="s">
        <v>44</v>
      </c>
      <c r="L482" s="70" t="s">
        <v>760</v>
      </c>
      <c r="M482" s="70" t="s">
        <v>778</v>
      </c>
      <c r="P482" s="70" t="s">
        <v>761</v>
      </c>
      <c r="R482" s="421"/>
      <c r="S482" s="422"/>
      <c r="T482" s="104"/>
      <c r="U482" s="100"/>
      <c r="V482" s="70" t="s">
        <v>781</v>
      </c>
      <c r="W482" s="418" t="s">
        <v>2143</v>
      </c>
      <c r="X482" s="539"/>
      <c r="Y482" s="539"/>
      <c r="Z482" s="539"/>
    </row>
    <row r="483" spans="1:26" s="70" customFormat="1" ht="14.25" customHeight="1">
      <c r="A483" s="418" t="s">
        <v>38</v>
      </c>
      <c r="B483" s="418" t="s">
        <v>39</v>
      </c>
      <c r="C483" s="70" t="s">
        <v>976</v>
      </c>
      <c r="D483" s="470" t="s">
        <v>1655</v>
      </c>
      <c r="E483" s="70" t="s">
        <v>1431</v>
      </c>
      <c r="F483" s="70" t="s">
        <v>1678</v>
      </c>
      <c r="G483" s="70">
        <v>0</v>
      </c>
      <c r="I483" s="70">
        <v>0</v>
      </c>
      <c r="J483" s="70" t="s">
        <v>44</v>
      </c>
      <c r="K483" s="70" t="s">
        <v>44</v>
      </c>
      <c r="L483" s="70" t="s">
        <v>760</v>
      </c>
      <c r="M483" s="70" t="s">
        <v>778</v>
      </c>
      <c r="N483" s="70">
        <v>23.75817</v>
      </c>
      <c r="O483" s="70">
        <v>97.132339999999999</v>
      </c>
      <c r="P483" s="70" t="s">
        <v>761</v>
      </c>
      <c r="R483" s="98"/>
      <c r="S483" s="422"/>
      <c r="T483" s="104"/>
      <c r="U483" s="100"/>
      <c r="V483" s="70" t="s">
        <v>976</v>
      </c>
      <c r="W483" s="70" t="s">
        <v>2167</v>
      </c>
      <c r="X483" s="539"/>
      <c r="Y483" s="539"/>
      <c r="Z483" s="539"/>
    </row>
    <row r="484" spans="1:26" s="70" customFormat="1" ht="14.25" customHeight="1">
      <c r="A484" s="418" t="s">
        <v>38</v>
      </c>
      <c r="B484" s="419" t="s">
        <v>39</v>
      </c>
      <c r="C484" s="419" t="s">
        <v>789</v>
      </c>
      <c r="D484" s="470" t="s">
        <v>1655</v>
      </c>
      <c r="E484" s="418" t="s">
        <v>1330</v>
      </c>
      <c r="F484" s="418">
        <v>0</v>
      </c>
      <c r="G484" s="418">
        <v>0</v>
      </c>
      <c r="H484" s="418"/>
      <c r="I484" s="418">
        <v>0</v>
      </c>
      <c r="J484" s="418" t="s">
        <v>44</v>
      </c>
      <c r="K484" s="418" t="s">
        <v>44</v>
      </c>
      <c r="L484" s="418" t="s">
        <v>760</v>
      </c>
      <c r="M484" s="418" t="s">
        <v>45</v>
      </c>
      <c r="N484" s="418"/>
      <c r="O484" s="418"/>
      <c r="P484" s="70" t="s">
        <v>761</v>
      </c>
      <c r="Q484" s="418"/>
      <c r="R484" s="421"/>
      <c r="S484" s="422"/>
      <c r="T484" s="441"/>
      <c r="U484" s="423"/>
      <c r="V484" s="418"/>
      <c r="W484" s="70" t="s">
        <v>2168</v>
      </c>
      <c r="X484" s="539"/>
      <c r="Y484" s="539"/>
      <c r="Z484" s="539"/>
    </row>
    <row r="485" spans="1:26" s="70" customFormat="1" ht="14.25" customHeight="1">
      <c r="A485" s="418" t="s">
        <v>38</v>
      </c>
      <c r="B485" s="419" t="s">
        <v>39</v>
      </c>
      <c r="C485" s="419" t="s">
        <v>133</v>
      </c>
      <c r="D485" s="470" t="s">
        <v>1654</v>
      </c>
      <c r="J485" s="70" t="s">
        <v>1449</v>
      </c>
      <c r="K485" s="70" t="s">
        <v>44</v>
      </c>
      <c r="L485" s="70" t="s">
        <v>44</v>
      </c>
      <c r="M485" s="70" t="s">
        <v>45</v>
      </c>
      <c r="P485" s="70" t="s">
        <v>761</v>
      </c>
      <c r="Q485" s="70" t="s">
        <v>780</v>
      </c>
      <c r="R485" s="421"/>
      <c r="S485" s="99"/>
      <c r="T485" s="104">
        <v>42747</v>
      </c>
      <c r="U485" s="100" t="s">
        <v>1095</v>
      </c>
      <c r="X485" s="539"/>
      <c r="Y485" s="539"/>
      <c r="Z485" s="539"/>
    </row>
    <row r="486" spans="1:26" s="70" customFormat="1" ht="14.25" customHeight="1">
      <c r="A486" s="426" t="s">
        <v>38</v>
      </c>
      <c r="B486" s="425" t="s">
        <v>146</v>
      </c>
      <c r="C486" s="419" t="s">
        <v>1965</v>
      </c>
      <c r="D486" s="470" t="s">
        <v>2896</v>
      </c>
      <c r="E486" s="70" t="s">
        <v>1971</v>
      </c>
      <c r="I486" s="70" t="s">
        <v>2141</v>
      </c>
      <c r="J486" s="70" t="s">
        <v>44</v>
      </c>
      <c r="K486" s="70" t="s">
        <v>44</v>
      </c>
      <c r="L486" s="70" t="s">
        <v>776</v>
      </c>
      <c r="M486" s="70" t="s">
        <v>45</v>
      </c>
      <c r="N486" s="418"/>
      <c r="O486" s="418"/>
      <c r="P486" s="419" t="s">
        <v>761</v>
      </c>
      <c r="Q486" s="70" t="s">
        <v>1949</v>
      </c>
      <c r="R486" s="98">
        <v>6</v>
      </c>
      <c r="S486" s="421">
        <v>32</v>
      </c>
      <c r="T486" s="104">
        <v>43276</v>
      </c>
      <c r="U486" s="100" t="s">
        <v>1998</v>
      </c>
      <c r="W486" s="412" t="s">
        <v>2275</v>
      </c>
      <c r="X486" s="539"/>
      <c r="Y486" s="539"/>
      <c r="Z486" s="539"/>
    </row>
    <row r="487" spans="1:26" s="70" customFormat="1" ht="14.25" customHeight="1">
      <c r="A487" s="418" t="s">
        <v>38</v>
      </c>
      <c r="B487" s="418" t="s">
        <v>146</v>
      </c>
      <c r="C487" s="418" t="s">
        <v>147</v>
      </c>
      <c r="D487" s="470" t="s">
        <v>2896</v>
      </c>
      <c r="E487" s="418" t="s">
        <v>1523</v>
      </c>
      <c r="F487" s="418" t="s">
        <v>1731</v>
      </c>
      <c r="G487" s="418" t="s">
        <v>1806</v>
      </c>
      <c r="H487" s="418" t="s">
        <v>42</v>
      </c>
      <c r="I487" s="418" t="s">
        <v>135</v>
      </c>
      <c r="J487" s="418" t="s">
        <v>44</v>
      </c>
      <c r="K487" s="418" t="s">
        <v>44</v>
      </c>
      <c r="L487" s="418" t="s">
        <v>44</v>
      </c>
      <c r="M487" s="418" t="s">
        <v>45</v>
      </c>
      <c r="N487" s="418">
        <v>25.305669999999999</v>
      </c>
      <c r="O487" s="418">
        <v>96.922619999999995</v>
      </c>
      <c r="P487" s="70" t="s">
        <v>761</v>
      </c>
      <c r="Q487" s="418" t="s">
        <v>780</v>
      </c>
      <c r="R487" s="421">
        <v>13</v>
      </c>
      <c r="S487" s="421">
        <v>72</v>
      </c>
      <c r="T487" s="441"/>
      <c r="U487" s="423"/>
      <c r="V487" s="418" t="s">
        <v>147</v>
      </c>
      <c r="W487" s="418"/>
      <c r="X487" s="539"/>
      <c r="Y487" s="539"/>
      <c r="Z487" s="539"/>
    </row>
    <row r="488" spans="1:26" s="70" customFormat="1" ht="14.25" customHeight="1">
      <c r="A488" s="426" t="s">
        <v>38</v>
      </c>
      <c r="B488" s="425" t="s">
        <v>146</v>
      </c>
      <c r="C488" s="426" t="s">
        <v>1995</v>
      </c>
      <c r="D488" s="420"/>
      <c r="E488" s="418"/>
      <c r="F488" s="418"/>
      <c r="G488" s="418"/>
      <c r="H488" s="418"/>
      <c r="I488" s="418"/>
      <c r="J488" s="418" t="s">
        <v>1449</v>
      </c>
      <c r="K488" s="419" t="s">
        <v>44</v>
      </c>
      <c r="L488" s="419" t="s">
        <v>776</v>
      </c>
      <c r="M488" s="418"/>
      <c r="N488" s="418"/>
      <c r="O488" s="418"/>
      <c r="P488" s="70" t="s">
        <v>1994</v>
      </c>
      <c r="Q488" s="418" t="s">
        <v>1949</v>
      </c>
      <c r="R488" s="429"/>
      <c r="S488" s="422"/>
      <c r="T488" s="441">
        <v>43285</v>
      </c>
      <c r="U488" s="423" t="s">
        <v>2000</v>
      </c>
      <c r="V488" s="418"/>
      <c r="W488" s="418"/>
      <c r="X488" s="539"/>
      <c r="Y488" s="539"/>
      <c r="Z488" s="539"/>
    </row>
    <row r="489" spans="1:26" s="70" customFormat="1" ht="14.25" customHeight="1">
      <c r="A489" s="426" t="s">
        <v>38</v>
      </c>
      <c r="B489" s="425" t="s">
        <v>146</v>
      </c>
      <c r="C489" s="419" t="s">
        <v>1964</v>
      </c>
      <c r="D489" s="470" t="s">
        <v>2896</v>
      </c>
      <c r="E489" s="70" t="s">
        <v>1969</v>
      </c>
      <c r="I489" s="70" t="s">
        <v>1314</v>
      </c>
      <c r="J489" s="70" t="s">
        <v>44</v>
      </c>
      <c r="K489" s="70" t="s">
        <v>44</v>
      </c>
      <c r="L489" s="419" t="s">
        <v>44</v>
      </c>
      <c r="M489" s="70" t="s">
        <v>45</v>
      </c>
      <c r="N489" s="70">
        <v>97.013800000000003</v>
      </c>
      <c r="O489" s="70">
        <v>25.383465999999999</v>
      </c>
      <c r="P489" s="419" t="s">
        <v>761</v>
      </c>
      <c r="Q489" s="70" t="s">
        <v>1949</v>
      </c>
      <c r="R489" s="421">
        <v>76</v>
      </c>
      <c r="S489" s="421">
        <v>381</v>
      </c>
      <c r="T489" s="104">
        <v>43276</v>
      </c>
      <c r="U489" s="100" t="s">
        <v>2234</v>
      </c>
      <c r="W489" s="412" t="s">
        <v>2276</v>
      </c>
      <c r="X489" s="539"/>
      <c r="Y489" s="539"/>
      <c r="Z489" s="539"/>
    </row>
    <row r="490" spans="1:26" s="70" customFormat="1" ht="14.25" customHeight="1">
      <c r="A490" s="426" t="s">
        <v>38</v>
      </c>
      <c r="B490" s="425" t="s">
        <v>146</v>
      </c>
      <c r="C490" s="419" t="s">
        <v>1952</v>
      </c>
      <c r="D490" s="420"/>
      <c r="J490" s="70" t="s">
        <v>1449</v>
      </c>
      <c r="K490" s="70" t="s">
        <v>44</v>
      </c>
      <c r="L490" s="70" t="s">
        <v>44</v>
      </c>
      <c r="M490" s="70" t="s">
        <v>45</v>
      </c>
      <c r="P490" s="70" t="s">
        <v>761</v>
      </c>
      <c r="Q490" s="70" t="s">
        <v>1949</v>
      </c>
      <c r="R490" s="429"/>
      <c r="S490" s="99"/>
      <c r="T490" s="104">
        <v>43270</v>
      </c>
      <c r="U490" s="100"/>
      <c r="W490" s="418"/>
      <c r="X490" s="539"/>
      <c r="Y490" s="539"/>
      <c r="Z490" s="539"/>
    </row>
    <row r="491" spans="1:26" s="70" customFormat="1" ht="14.25" customHeight="1">
      <c r="A491" s="426" t="s">
        <v>38</v>
      </c>
      <c r="B491" s="425" t="s">
        <v>146</v>
      </c>
      <c r="C491" s="419" t="s">
        <v>1951</v>
      </c>
      <c r="D491" s="420"/>
      <c r="J491" s="70" t="s">
        <v>1449</v>
      </c>
      <c r="K491" s="418" t="s">
        <v>44</v>
      </c>
      <c r="L491" s="418" t="s">
        <v>44</v>
      </c>
      <c r="M491" s="70" t="s">
        <v>45</v>
      </c>
      <c r="P491" s="70" t="s">
        <v>761</v>
      </c>
      <c r="Q491" s="70" t="s">
        <v>1949</v>
      </c>
      <c r="R491" s="429"/>
      <c r="S491" s="422"/>
      <c r="T491" s="104">
        <v>43270</v>
      </c>
      <c r="U491" s="100"/>
      <c r="W491" s="418"/>
      <c r="X491" s="539"/>
      <c r="Y491" s="539"/>
      <c r="Z491" s="539"/>
    </row>
    <row r="492" spans="1:26" s="70" customFormat="1" ht="14.25" customHeight="1">
      <c r="A492" s="418" t="s">
        <v>38</v>
      </c>
      <c r="B492" s="418" t="s">
        <v>146</v>
      </c>
      <c r="C492" s="418" t="s">
        <v>2135</v>
      </c>
      <c r="D492" s="470" t="s">
        <v>2896</v>
      </c>
      <c r="E492" s="70" t="s">
        <v>1519</v>
      </c>
      <c r="H492" s="70" t="s">
        <v>42</v>
      </c>
      <c r="I492" s="70" t="s">
        <v>135</v>
      </c>
      <c r="J492" s="70" t="s">
        <v>44</v>
      </c>
      <c r="K492" s="70" t="s">
        <v>44</v>
      </c>
      <c r="L492" s="70" t="s">
        <v>44</v>
      </c>
      <c r="M492" s="70" t="s">
        <v>45</v>
      </c>
      <c r="N492" s="70">
        <v>25.296579999999999</v>
      </c>
      <c r="O492" s="70">
        <v>96.942279999999997</v>
      </c>
      <c r="P492" s="70" t="s">
        <v>761</v>
      </c>
      <c r="Q492" s="70" t="s">
        <v>780</v>
      </c>
      <c r="R492" s="421">
        <v>15</v>
      </c>
      <c r="S492" s="421">
        <v>74</v>
      </c>
      <c r="T492" s="104"/>
      <c r="U492" s="100"/>
      <c r="V492" s="70" t="s">
        <v>148</v>
      </c>
      <c r="W492" s="418"/>
      <c r="X492" s="539"/>
      <c r="Y492" s="539"/>
      <c r="Z492" s="539"/>
    </row>
    <row r="493" spans="1:26" s="70" customFormat="1" ht="14.25" customHeight="1">
      <c r="A493" s="418" t="s">
        <v>38</v>
      </c>
      <c r="B493" s="418" t="s">
        <v>146</v>
      </c>
      <c r="C493" s="418" t="s">
        <v>234</v>
      </c>
      <c r="D493" s="470" t="s">
        <v>1732</v>
      </c>
      <c r="E493" s="70" t="s">
        <v>1520</v>
      </c>
      <c r="F493" s="70" t="s">
        <v>1803</v>
      </c>
      <c r="G493" s="70" t="s">
        <v>1804</v>
      </c>
      <c r="I493" s="418">
        <v>0</v>
      </c>
      <c r="J493" s="70" t="s">
        <v>44</v>
      </c>
      <c r="K493" s="70" t="s">
        <v>44</v>
      </c>
      <c r="L493" s="70" t="s">
        <v>760</v>
      </c>
      <c r="M493" s="70" t="s">
        <v>45</v>
      </c>
      <c r="N493" s="70">
        <v>25.299679999999999</v>
      </c>
      <c r="O493" s="70">
        <v>96.942279999999997</v>
      </c>
      <c r="P493" s="70" t="s">
        <v>761</v>
      </c>
      <c r="Q493" s="70" t="s">
        <v>780</v>
      </c>
      <c r="R493" s="98"/>
      <c r="S493" s="422"/>
      <c r="T493" s="104">
        <v>42836</v>
      </c>
      <c r="U493" s="100" t="s">
        <v>2728</v>
      </c>
      <c r="V493" s="70" t="s">
        <v>234</v>
      </c>
      <c r="W493" s="412" t="s">
        <v>2169</v>
      </c>
      <c r="X493" s="539"/>
      <c r="Y493" s="539"/>
      <c r="Z493" s="539"/>
    </row>
    <row r="494" spans="1:26" s="70" customFormat="1" ht="14.25" customHeight="1">
      <c r="A494" s="426" t="s">
        <v>38</v>
      </c>
      <c r="B494" s="425" t="s">
        <v>146</v>
      </c>
      <c r="C494" s="419" t="s">
        <v>1963</v>
      </c>
      <c r="D494" s="470" t="s">
        <v>2896</v>
      </c>
      <c r="E494" s="70" t="s">
        <v>1968</v>
      </c>
      <c r="I494" s="70" t="s">
        <v>1314</v>
      </c>
      <c r="J494" s="70" t="s">
        <v>44</v>
      </c>
      <c r="K494" s="418" t="s">
        <v>44</v>
      </c>
      <c r="L494" s="419" t="s">
        <v>44</v>
      </c>
      <c r="M494" s="70" t="s">
        <v>45</v>
      </c>
      <c r="N494" s="70">
        <v>97.010629910000006</v>
      </c>
      <c r="O494" s="70">
        <v>25.37033053</v>
      </c>
      <c r="P494" s="419" t="s">
        <v>761</v>
      </c>
      <c r="Q494" s="70" t="s">
        <v>1949</v>
      </c>
      <c r="R494" s="421">
        <v>45</v>
      </c>
      <c r="S494" s="421">
        <v>235</v>
      </c>
      <c r="T494" s="104">
        <v>43276</v>
      </c>
      <c r="U494" s="427" t="s">
        <v>1999</v>
      </c>
      <c r="W494" s="412" t="s">
        <v>2276</v>
      </c>
      <c r="X494" s="539"/>
      <c r="Y494" s="539"/>
      <c r="Z494" s="539"/>
    </row>
    <row r="495" spans="1:26" s="70" customFormat="1" ht="14.25" customHeight="1">
      <c r="A495" s="422" t="s">
        <v>38</v>
      </c>
      <c r="B495" s="425" t="s">
        <v>146</v>
      </c>
      <c r="C495" s="426" t="s">
        <v>2033</v>
      </c>
      <c r="D495" s="420"/>
      <c r="J495" s="70" t="s">
        <v>1449</v>
      </c>
      <c r="K495" s="418" t="s">
        <v>44</v>
      </c>
      <c r="L495" s="418" t="s">
        <v>776</v>
      </c>
      <c r="M495" s="70" t="s">
        <v>45</v>
      </c>
      <c r="P495" s="419" t="s">
        <v>1992</v>
      </c>
      <c r="R495" s="429"/>
      <c r="S495" s="422"/>
      <c r="T495" s="104">
        <v>43298</v>
      </c>
      <c r="U495" s="100"/>
      <c r="W495" s="418"/>
      <c r="X495" s="539"/>
      <c r="Y495" s="539"/>
      <c r="Z495" s="539"/>
    </row>
    <row r="496" spans="1:26" s="70" customFormat="1" ht="14.25" customHeight="1">
      <c r="A496" s="418" t="s">
        <v>38</v>
      </c>
      <c r="B496" s="418" t="s">
        <v>146</v>
      </c>
      <c r="C496" s="418" t="s">
        <v>1122</v>
      </c>
      <c r="D496" s="470" t="s">
        <v>1655</v>
      </c>
      <c r="E496" s="418" t="s">
        <v>1978</v>
      </c>
      <c r="F496" s="418" t="s">
        <v>1731</v>
      </c>
      <c r="G496" s="418" t="s">
        <v>1122</v>
      </c>
      <c r="H496" s="418"/>
      <c r="I496" s="418">
        <v>0</v>
      </c>
      <c r="J496" s="418" t="s">
        <v>44</v>
      </c>
      <c r="K496" s="418" t="s">
        <v>44</v>
      </c>
      <c r="L496" s="418" t="s">
        <v>760</v>
      </c>
      <c r="M496" s="418" t="s">
        <v>45</v>
      </c>
      <c r="N496" s="418"/>
      <c r="O496" s="418"/>
      <c r="P496" s="418" t="s">
        <v>761</v>
      </c>
      <c r="Q496" s="418" t="s">
        <v>926</v>
      </c>
      <c r="R496" s="421"/>
      <c r="S496" s="422"/>
      <c r="T496" s="441"/>
      <c r="U496" s="423" t="s">
        <v>1123</v>
      </c>
      <c r="V496" s="418"/>
      <c r="W496" s="70" t="s">
        <v>2170</v>
      </c>
      <c r="X496" s="539"/>
      <c r="Y496" s="539"/>
      <c r="Z496" s="539"/>
    </row>
    <row r="497" spans="1:26" s="70" customFormat="1" ht="14.25" customHeight="1">
      <c r="A497" s="426" t="s">
        <v>38</v>
      </c>
      <c r="B497" s="425" t="s">
        <v>146</v>
      </c>
      <c r="C497" s="419" t="s">
        <v>2134</v>
      </c>
      <c r="D497" s="470" t="s">
        <v>2896</v>
      </c>
      <c r="E497" s="70" t="s">
        <v>1970</v>
      </c>
      <c r="I497" s="418" t="s">
        <v>135</v>
      </c>
      <c r="J497" s="70" t="s">
        <v>44</v>
      </c>
      <c r="K497" s="70" t="s">
        <v>44</v>
      </c>
      <c r="L497" s="70" t="s">
        <v>44</v>
      </c>
      <c r="M497" s="70" t="s">
        <v>45</v>
      </c>
      <c r="N497" s="70">
        <v>97.104997409999996</v>
      </c>
      <c r="O497" s="70">
        <v>25.379014999999999</v>
      </c>
      <c r="P497" s="419" t="s">
        <v>761</v>
      </c>
      <c r="Q497" s="70" t="s">
        <v>1949</v>
      </c>
      <c r="R497" s="421">
        <v>112</v>
      </c>
      <c r="S497" s="421">
        <v>487</v>
      </c>
      <c r="T497" s="104">
        <v>43276</v>
      </c>
      <c r="U497" s="427" t="s">
        <v>1999</v>
      </c>
      <c r="W497" s="412" t="s">
        <v>2277</v>
      </c>
      <c r="X497" s="539"/>
      <c r="Y497" s="539"/>
      <c r="Z497" s="539"/>
    </row>
    <row r="498" spans="1:26" s="70" customFormat="1" ht="14.25" customHeight="1">
      <c r="A498" s="418" t="s">
        <v>38</v>
      </c>
      <c r="B498" s="418" t="s">
        <v>146</v>
      </c>
      <c r="C498" s="418" t="s">
        <v>149</v>
      </c>
      <c r="D498" s="470" t="s">
        <v>2896</v>
      </c>
      <c r="E498" s="70" t="s">
        <v>1521</v>
      </c>
      <c r="F498" s="70" t="s">
        <v>1731</v>
      </c>
      <c r="G498" s="70" t="s">
        <v>1805</v>
      </c>
      <c r="H498" s="70" t="s">
        <v>42</v>
      </c>
      <c r="I498" s="70" t="s">
        <v>135</v>
      </c>
      <c r="J498" s="70" t="s">
        <v>44</v>
      </c>
      <c r="K498" s="70" t="s">
        <v>44</v>
      </c>
      <c r="L498" s="70" t="s">
        <v>44</v>
      </c>
      <c r="M498" s="70" t="s">
        <v>45</v>
      </c>
      <c r="N498" s="70">
        <v>25.30442</v>
      </c>
      <c r="O498" s="70">
        <v>96.948740000000001</v>
      </c>
      <c r="P498" s="418" t="s">
        <v>761</v>
      </c>
      <c r="Q498" s="70" t="s">
        <v>780</v>
      </c>
      <c r="R498" s="421">
        <v>10</v>
      </c>
      <c r="S498" s="421">
        <v>43</v>
      </c>
      <c r="T498" s="104"/>
      <c r="U498" s="100"/>
      <c r="V498" s="70" t="s">
        <v>149</v>
      </c>
      <c r="W498" s="418"/>
      <c r="X498" s="539"/>
      <c r="Y498" s="539"/>
      <c r="Z498" s="539"/>
    </row>
    <row r="499" spans="1:26" s="70" customFormat="1" ht="14.25" customHeight="1">
      <c r="A499" s="418" t="s">
        <v>38</v>
      </c>
      <c r="B499" s="419" t="s">
        <v>146</v>
      </c>
      <c r="C499" s="419" t="s">
        <v>1040</v>
      </c>
      <c r="D499" s="470" t="s">
        <v>1655</v>
      </c>
      <c r="E499" s="70" t="s">
        <v>1516</v>
      </c>
      <c r="F499" s="70" t="s">
        <v>1713</v>
      </c>
      <c r="G499" s="70" t="s">
        <v>1713</v>
      </c>
      <c r="I499" s="70">
        <v>0</v>
      </c>
      <c r="J499" s="70" t="s">
        <v>44</v>
      </c>
      <c r="K499" s="70" t="s">
        <v>44</v>
      </c>
      <c r="L499" s="70" t="s">
        <v>760</v>
      </c>
      <c r="M499" s="70" t="s">
        <v>45</v>
      </c>
      <c r="N499" s="70">
        <v>25.225000000000001</v>
      </c>
      <c r="O499" s="70">
        <v>96.793999999999997</v>
      </c>
      <c r="P499" s="70" t="s">
        <v>773</v>
      </c>
      <c r="Q499" s="70" t="s">
        <v>780</v>
      </c>
      <c r="R499" s="421"/>
      <c r="S499" s="422"/>
      <c r="T499" s="104">
        <v>42983</v>
      </c>
      <c r="U499" s="100" t="s">
        <v>1041</v>
      </c>
      <c r="V499" s="418" t="s">
        <v>1042</v>
      </c>
      <c r="W499" s="412" t="s">
        <v>2171</v>
      </c>
      <c r="X499" s="539"/>
      <c r="Y499" s="539"/>
      <c r="Z499" s="539"/>
    </row>
    <row r="500" spans="1:26" s="70" customFormat="1" ht="14.25" customHeight="1">
      <c r="A500" s="418" t="s">
        <v>38</v>
      </c>
      <c r="B500" s="419" t="s">
        <v>146</v>
      </c>
      <c r="C500" s="419" t="s">
        <v>150</v>
      </c>
      <c r="D500" s="470" t="s">
        <v>2896</v>
      </c>
      <c r="E500" s="70" t="s">
        <v>1517</v>
      </c>
      <c r="F500" s="70" t="s">
        <v>1713</v>
      </c>
      <c r="G500" s="70" t="s">
        <v>1713</v>
      </c>
      <c r="H500" s="70" t="s">
        <v>42</v>
      </c>
      <c r="I500" s="70" t="s">
        <v>135</v>
      </c>
      <c r="J500" s="70" t="s">
        <v>44</v>
      </c>
      <c r="K500" s="70" t="s">
        <v>44</v>
      </c>
      <c r="L500" s="418" t="s">
        <v>44</v>
      </c>
      <c r="M500" s="70" t="s">
        <v>45</v>
      </c>
      <c r="N500" s="70">
        <v>25.225000000000001</v>
      </c>
      <c r="O500" s="70">
        <v>96.793999999999997</v>
      </c>
      <c r="P500" s="70" t="s">
        <v>761</v>
      </c>
      <c r="Q500" s="70" t="s">
        <v>780</v>
      </c>
      <c r="R500" s="421">
        <v>27</v>
      </c>
      <c r="S500" s="421">
        <v>135</v>
      </c>
      <c r="T500" s="104"/>
      <c r="U500" s="100"/>
      <c r="V500" s="418" t="s">
        <v>150</v>
      </c>
      <c r="W500" s="418"/>
      <c r="X500" s="539"/>
      <c r="Y500" s="539"/>
      <c r="Z500" s="539"/>
    </row>
    <row r="501" spans="1:26" s="70" customFormat="1" ht="14.25" customHeight="1">
      <c r="A501" s="418" t="s">
        <v>38</v>
      </c>
      <c r="B501" s="418" t="s">
        <v>151</v>
      </c>
      <c r="C501" s="418" t="s">
        <v>1034</v>
      </c>
      <c r="D501" s="470" t="s">
        <v>2896</v>
      </c>
      <c r="E501" s="70" t="s">
        <v>1509</v>
      </c>
      <c r="F501" s="70" t="s">
        <v>1864</v>
      </c>
      <c r="G501" s="70" t="s">
        <v>1865</v>
      </c>
      <c r="I501" s="70" t="s">
        <v>2141</v>
      </c>
      <c r="J501" s="70" t="s">
        <v>44</v>
      </c>
      <c r="K501" s="70" t="s">
        <v>44</v>
      </c>
      <c r="L501" s="418" t="s">
        <v>772</v>
      </c>
      <c r="M501" s="70" t="s">
        <v>45</v>
      </c>
      <c r="N501" s="70">
        <v>24.996279999999999</v>
      </c>
      <c r="O501" s="70">
        <v>96.52534</v>
      </c>
      <c r="P501" s="418" t="s">
        <v>773</v>
      </c>
      <c r="Q501" s="70" t="s">
        <v>762</v>
      </c>
      <c r="R501" s="421">
        <v>27</v>
      </c>
      <c r="S501" s="421">
        <v>126</v>
      </c>
      <c r="T501" s="104"/>
      <c r="U501" s="100" t="s">
        <v>1031</v>
      </c>
      <c r="V501" s="70" t="s">
        <v>1034</v>
      </c>
      <c r="W501" s="418"/>
      <c r="X501" s="539"/>
      <c r="Y501" s="539"/>
      <c r="Z501" s="539"/>
    </row>
    <row r="502" spans="1:26" s="70" customFormat="1" ht="14.25" customHeight="1">
      <c r="A502" s="418" t="s">
        <v>38</v>
      </c>
      <c r="B502" s="418" t="s">
        <v>151</v>
      </c>
      <c r="C502" s="418" t="s">
        <v>1030</v>
      </c>
      <c r="D502" s="470" t="s">
        <v>2896</v>
      </c>
      <c r="E502" s="418" t="s">
        <v>1506</v>
      </c>
      <c r="F502" s="70" t="s">
        <v>1795</v>
      </c>
      <c r="G502" s="70">
        <v>0</v>
      </c>
      <c r="I502" s="70" t="s">
        <v>2141</v>
      </c>
      <c r="J502" s="70" t="s">
        <v>44</v>
      </c>
      <c r="K502" s="70" t="s">
        <v>44</v>
      </c>
      <c r="L502" s="70" t="s">
        <v>772</v>
      </c>
      <c r="M502" s="70" t="s">
        <v>45</v>
      </c>
      <c r="N502" s="70">
        <v>24.764959999999999</v>
      </c>
      <c r="O502" s="70">
        <v>96.366919999999993</v>
      </c>
      <c r="P502" s="418" t="s">
        <v>773</v>
      </c>
      <c r="Q502" s="70" t="s">
        <v>762</v>
      </c>
      <c r="R502" s="421">
        <v>15</v>
      </c>
      <c r="S502" s="421">
        <v>71</v>
      </c>
      <c r="T502" s="104"/>
      <c r="U502" s="100" t="s">
        <v>1031</v>
      </c>
      <c r="V502" s="70" t="s">
        <v>1030</v>
      </c>
      <c r="W502" s="418"/>
      <c r="X502" s="539"/>
      <c r="Y502" s="539"/>
      <c r="Z502" s="539"/>
    </row>
    <row r="503" spans="1:26" s="70" customFormat="1" ht="14.25" customHeight="1">
      <c r="A503" s="418" t="s">
        <v>38</v>
      </c>
      <c r="B503" s="418" t="s">
        <v>151</v>
      </c>
      <c r="C503" s="418" t="s">
        <v>151</v>
      </c>
      <c r="D503" s="470" t="s">
        <v>1654</v>
      </c>
      <c r="J503" s="70" t="s">
        <v>798</v>
      </c>
      <c r="K503" s="418" t="s">
        <v>798</v>
      </c>
      <c r="L503" s="418" t="s">
        <v>798</v>
      </c>
      <c r="P503" s="70" t="s">
        <v>799</v>
      </c>
      <c r="R503" s="421"/>
      <c r="S503" s="422"/>
      <c r="T503" s="104"/>
      <c r="U503" s="100"/>
      <c r="V503" s="70" t="s">
        <v>151</v>
      </c>
      <c r="W503" s="418"/>
      <c r="X503" s="539"/>
      <c r="Y503" s="539"/>
      <c r="Z503" s="539"/>
    </row>
    <row r="504" spans="1:26" s="70" customFormat="1" ht="14.25" customHeight="1">
      <c r="A504" s="418" t="s">
        <v>38</v>
      </c>
      <c r="B504" s="418" t="s">
        <v>151</v>
      </c>
      <c r="C504" s="70" t="s">
        <v>1035</v>
      </c>
      <c r="D504" s="470" t="s">
        <v>1655</v>
      </c>
      <c r="E504" s="70" t="s">
        <v>1510</v>
      </c>
      <c r="F504" s="70" t="s">
        <v>1710</v>
      </c>
      <c r="G504" s="70" t="s">
        <v>1710</v>
      </c>
      <c r="H504" s="70" t="s">
        <v>42</v>
      </c>
      <c r="I504" s="418" t="s">
        <v>135</v>
      </c>
      <c r="J504" s="70" t="s">
        <v>44</v>
      </c>
      <c r="K504" s="70" t="s">
        <v>44</v>
      </c>
      <c r="L504" s="418" t="s">
        <v>760</v>
      </c>
      <c r="M504" s="70" t="s">
        <v>45</v>
      </c>
      <c r="N504" s="418">
        <v>24.998349999999999</v>
      </c>
      <c r="O504" s="418">
        <v>96.364949999999993</v>
      </c>
      <c r="P504" s="70" t="s">
        <v>761</v>
      </c>
      <c r="R504" s="421"/>
      <c r="S504" s="422"/>
      <c r="T504" s="104"/>
      <c r="U504" s="100"/>
      <c r="V504" s="70" t="s">
        <v>1035</v>
      </c>
      <c r="W504" s="418" t="s">
        <v>2172</v>
      </c>
      <c r="X504" s="539"/>
      <c r="Y504" s="539"/>
      <c r="Z504" s="539"/>
    </row>
    <row r="505" spans="1:26" s="70" customFormat="1" ht="14.25" customHeight="1">
      <c r="A505" s="418" t="s">
        <v>38</v>
      </c>
      <c r="B505" s="418" t="s">
        <v>151</v>
      </c>
      <c r="C505" s="418" t="s">
        <v>152</v>
      </c>
      <c r="D505" s="470" t="s">
        <v>2896</v>
      </c>
      <c r="E505" s="418" t="s">
        <v>1511</v>
      </c>
      <c r="H505" s="70" t="s">
        <v>42</v>
      </c>
      <c r="I505" s="418" t="s">
        <v>135</v>
      </c>
      <c r="J505" s="70" t="s">
        <v>44</v>
      </c>
      <c r="K505" s="70" t="s">
        <v>44</v>
      </c>
      <c r="L505" s="70" t="s">
        <v>44</v>
      </c>
      <c r="M505" s="70" t="s">
        <v>45</v>
      </c>
      <c r="N505" s="418">
        <v>24.998349999999999</v>
      </c>
      <c r="O505" s="418">
        <v>96.364949999999993</v>
      </c>
      <c r="P505" s="70" t="s">
        <v>761</v>
      </c>
      <c r="Q505" s="70" t="s">
        <v>780</v>
      </c>
      <c r="R505" s="421">
        <v>26</v>
      </c>
      <c r="S505" s="421">
        <v>117</v>
      </c>
      <c r="T505" s="104"/>
      <c r="U505" s="100"/>
      <c r="V505" s="70" t="s">
        <v>1036</v>
      </c>
      <c r="W505" s="412" t="s">
        <v>2278</v>
      </c>
      <c r="X505" s="539"/>
      <c r="Y505" s="539"/>
      <c r="Z505" s="539"/>
    </row>
    <row r="506" spans="1:26" s="70" customFormat="1" ht="14.25" customHeight="1">
      <c r="A506" s="418" t="s">
        <v>38</v>
      </c>
      <c r="B506" s="419" t="s">
        <v>151</v>
      </c>
      <c r="C506" s="419" t="s">
        <v>233</v>
      </c>
      <c r="D506" s="470" t="s">
        <v>2896</v>
      </c>
      <c r="E506" s="418" t="s">
        <v>1505</v>
      </c>
      <c r="F506" s="70" t="s">
        <v>1795</v>
      </c>
      <c r="G506" s="70" t="s">
        <v>1796</v>
      </c>
      <c r="H506" s="70" t="s">
        <v>42</v>
      </c>
      <c r="I506" s="418" t="s">
        <v>1314</v>
      </c>
      <c r="J506" s="70" t="s">
        <v>44</v>
      </c>
      <c r="K506" s="418" t="s">
        <v>44</v>
      </c>
      <c r="L506" s="418" t="s">
        <v>44</v>
      </c>
      <c r="M506" s="70" t="s">
        <v>45</v>
      </c>
      <c r="N506" s="418">
        <v>24.764800000000001</v>
      </c>
      <c r="O506" s="418">
        <v>96.367059999999995</v>
      </c>
      <c r="P506" s="418" t="s">
        <v>761</v>
      </c>
      <c r="Q506" s="70" t="s">
        <v>780</v>
      </c>
      <c r="R506" s="421">
        <v>11</v>
      </c>
      <c r="S506" s="421">
        <v>68</v>
      </c>
      <c r="T506" s="104"/>
      <c r="U506" s="100"/>
      <c r="V506" s="70" t="s">
        <v>233</v>
      </c>
      <c r="X506" s="539"/>
      <c r="Y506" s="539"/>
      <c r="Z506" s="539"/>
    </row>
    <row r="507" spans="1:26" s="70" customFormat="1" ht="14.25" customHeight="1">
      <c r="A507" s="422" t="s">
        <v>38</v>
      </c>
      <c r="B507" s="425" t="s">
        <v>2034</v>
      </c>
      <c r="C507" s="426" t="s">
        <v>2039</v>
      </c>
      <c r="D507" s="420"/>
      <c r="I507" s="418"/>
      <c r="J507" s="70" t="s">
        <v>1449</v>
      </c>
      <c r="K507" s="419" t="s">
        <v>44</v>
      </c>
      <c r="L507" s="419" t="s">
        <v>776</v>
      </c>
      <c r="M507" s="70" t="s">
        <v>778</v>
      </c>
      <c r="N507" s="418"/>
      <c r="O507" s="418"/>
      <c r="P507" s="70" t="s">
        <v>761</v>
      </c>
      <c r="R507" s="429"/>
      <c r="S507" s="422"/>
      <c r="T507" s="104">
        <v>43298</v>
      </c>
      <c r="U507" s="100"/>
      <c r="W507" s="418"/>
      <c r="X507" s="539"/>
      <c r="Y507" s="539"/>
      <c r="Z507" s="539"/>
    </row>
    <row r="508" spans="1:26" s="70" customFormat="1" ht="14.25" customHeight="1">
      <c r="A508" s="418" t="s">
        <v>38</v>
      </c>
      <c r="B508" s="418" t="s">
        <v>199</v>
      </c>
      <c r="C508" s="418" t="s">
        <v>200</v>
      </c>
      <c r="D508" s="470" t="s">
        <v>1654</v>
      </c>
      <c r="J508" s="70" t="s">
        <v>1449</v>
      </c>
      <c r="K508" s="70" t="s">
        <v>44</v>
      </c>
      <c r="L508" s="70" t="s">
        <v>44</v>
      </c>
      <c r="M508" s="70" t="s">
        <v>45</v>
      </c>
      <c r="N508" s="418"/>
      <c r="O508" s="418"/>
      <c r="P508" s="70" t="s">
        <v>761</v>
      </c>
      <c r="Q508" s="70" t="s">
        <v>780</v>
      </c>
      <c r="R508" s="421"/>
      <c r="S508" s="422"/>
      <c r="T508" s="104"/>
      <c r="U508" s="100" t="s">
        <v>1090</v>
      </c>
      <c r="V508" s="70" t="s">
        <v>200</v>
      </c>
      <c r="W508" s="418"/>
      <c r="X508" s="539"/>
      <c r="Y508" s="539"/>
      <c r="Z508" s="539"/>
    </row>
    <row r="509" spans="1:26" s="70" customFormat="1" ht="14.25" customHeight="1">
      <c r="A509" s="418" t="s">
        <v>38</v>
      </c>
      <c r="B509" s="418" t="s">
        <v>199</v>
      </c>
      <c r="C509" s="418" t="s">
        <v>1021</v>
      </c>
      <c r="D509" s="470" t="s">
        <v>1655</v>
      </c>
      <c r="E509" s="70" t="s">
        <v>1497</v>
      </c>
      <c r="F509" s="70" t="s">
        <v>1703</v>
      </c>
      <c r="G509" s="70" t="s">
        <v>1704</v>
      </c>
      <c r="I509" s="70">
        <v>0</v>
      </c>
      <c r="J509" s="70" t="s">
        <v>44</v>
      </c>
      <c r="K509" s="70" t="s">
        <v>44</v>
      </c>
      <c r="L509" s="70" t="s">
        <v>760</v>
      </c>
      <c r="M509" s="70" t="s">
        <v>45</v>
      </c>
      <c r="N509" s="418">
        <v>24.613976000000001</v>
      </c>
      <c r="O509" s="418">
        <v>97.461271999999994</v>
      </c>
      <c r="P509" s="418" t="s">
        <v>761</v>
      </c>
      <c r="Q509" s="418" t="s">
        <v>762</v>
      </c>
      <c r="R509" s="421"/>
      <c r="S509" s="422"/>
      <c r="T509" s="441">
        <v>42983</v>
      </c>
      <c r="U509" s="100" t="s">
        <v>1022</v>
      </c>
      <c r="V509" s="418" t="s">
        <v>1021</v>
      </c>
      <c r="W509" s="412" t="s">
        <v>2173</v>
      </c>
      <c r="X509" s="539"/>
      <c r="Y509" s="539"/>
      <c r="Z509" s="539"/>
    </row>
    <row r="510" spans="1:26" s="70" customFormat="1" ht="14.25" customHeight="1">
      <c r="A510" s="418" t="s">
        <v>38</v>
      </c>
      <c r="B510" s="418" t="s">
        <v>199</v>
      </c>
      <c r="C510" s="418" t="s">
        <v>226</v>
      </c>
      <c r="D510" s="470" t="s">
        <v>2896</v>
      </c>
      <c r="E510" s="70" t="s">
        <v>1495</v>
      </c>
      <c r="F510" s="70" t="s">
        <v>1791</v>
      </c>
      <c r="G510" s="70" t="s">
        <v>1792</v>
      </c>
      <c r="H510" s="70" t="s">
        <v>42</v>
      </c>
      <c r="I510" s="70" t="s">
        <v>1314</v>
      </c>
      <c r="J510" s="70" t="s">
        <v>44</v>
      </c>
      <c r="K510" s="70" t="s">
        <v>44</v>
      </c>
      <c r="L510" s="70" t="s">
        <v>44</v>
      </c>
      <c r="M510" s="70" t="s">
        <v>778</v>
      </c>
      <c r="N510" s="418">
        <v>24.461033</v>
      </c>
      <c r="O510" s="418">
        <v>97.537099999999995</v>
      </c>
      <c r="P510" s="418" t="s">
        <v>761</v>
      </c>
      <c r="Q510" s="70" t="s">
        <v>780</v>
      </c>
      <c r="R510" s="421">
        <v>80</v>
      </c>
      <c r="S510" s="421">
        <v>378</v>
      </c>
      <c r="T510" s="104"/>
      <c r="U510" s="100"/>
      <c r="V510" s="70" t="s">
        <v>226</v>
      </c>
      <c r="W510" s="418"/>
      <c r="X510" s="539"/>
      <c r="Y510" s="539"/>
      <c r="Z510" s="539"/>
    </row>
    <row r="511" spans="1:26" s="70" customFormat="1" ht="14.25" customHeight="1">
      <c r="A511" s="418" t="s">
        <v>38</v>
      </c>
      <c r="B511" s="418" t="s">
        <v>199</v>
      </c>
      <c r="C511" s="418" t="s">
        <v>211</v>
      </c>
      <c r="D511" s="470" t="s">
        <v>2896</v>
      </c>
      <c r="E511" s="70" t="s">
        <v>1499</v>
      </c>
      <c r="F511" s="70" t="s">
        <v>1793</v>
      </c>
      <c r="G511" s="70" t="s">
        <v>1794</v>
      </c>
      <c r="H511" s="70" t="s">
        <v>42</v>
      </c>
      <c r="I511" s="70" t="s">
        <v>1314</v>
      </c>
      <c r="J511" s="70" t="s">
        <v>44</v>
      </c>
      <c r="K511" s="70" t="s">
        <v>44</v>
      </c>
      <c r="L511" s="70" t="s">
        <v>44</v>
      </c>
      <c r="M511" s="70" t="s">
        <v>778</v>
      </c>
      <c r="N511" s="418">
        <v>24.661905999999998</v>
      </c>
      <c r="O511" s="418">
        <v>97.573126000000002</v>
      </c>
      <c r="P511" s="17" t="s">
        <v>1994</v>
      </c>
      <c r="Q511" s="418" t="s">
        <v>780</v>
      </c>
      <c r="R511" s="421">
        <v>717</v>
      </c>
      <c r="S511" s="421">
        <v>3658</v>
      </c>
      <c r="T511" s="441"/>
      <c r="U511" s="100"/>
      <c r="V511" s="70" t="s">
        <v>211</v>
      </c>
      <c r="W511" s="418"/>
      <c r="X511" s="539"/>
      <c r="Y511" s="539"/>
      <c r="Z511" s="539"/>
    </row>
    <row r="512" spans="1:26" s="70" customFormat="1" ht="14.25" customHeight="1">
      <c r="A512" s="418" t="s">
        <v>38</v>
      </c>
      <c r="B512" s="418" t="s">
        <v>199</v>
      </c>
      <c r="C512" s="418" t="s">
        <v>284</v>
      </c>
      <c r="D512" s="470" t="s">
        <v>2896</v>
      </c>
      <c r="E512" s="70" t="s">
        <v>1500</v>
      </c>
      <c r="F512" s="70" t="s">
        <v>1793</v>
      </c>
      <c r="G512" s="70" t="s">
        <v>1794</v>
      </c>
      <c r="H512" s="70" t="s">
        <v>42</v>
      </c>
      <c r="I512" s="418" t="s">
        <v>1314</v>
      </c>
      <c r="J512" s="70" t="s">
        <v>44</v>
      </c>
      <c r="K512" s="70" t="s">
        <v>44</v>
      </c>
      <c r="L512" s="70" t="s">
        <v>44</v>
      </c>
      <c r="M512" s="70" t="s">
        <v>778</v>
      </c>
      <c r="N512" s="418">
        <v>24.688338999999999</v>
      </c>
      <c r="O512" s="418">
        <v>97.568331999999998</v>
      </c>
      <c r="P512" s="17" t="s">
        <v>1994</v>
      </c>
      <c r="Q512" s="70" t="s">
        <v>780</v>
      </c>
      <c r="R512" s="421">
        <v>1527</v>
      </c>
      <c r="S512" s="421">
        <v>8721</v>
      </c>
      <c r="T512" s="104"/>
      <c r="U512" s="100"/>
      <c r="V512" s="70" t="s">
        <v>284</v>
      </c>
      <c r="X512" s="539"/>
      <c r="Y512" s="539"/>
      <c r="Z512" s="539"/>
    </row>
    <row r="513" spans="1:26" s="70" customFormat="1" ht="14.25" customHeight="1">
      <c r="A513" s="418" t="s">
        <v>38</v>
      </c>
      <c r="B513" s="418" t="s">
        <v>199</v>
      </c>
      <c r="C513" s="418" t="s">
        <v>201</v>
      </c>
      <c r="D513" s="470" t="s">
        <v>1654</v>
      </c>
      <c r="J513" s="70" t="s">
        <v>1449</v>
      </c>
      <c r="K513" s="70" t="s">
        <v>44</v>
      </c>
      <c r="L513" s="418" t="s">
        <v>44</v>
      </c>
      <c r="M513" s="70" t="s">
        <v>45</v>
      </c>
      <c r="N513" s="418"/>
      <c r="O513" s="418"/>
      <c r="P513" s="418" t="s">
        <v>761</v>
      </c>
      <c r="Q513" s="70" t="s">
        <v>780</v>
      </c>
      <c r="R513" s="421"/>
      <c r="S513" s="422"/>
      <c r="T513" s="104"/>
      <c r="U513" s="423" t="s">
        <v>1090</v>
      </c>
      <c r="V513" s="70" t="s">
        <v>201</v>
      </c>
      <c r="W513" s="418"/>
      <c r="X513" s="539"/>
      <c r="Y513" s="539"/>
      <c r="Z513" s="539"/>
    </row>
    <row r="514" spans="1:26" s="70" customFormat="1" ht="14.25" customHeight="1">
      <c r="A514" s="418" t="s">
        <v>38</v>
      </c>
      <c r="B514" s="418" t="s">
        <v>199</v>
      </c>
      <c r="C514" s="418" t="s">
        <v>203</v>
      </c>
      <c r="D514" s="470" t="s">
        <v>1654</v>
      </c>
      <c r="H514" s="418"/>
      <c r="J514" s="70" t="s">
        <v>1449</v>
      </c>
      <c r="K514" s="418" t="s">
        <v>44</v>
      </c>
      <c r="L514" s="418" t="s">
        <v>44</v>
      </c>
      <c r="M514" s="70" t="s">
        <v>45</v>
      </c>
      <c r="N514" s="418"/>
      <c r="O514" s="418"/>
      <c r="P514" s="418" t="s">
        <v>761</v>
      </c>
      <c r="Q514" s="70" t="s">
        <v>780</v>
      </c>
      <c r="R514" s="421"/>
      <c r="S514" s="422"/>
      <c r="T514" s="104"/>
      <c r="U514" s="100" t="s">
        <v>1090</v>
      </c>
      <c r="V514" s="70" t="s">
        <v>203</v>
      </c>
      <c r="W514" s="418"/>
      <c r="X514" s="539"/>
      <c r="Y514" s="539"/>
      <c r="Z514" s="539"/>
    </row>
    <row r="515" spans="1:26" s="70" customFormat="1" ht="14.25" customHeight="1">
      <c r="A515" s="418" t="s">
        <v>38</v>
      </c>
      <c r="B515" s="418" t="s">
        <v>199</v>
      </c>
      <c r="C515" s="418" t="s">
        <v>1012</v>
      </c>
      <c r="D515" s="470" t="s">
        <v>2896</v>
      </c>
      <c r="E515" s="70" t="s">
        <v>1490</v>
      </c>
      <c r="F515" s="70" t="s">
        <v>1862</v>
      </c>
      <c r="G515" s="70" t="s">
        <v>1863</v>
      </c>
      <c r="H515" s="418"/>
      <c r="I515" s="418" t="s">
        <v>2141</v>
      </c>
      <c r="J515" s="70" t="s">
        <v>44</v>
      </c>
      <c r="K515" s="70" t="s">
        <v>44</v>
      </c>
      <c r="L515" s="70" t="s">
        <v>772</v>
      </c>
      <c r="M515" s="70" t="s">
        <v>45</v>
      </c>
      <c r="N515" s="418">
        <v>24.377054000000001</v>
      </c>
      <c r="O515" s="418">
        <v>97.343406999999999</v>
      </c>
      <c r="P515" s="70" t="s">
        <v>773</v>
      </c>
      <c r="Q515" s="70" t="s">
        <v>762</v>
      </c>
      <c r="R515" s="421">
        <v>3</v>
      </c>
      <c r="S515" s="421">
        <v>18</v>
      </c>
      <c r="T515" s="104"/>
      <c r="U515" s="100" t="s">
        <v>1013</v>
      </c>
      <c r="V515" s="70" t="s">
        <v>1012</v>
      </c>
      <c r="X515" s="539"/>
      <c r="Y515" s="539"/>
      <c r="Z515" s="539"/>
    </row>
    <row r="516" spans="1:26" s="70" customFormat="1" ht="14.25" customHeight="1">
      <c r="A516" s="418" t="s">
        <v>38</v>
      </c>
      <c r="B516" s="418" t="s">
        <v>199</v>
      </c>
      <c r="C516" s="418" t="s">
        <v>283</v>
      </c>
      <c r="D516" s="470" t="s">
        <v>1654</v>
      </c>
      <c r="H516" s="418"/>
      <c r="J516" s="70" t="s">
        <v>1449</v>
      </c>
      <c r="K516" s="70" t="s">
        <v>44</v>
      </c>
      <c r="L516" s="70" t="s">
        <v>1099</v>
      </c>
      <c r="M516" s="70" t="s">
        <v>778</v>
      </c>
      <c r="N516" s="418"/>
      <c r="O516" s="418"/>
      <c r="P516" s="70" t="s">
        <v>761</v>
      </c>
      <c r="Q516" s="70" t="s">
        <v>762</v>
      </c>
      <c r="R516" s="421"/>
      <c r="S516" s="422"/>
      <c r="T516" s="104">
        <v>42849</v>
      </c>
      <c r="U516" s="100"/>
      <c r="X516" s="539"/>
      <c r="Y516" s="539"/>
      <c r="Z516" s="539"/>
    </row>
    <row r="517" spans="1:26" s="70" customFormat="1" ht="14.25" customHeight="1">
      <c r="A517" s="418" t="s">
        <v>38</v>
      </c>
      <c r="B517" s="418" t="s">
        <v>199</v>
      </c>
      <c r="C517" s="418" t="s">
        <v>275</v>
      </c>
      <c r="D517" s="470" t="s">
        <v>2896</v>
      </c>
      <c r="E517" s="70" t="s">
        <v>1465</v>
      </c>
      <c r="F517" s="70" t="s">
        <v>1774</v>
      </c>
      <c r="G517" s="70" t="s">
        <v>1776</v>
      </c>
      <c r="H517" s="418" t="s">
        <v>42</v>
      </c>
      <c r="I517" s="418" t="s">
        <v>135</v>
      </c>
      <c r="J517" s="70" t="s">
        <v>44</v>
      </c>
      <c r="K517" s="418" t="s">
        <v>44</v>
      </c>
      <c r="L517" s="418" t="s">
        <v>44</v>
      </c>
      <c r="M517" s="70" t="s">
        <v>45</v>
      </c>
      <c r="N517" s="418">
        <v>24.200972</v>
      </c>
      <c r="O517" s="418">
        <v>97.718582999999995</v>
      </c>
      <c r="P517" s="418" t="s">
        <v>761</v>
      </c>
      <c r="Q517" s="70" t="s">
        <v>780</v>
      </c>
      <c r="R517" s="421">
        <v>38</v>
      </c>
      <c r="S517" s="421">
        <v>244</v>
      </c>
      <c r="T517" s="104"/>
      <c r="U517" s="100"/>
      <c r="V517" s="70" t="s">
        <v>275</v>
      </c>
      <c r="W517" s="418"/>
      <c r="X517" s="539"/>
      <c r="Y517" s="539"/>
      <c r="Z517" s="539"/>
    </row>
    <row r="518" spans="1:26" s="70" customFormat="1" ht="14.25" customHeight="1">
      <c r="A518" s="418" t="s">
        <v>38</v>
      </c>
      <c r="B518" s="418" t="s">
        <v>199</v>
      </c>
      <c r="C518" s="418" t="s">
        <v>276</v>
      </c>
      <c r="D518" s="470" t="s">
        <v>2896</v>
      </c>
      <c r="E518" s="418" t="s">
        <v>1466</v>
      </c>
      <c r="F518" s="418" t="s">
        <v>1774</v>
      </c>
      <c r="G518" s="418" t="s">
        <v>1776</v>
      </c>
      <c r="H518" s="418" t="s">
        <v>42</v>
      </c>
      <c r="I518" s="418" t="s">
        <v>43</v>
      </c>
      <c r="J518" s="418" t="s">
        <v>44</v>
      </c>
      <c r="K518" s="418" t="s">
        <v>44</v>
      </c>
      <c r="L518" s="418" t="s">
        <v>44</v>
      </c>
      <c r="M518" s="418" t="s">
        <v>45</v>
      </c>
      <c r="N518" s="418">
        <v>24.205417000000001</v>
      </c>
      <c r="O518" s="418">
        <v>97.724566999999993</v>
      </c>
      <c r="P518" s="418" t="s">
        <v>761</v>
      </c>
      <c r="Q518" s="418" t="s">
        <v>780</v>
      </c>
      <c r="R518" s="421">
        <v>129</v>
      </c>
      <c r="S518" s="421">
        <v>646</v>
      </c>
      <c r="T518" s="441"/>
      <c r="U518" s="423"/>
      <c r="V518" s="418" t="s">
        <v>276</v>
      </c>
      <c r="W518" s="418"/>
      <c r="X518" s="539"/>
      <c r="Y518" s="539"/>
      <c r="Z518" s="539"/>
    </row>
    <row r="519" spans="1:26" s="70" customFormat="1" ht="14.25" customHeight="1">
      <c r="A519" s="418" t="s">
        <v>38</v>
      </c>
      <c r="B519" s="418" t="s">
        <v>199</v>
      </c>
      <c r="C519" s="418" t="s">
        <v>1107</v>
      </c>
      <c r="D519" s="470" t="s">
        <v>1654</v>
      </c>
      <c r="J519" s="70" t="s">
        <v>44</v>
      </c>
      <c r="K519" s="70" t="s">
        <v>44</v>
      </c>
      <c r="L519" s="70" t="s">
        <v>1087</v>
      </c>
      <c r="M519" s="70" t="s">
        <v>45</v>
      </c>
      <c r="N519" s="418"/>
      <c r="O519" s="418"/>
      <c r="P519" s="70" t="s">
        <v>761</v>
      </c>
      <c r="R519" s="98"/>
      <c r="S519" s="422"/>
      <c r="T519" s="104"/>
      <c r="U519" s="100"/>
      <c r="V519" s="70" t="s">
        <v>1108</v>
      </c>
      <c r="X519" s="539"/>
      <c r="Y519" s="539"/>
      <c r="Z519" s="539"/>
    </row>
    <row r="520" spans="1:26" s="70" customFormat="1" ht="14.25" customHeight="1">
      <c r="A520" s="418" t="s">
        <v>38</v>
      </c>
      <c r="B520" s="418" t="s">
        <v>199</v>
      </c>
      <c r="C520" s="418" t="s">
        <v>1109</v>
      </c>
      <c r="D520" s="470" t="s">
        <v>1654</v>
      </c>
      <c r="H520" s="418"/>
      <c r="I520" s="418"/>
      <c r="J520" s="70" t="s">
        <v>44</v>
      </c>
      <c r="K520" s="70" t="s">
        <v>44</v>
      </c>
      <c r="L520" s="70" t="s">
        <v>1087</v>
      </c>
      <c r="M520" s="70" t="s">
        <v>45</v>
      </c>
      <c r="N520" s="418"/>
      <c r="O520" s="418"/>
      <c r="P520" s="70" t="s">
        <v>761</v>
      </c>
      <c r="R520" s="421"/>
      <c r="S520" s="422"/>
      <c r="T520" s="104"/>
      <c r="U520" s="100"/>
      <c r="V520" s="70" t="s">
        <v>1110</v>
      </c>
      <c r="W520" s="418"/>
      <c r="X520" s="539"/>
      <c r="Y520" s="539"/>
      <c r="Z520" s="539"/>
    </row>
    <row r="521" spans="1:26" s="70" customFormat="1" ht="14.25" customHeight="1">
      <c r="A521" s="418" t="s">
        <v>38</v>
      </c>
      <c r="B521" s="418" t="s">
        <v>199</v>
      </c>
      <c r="C521" s="418" t="s">
        <v>1111</v>
      </c>
      <c r="D521" s="470" t="s">
        <v>1654</v>
      </c>
      <c r="H521" s="418"/>
      <c r="J521" s="70" t="s">
        <v>44</v>
      </c>
      <c r="K521" s="70" t="s">
        <v>44</v>
      </c>
      <c r="L521" s="70" t="s">
        <v>1087</v>
      </c>
      <c r="M521" s="70" t="s">
        <v>45</v>
      </c>
      <c r="N521" s="418"/>
      <c r="O521" s="418"/>
      <c r="P521" s="418" t="s">
        <v>761</v>
      </c>
      <c r="R521" s="421"/>
      <c r="S521" s="422"/>
      <c r="T521" s="104"/>
      <c r="U521" s="100"/>
      <c r="V521" s="70" t="s">
        <v>1112</v>
      </c>
      <c r="W521" s="418"/>
      <c r="X521" s="539"/>
      <c r="Y521" s="539"/>
      <c r="Z521" s="539"/>
    </row>
    <row r="522" spans="1:26" s="70" customFormat="1" ht="14.25" customHeight="1">
      <c r="A522" s="418" t="s">
        <v>38</v>
      </c>
      <c r="B522" s="418" t="s">
        <v>199</v>
      </c>
      <c r="C522" s="418" t="s">
        <v>277</v>
      </c>
      <c r="D522" s="470" t="s">
        <v>2896</v>
      </c>
      <c r="E522" s="70" t="s">
        <v>1464</v>
      </c>
      <c r="F522" s="70" t="s">
        <v>1774</v>
      </c>
      <c r="G522" s="70" t="s">
        <v>1775</v>
      </c>
      <c r="H522" s="418" t="s">
        <v>42</v>
      </c>
      <c r="I522" s="418" t="s">
        <v>135</v>
      </c>
      <c r="J522" s="70" t="s">
        <v>44</v>
      </c>
      <c r="K522" s="70" t="s">
        <v>44</v>
      </c>
      <c r="L522" s="418" t="s">
        <v>44</v>
      </c>
      <c r="M522" s="70" t="s">
        <v>45</v>
      </c>
      <c r="N522" s="418">
        <v>24.200433</v>
      </c>
      <c r="O522" s="418">
        <v>97.717133000000004</v>
      </c>
      <c r="P522" s="418" t="s">
        <v>761</v>
      </c>
      <c r="Q522" s="70" t="s">
        <v>780</v>
      </c>
      <c r="R522" s="421">
        <v>210</v>
      </c>
      <c r="S522" s="421">
        <v>1212</v>
      </c>
      <c r="T522" s="104"/>
      <c r="U522" s="100"/>
      <c r="V522" s="70" t="s">
        <v>277</v>
      </c>
      <c r="W522" s="418"/>
      <c r="X522" s="539"/>
      <c r="Y522" s="539"/>
      <c r="Z522" s="539"/>
    </row>
    <row r="523" spans="1:26" s="70" customFormat="1" ht="14.25" customHeight="1">
      <c r="A523" s="418" t="s">
        <v>38</v>
      </c>
      <c r="B523" s="418" t="s">
        <v>199</v>
      </c>
      <c r="C523" s="418" t="s">
        <v>1113</v>
      </c>
      <c r="D523" s="470" t="s">
        <v>1654</v>
      </c>
      <c r="H523" s="418"/>
      <c r="I523" s="418"/>
      <c r="J523" s="70" t="s">
        <v>1099</v>
      </c>
      <c r="K523" s="70" t="s">
        <v>44</v>
      </c>
      <c r="L523" s="70" t="s">
        <v>760</v>
      </c>
      <c r="M523" s="70" t="s">
        <v>45</v>
      </c>
      <c r="N523" s="418"/>
      <c r="O523" s="418"/>
      <c r="P523" s="70" t="s">
        <v>761</v>
      </c>
      <c r="R523" s="421"/>
      <c r="S523" s="422"/>
      <c r="T523" s="104"/>
      <c r="U523" s="100"/>
      <c r="V523" s="70" t="s">
        <v>1113</v>
      </c>
      <c r="W523" s="418"/>
      <c r="X523" s="539"/>
      <c r="Y523" s="539"/>
      <c r="Z523" s="539"/>
    </row>
    <row r="524" spans="1:26" s="70" customFormat="1" ht="14.25" customHeight="1">
      <c r="A524" s="418" t="s">
        <v>38</v>
      </c>
      <c r="B524" s="418" t="s">
        <v>199</v>
      </c>
      <c r="C524" s="418" t="s">
        <v>282</v>
      </c>
      <c r="D524" s="470" t="s">
        <v>1654</v>
      </c>
      <c r="H524" s="418"/>
      <c r="I524" s="418"/>
      <c r="J524" s="70" t="s">
        <v>1449</v>
      </c>
      <c r="K524" s="70" t="s">
        <v>44</v>
      </c>
      <c r="L524" s="70" t="s">
        <v>1099</v>
      </c>
      <c r="M524" s="70" t="s">
        <v>45</v>
      </c>
      <c r="N524" s="418"/>
      <c r="O524" s="418"/>
      <c r="P524" s="70" t="s">
        <v>761</v>
      </c>
      <c r="Q524" s="70" t="s">
        <v>762</v>
      </c>
      <c r="R524" s="421"/>
      <c r="S524" s="422"/>
      <c r="T524" s="104">
        <v>42849</v>
      </c>
      <c r="U524" s="100"/>
      <c r="W524" s="418"/>
      <c r="X524" s="539"/>
      <c r="Y524" s="539"/>
      <c r="Z524" s="539"/>
    </row>
    <row r="525" spans="1:26" s="70" customFormat="1" ht="14.25" customHeight="1">
      <c r="A525" s="418" t="s">
        <v>38</v>
      </c>
      <c r="B525" s="418" t="s">
        <v>199</v>
      </c>
      <c r="C525" s="418" t="s">
        <v>1018</v>
      </c>
      <c r="D525" s="470" t="s">
        <v>1655</v>
      </c>
      <c r="E525" s="70" t="s">
        <v>1494</v>
      </c>
      <c r="F525" s="70" t="s">
        <v>1701</v>
      </c>
      <c r="G525" s="70" t="s">
        <v>1701</v>
      </c>
      <c r="I525" s="70">
        <v>0</v>
      </c>
      <c r="J525" s="70" t="s">
        <v>44</v>
      </c>
      <c r="K525" s="70" t="s">
        <v>44</v>
      </c>
      <c r="L525" s="70" t="s">
        <v>760</v>
      </c>
      <c r="M525" s="70" t="s">
        <v>45</v>
      </c>
      <c r="N525" s="418">
        <v>24.441697000000001</v>
      </c>
      <c r="O525" s="418">
        <v>97.409474000000003</v>
      </c>
      <c r="P525" s="70" t="s">
        <v>773</v>
      </c>
      <c r="Q525" s="70" t="s">
        <v>762</v>
      </c>
      <c r="R525" s="421"/>
      <c r="S525" s="422"/>
      <c r="T525" s="104">
        <v>42983</v>
      </c>
      <c r="U525" s="100" t="s">
        <v>1019</v>
      </c>
      <c r="V525" s="70" t="s">
        <v>1018</v>
      </c>
      <c r="W525" s="412" t="s">
        <v>2174</v>
      </c>
      <c r="X525" s="539"/>
      <c r="Y525" s="539"/>
      <c r="Z525" s="539"/>
    </row>
    <row r="526" spans="1:26" s="70" customFormat="1" ht="14.25" customHeight="1">
      <c r="A526" s="418" t="s">
        <v>38</v>
      </c>
      <c r="B526" s="418" t="s">
        <v>199</v>
      </c>
      <c r="C526" s="418" t="s">
        <v>204</v>
      </c>
      <c r="D526" s="470" t="s">
        <v>2896</v>
      </c>
      <c r="E526" s="418" t="s">
        <v>1472</v>
      </c>
      <c r="F526" s="418" t="s">
        <v>1780</v>
      </c>
      <c r="G526" s="418" t="s">
        <v>1780</v>
      </c>
      <c r="H526" s="418" t="s">
        <v>42</v>
      </c>
      <c r="I526" s="418" t="s">
        <v>43</v>
      </c>
      <c r="J526" s="70" t="s">
        <v>44</v>
      </c>
      <c r="K526" s="70" t="s">
        <v>44</v>
      </c>
      <c r="L526" s="418" t="s">
        <v>44</v>
      </c>
      <c r="M526" s="70" t="s">
        <v>45</v>
      </c>
      <c r="N526" s="418">
        <v>24.245100000000001</v>
      </c>
      <c r="O526" s="418">
        <v>97.325019999999995</v>
      </c>
      <c r="P526" s="418" t="s">
        <v>761</v>
      </c>
      <c r="Q526" s="70" t="s">
        <v>780</v>
      </c>
      <c r="R526" s="421">
        <v>299</v>
      </c>
      <c r="S526" s="421">
        <v>1373</v>
      </c>
      <c r="T526" s="104"/>
      <c r="U526" s="423"/>
      <c r="V526" s="418" t="s">
        <v>204</v>
      </c>
      <c r="W526" s="418"/>
      <c r="X526" s="539"/>
      <c r="Y526" s="539"/>
      <c r="Z526" s="539"/>
    </row>
    <row r="527" spans="1:26" s="70" customFormat="1" ht="14.25" customHeight="1">
      <c r="A527" s="418" t="s">
        <v>38</v>
      </c>
      <c r="B527" s="418" t="s">
        <v>199</v>
      </c>
      <c r="C527" s="418" t="s">
        <v>281</v>
      </c>
      <c r="D527" s="470" t="s">
        <v>1654</v>
      </c>
      <c r="H527" s="418"/>
      <c r="I527" s="418"/>
      <c r="J527" s="70" t="s">
        <v>1449</v>
      </c>
      <c r="K527" s="70" t="s">
        <v>44</v>
      </c>
      <c r="L527" s="70" t="s">
        <v>44</v>
      </c>
      <c r="M527" s="70" t="s">
        <v>45</v>
      </c>
      <c r="N527" s="418"/>
      <c r="O527" s="418"/>
      <c r="P527" s="418" t="s">
        <v>761</v>
      </c>
      <c r="Q527" s="70" t="s">
        <v>780</v>
      </c>
      <c r="R527" s="421"/>
      <c r="S527" s="422"/>
      <c r="T527" s="104"/>
      <c r="U527" s="100" t="s">
        <v>1090</v>
      </c>
      <c r="V527" s="70" t="s">
        <v>281</v>
      </c>
      <c r="W527" s="418"/>
      <c r="X527" s="539"/>
      <c r="Y527" s="539"/>
      <c r="Z527" s="539"/>
    </row>
    <row r="528" spans="1:26" s="70" customFormat="1" ht="14.25" customHeight="1">
      <c r="A528" s="418" t="s">
        <v>38</v>
      </c>
      <c r="B528" s="418" t="s">
        <v>199</v>
      </c>
      <c r="C528" s="418" t="s">
        <v>1016</v>
      </c>
      <c r="D528" s="470" t="s">
        <v>1655</v>
      </c>
      <c r="E528" s="70" t="s">
        <v>1493</v>
      </c>
      <c r="F528" s="70" t="s">
        <v>1700</v>
      </c>
      <c r="G528" s="70" t="s">
        <v>1700</v>
      </c>
      <c r="I528" s="70">
        <v>0</v>
      </c>
      <c r="J528" s="70" t="s">
        <v>44</v>
      </c>
      <c r="K528" s="70" t="s">
        <v>44</v>
      </c>
      <c r="L528" s="70" t="s">
        <v>760</v>
      </c>
      <c r="M528" s="70" t="s">
        <v>45</v>
      </c>
      <c r="N528" s="418">
        <v>24.410008999999999</v>
      </c>
      <c r="O528" s="418">
        <v>97.321659999999994</v>
      </c>
      <c r="P528" s="70" t="s">
        <v>773</v>
      </c>
      <c r="Q528" s="70" t="s">
        <v>762</v>
      </c>
      <c r="R528" s="421"/>
      <c r="S528" s="422"/>
      <c r="T528" s="104">
        <v>42983</v>
      </c>
      <c r="U528" s="100" t="s">
        <v>1017</v>
      </c>
      <c r="V528" s="70" t="s">
        <v>1016</v>
      </c>
      <c r="W528" s="418" t="s">
        <v>2175</v>
      </c>
      <c r="X528" s="539"/>
      <c r="Y528" s="539"/>
      <c r="Z528" s="539"/>
    </row>
    <row r="529" spans="1:26" s="70" customFormat="1" ht="14.25" customHeight="1">
      <c r="A529" s="418" t="s">
        <v>38</v>
      </c>
      <c r="B529" s="418" t="s">
        <v>199</v>
      </c>
      <c r="C529" s="418" t="s">
        <v>1028</v>
      </c>
      <c r="D529" s="470" t="s">
        <v>1655</v>
      </c>
      <c r="E529" s="418" t="s">
        <v>1504</v>
      </c>
      <c r="F529" s="418" t="s">
        <v>1708</v>
      </c>
      <c r="G529" s="418" t="s">
        <v>1709</v>
      </c>
      <c r="H529" s="418"/>
      <c r="I529" s="418">
        <v>0</v>
      </c>
      <c r="J529" s="70" t="s">
        <v>44</v>
      </c>
      <c r="K529" s="70" t="s">
        <v>44</v>
      </c>
      <c r="L529" s="418" t="s">
        <v>760</v>
      </c>
      <c r="M529" s="70" t="s">
        <v>45</v>
      </c>
      <c r="N529" s="70">
        <v>24.759551999999999</v>
      </c>
      <c r="O529" s="70">
        <v>97.276591999999994</v>
      </c>
      <c r="P529" s="418" t="s">
        <v>773</v>
      </c>
      <c r="Q529" s="70" t="s">
        <v>762</v>
      </c>
      <c r="R529" s="421"/>
      <c r="S529" s="422"/>
      <c r="T529" s="104">
        <v>42983</v>
      </c>
      <c r="U529" s="423" t="s">
        <v>1029</v>
      </c>
      <c r="V529" s="418" t="s">
        <v>1028</v>
      </c>
      <c r="W529" s="412" t="s">
        <v>2176</v>
      </c>
      <c r="X529" s="539"/>
      <c r="Y529" s="539"/>
      <c r="Z529" s="539"/>
    </row>
    <row r="530" spans="1:26" s="70" customFormat="1" ht="14.25" customHeight="1">
      <c r="A530" s="418" t="s">
        <v>38</v>
      </c>
      <c r="B530" s="418" t="s">
        <v>199</v>
      </c>
      <c r="C530" s="418" t="s">
        <v>205</v>
      </c>
      <c r="D530" s="470" t="s">
        <v>1655</v>
      </c>
      <c r="E530" s="418" t="s">
        <v>1478</v>
      </c>
      <c r="F530" s="418" t="s">
        <v>1669</v>
      </c>
      <c r="G530" s="418" t="s">
        <v>1670</v>
      </c>
      <c r="H530" s="418"/>
      <c r="I530" s="418">
        <v>0</v>
      </c>
      <c r="J530" s="70" t="s">
        <v>44</v>
      </c>
      <c r="K530" s="70" t="s">
        <v>44</v>
      </c>
      <c r="L530" s="418" t="s">
        <v>760</v>
      </c>
      <c r="M530" s="70" t="s">
        <v>45</v>
      </c>
      <c r="N530" s="418">
        <v>24.251860000000001</v>
      </c>
      <c r="O530" s="418">
        <v>97.346940000000004</v>
      </c>
      <c r="P530" s="418" t="s">
        <v>761</v>
      </c>
      <c r="Q530" s="70" t="s">
        <v>780</v>
      </c>
      <c r="R530" s="421"/>
      <c r="S530" s="422"/>
      <c r="T530" s="104"/>
      <c r="U530" s="423" t="s">
        <v>999</v>
      </c>
      <c r="V530" s="418" t="s">
        <v>205</v>
      </c>
      <c r="W530" s="412" t="s">
        <v>2177</v>
      </c>
      <c r="X530" s="539"/>
      <c r="Y530" s="539"/>
      <c r="Z530" s="539"/>
    </row>
    <row r="531" spans="1:26" s="418" customFormat="1" ht="14.25" customHeight="1">
      <c r="A531" s="418" t="s">
        <v>38</v>
      </c>
      <c r="B531" s="418" t="s">
        <v>199</v>
      </c>
      <c r="C531" s="418" t="s">
        <v>207</v>
      </c>
      <c r="D531" s="470" t="s">
        <v>2896</v>
      </c>
      <c r="E531" s="418" t="s">
        <v>1475</v>
      </c>
      <c r="F531" s="418" t="s">
        <v>1669</v>
      </c>
      <c r="G531" s="418" t="s">
        <v>1670</v>
      </c>
      <c r="H531" s="418" t="s">
        <v>42</v>
      </c>
      <c r="I531" s="418" t="s">
        <v>135</v>
      </c>
      <c r="J531" s="418" t="s">
        <v>44</v>
      </c>
      <c r="K531" s="418" t="s">
        <v>44</v>
      </c>
      <c r="L531" s="418" t="s">
        <v>44</v>
      </c>
      <c r="M531" s="418" t="s">
        <v>45</v>
      </c>
      <c r="N531" s="418">
        <v>24.250689999999999</v>
      </c>
      <c r="O531" s="418">
        <v>97.344359999999995</v>
      </c>
      <c r="P531" s="418" t="s">
        <v>761</v>
      </c>
      <c r="Q531" s="418" t="s">
        <v>780</v>
      </c>
      <c r="R531" s="421">
        <v>427</v>
      </c>
      <c r="S531" s="421">
        <v>2006</v>
      </c>
      <c r="T531" s="441"/>
      <c r="U531" s="423"/>
      <c r="V531" s="418" t="s">
        <v>207</v>
      </c>
      <c r="X531" s="539"/>
      <c r="Y531" s="539"/>
      <c r="Z531" s="539"/>
    </row>
    <row r="532" spans="1:26" s="70" customFormat="1" ht="14.25" customHeight="1">
      <c r="A532" s="418" t="s">
        <v>38</v>
      </c>
      <c r="B532" s="418" t="s">
        <v>199</v>
      </c>
      <c r="C532" s="418" t="s">
        <v>1006</v>
      </c>
      <c r="D532" s="470" t="s">
        <v>1655</v>
      </c>
      <c r="E532" s="70" t="s">
        <v>1477</v>
      </c>
      <c r="F532" s="70" t="s">
        <v>1669</v>
      </c>
      <c r="G532" s="70" t="s">
        <v>1699</v>
      </c>
      <c r="H532" s="70" t="s">
        <v>42</v>
      </c>
      <c r="I532" s="418" t="s">
        <v>43</v>
      </c>
      <c r="J532" s="70" t="s">
        <v>44</v>
      </c>
      <c r="K532" s="70" t="s">
        <v>44</v>
      </c>
      <c r="L532" s="70" t="s">
        <v>760</v>
      </c>
      <c r="M532" s="70" t="s">
        <v>45</v>
      </c>
      <c r="N532" s="418">
        <v>24.25177</v>
      </c>
      <c r="O532" s="418">
        <v>97.346950000000007</v>
      </c>
      <c r="P532" s="70" t="s">
        <v>761</v>
      </c>
      <c r="R532" s="421"/>
      <c r="S532" s="422"/>
      <c r="T532" s="104"/>
      <c r="U532" s="100"/>
      <c r="V532" s="70" t="s">
        <v>1006</v>
      </c>
      <c r="W532" s="70" t="s">
        <v>2178</v>
      </c>
      <c r="X532" s="539"/>
      <c r="Y532" s="539"/>
      <c r="Z532" s="539"/>
    </row>
    <row r="533" spans="1:26" s="70" customFormat="1" ht="14.25" customHeight="1">
      <c r="A533" s="426" t="s">
        <v>38</v>
      </c>
      <c r="B533" s="425" t="s">
        <v>199</v>
      </c>
      <c r="C533" s="419" t="s">
        <v>1953</v>
      </c>
      <c r="D533" s="420"/>
      <c r="H533" s="418"/>
      <c r="I533" s="418"/>
      <c r="J533" s="70" t="s">
        <v>1449</v>
      </c>
      <c r="K533" s="70" t="s">
        <v>44</v>
      </c>
      <c r="L533" s="70" t="s">
        <v>44</v>
      </c>
      <c r="M533" s="70" t="s">
        <v>45</v>
      </c>
      <c r="N533" s="418"/>
      <c r="O533" s="418"/>
      <c r="P533" s="70" t="s">
        <v>761</v>
      </c>
      <c r="Q533" s="70" t="s">
        <v>1949</v>
      </c>
      <c r="R533" s="429"/>
      <c r="S533" s="422"/>
      <c r="T533" s="104">
        <v>43270</v>
      </c>
      <c r="U533" s="100"/>
      <c r="W533" s="418"/>
      <c r="X533" s="539"/>
      <c r="Y533" s="539"/>
      <c r="Z533" s="539"/>
    </row>
    <row r="534" spans="1:26" s="70" customFormat="1" ht="14.25" customHeight="1">
      <c r="A534" s="418" t="s">
        <v>38</v>
      </c>
      <c r="B534" s="418" t="s">
        <v>199</v>
      </c>
      <c r="C534" s="418" t="s">
        <v>1004</v>
      </c>
      <c r="D534" s="470" t="s">
        <v>2896</v>
      </c>
      <c r="E534" s="70" t="s">
        <v>1476</v>
      </c>
      <c r="I534" s="418" t="s">
        <v>2141</v>
      </c>
      <c r="J534" s="70" t="s">
        <v>44</v>
      </c>
      <c r="K534" s="70" t="s">
        <v>44</v>
      </c>
      <c r="L534" s="70" t="s">
        <v>772</v>
      </c>
      <c r="M534" s="70" t="s">
        <v>45</v>
      </c>
      <c r="N534" s="70">
        <v>24.251232000000002</v>
      </c>
      <c r="O534" s="70">
        <v>97.348405</v>
      </c>
      <c r="P534" s="70" t="s">
        <v>773</v>
      </c>
      <c r="Q534" s="70" t="s">
        <v>762</v>
      </c>
      <c r="R534" s="421">
        <v>223</v>
      </c>
      <c r="S534" s="421">
        <v>1067</v>
      </c>
      <c r="T534" s="104"/>
      <c r="U534" s="100" t="s">
        <v>996</v>
      </c>
      <c r="V534" s="70" t="s">
        <v>1005</v>
      </c>
      <c r="W534" s="418"/>
      <c r="X534" s="539"/>
      <c r="Y534" s="539"/>
      <c r="Z534" s="539"/>
    </row>
    <row r="535" spans="1:26" s="70" customFormat="1" ht="14.25" customHeight="1">
      <c r="A535" s="418" t="s">
        <v>38</v>
      </c>
      <c r="B535" s="418" t="s">
        <v>199</v>
      </c>
      <c r="C535" s="418" t="s">
        <v>1014</v>
      </c>
      <c r="D535" s="470" t="s">
        <v>2896</v>
      </c>
      <c r="E535" s="70" t="s">
        <v>1492</v>
      </c>
      <c r="F535" s="70" t="s">
        <v>1862</v>
      </c>
      <c r="G535" s="70" t="s">
        <v>1862</v>
      </c>
      <c r="I535" s="418" t="s">
        <v>2141</v>
      </c>
      <c r="J535" s="70" t="s">
        <v>44</v>
      </c>
      <c r="K535" s="70" t="s">
        <v>44</v>
      </c>
      <c r="L535" s="70" t="s">
        <v>772</v>
      </c>
      <c r="M535" s="70" t="s">
        <v>45</v>
      </c>
      <c r="N535" s="418">
        <v>24.404876999999999</v>
      </c>
      <c r="O535" s="418">
        <v>97.407787999999996</v>
      </c>
      <c r="P535" s="70" t="s">
        <v>773</v>
      </c>
      <c r="Q535" s="418" t="s">
        <v>762</v>
      </c>
      <c r="R535" s="421">
        <v>26</v>
      </c>
      <c r="S535" s="421">
        <v>137</v>
      </c>
      <c r="T535" s="441"/>
      <c r="U535" s="100" t="s">
        <v>1015</v>
      </c>
      <c r="V535" s="70" t="s">
        <v>1014</v>
      </c>
      <c r="W535" s="418"/>
      <c r="X535" s="539"/>
      <c r="Y535" s="539"/>
      <c r="Z535" s="539"/>
    </row>
    <row r="536" spans="1:26" s="70" customFormat="1" ht="14.25" customHeight="1">
      <c r="A536" s="418" t="s">
        <v>38</v>
      </c>
      <c r="B536" s="418" t="s">
        <v>199</v>
      </c>
      <c r="C536" s="418" t="s">
        <v>289</v>
      </c>
      <c r="D536" s="470" t="s">
        <v>2896</v>
      </c>
      <c r="E536" s="70" t="s">
        <v>1491</v>
      </c>
      <c r="F536" s="70" t="s">
        <v>1789</v>
      </c>
      <c r="G536" s="70" t="s">
        <v>1790</v>
      </c>
      <c r="H536" s="418" t="s">
        <v>42</v>
      </c>
      <c r="I536" s="418" t="s">
        <v>43</v>
      </c>
      <c r="J536" s="70" t="s">
        <v>44</v>
      </c>
      <c r="K536" s="418" t="s">
        <v>44</v>
      </c>
      <c r="L536" s="418" t="s">
        <v>44</v>
      </c>
      <c r="M536" s="70" t="s">
        <v>778</v>
      </c>
      <c r="N536" s="418">
        <v>24.378167000000001</v>
      </c>
      <c r="O536" s="418">
        <v>97.669366999999994</v>
      </c>
      <c r="P536" s="418" t="s">
        <v>761</v>
      </c>
      <c r="Q536" s="70" t="s">
        <v>762</v>
      </c>
      <c r="R536" s="421">
        <v>354</v>
      </c>
      <c r="S536" s="421">
        <v>1546</v>
      </c>
      <c r="T536" s="104"/>
      <c r="U536" s="100"/>
      <c r="V536" s="70" t="s">
        <v>289</v>
      </c>
      <c r="W536" s="418"/>
      <c r="X536" s="539"/>
      <c r="Y536" s="539"/>
      <c r="Z536" s="539"/>
    </row>
    <row r="537" spans="1:26" s="70" customFormat="1" ht="14.25" customHeight="1">
      <c r="A537" s="418" t="s">
        <v>38</v>
      </c>
      <c r="B537" s="418" t="s">
        <v>199</v>
      </c>
      <c r="C537" s="418" t="s">
        <v>1007</v>
      </c>
      <c r="D537" s="470" t="s">
        <v>1655</v>
      </c>
      <c r="E537" s="70" t="s">
        <v>1480</v>
      </c>
      <c r="F537" s="70" t="s">
        <v>1669</v>
      </c>
      <c r="G537" s="70" t="s">
        <v>1670</v>
      </c>
      <c r="H537" s="70" t="s">
        <v>42</v>
      </c>
      <c r="I537" s="70" t="s">
        <v>236</v>
      </c>
      <c r="J537" s="70" t="s">
        <v>44</v>
      </c>
      <c r="K537" s="418" t="s">
        <v>44</v>
      </c>
      <c r="L537" s="418" t="s">
        <v>760</v>
      </c>
      <c r="M537" s="70" t="s">
        <v>45</v>
      </c>
      <c r="N537" s="70">
        <v>24.253769999999999</v>
      </c>
      <c r="O537" s="70">
        <v>97.347740000000002</v>
      </c>
      <c r="P537" s="418" t="s">
        <v>761</v>
      </c>
      <c r="Q537" s="418"/>
      <c r="R537" s="421"/>
      <c r="S537" s="99"/>
      <c r="T537" s="441"/>
      <c r="U537" s="100"/>
      <c r="V537" s="70" t="s">
        <v>1007</v>
      </c>
      <c r="W537" s="412" t="s">
        <v>2179</v>
      </c>
      <c r="X537" s="539"/>
      <c r="Y537" s="539"/>
      <c r="Z537" s="539"/>
    </row>
    <row r="538" spans="1:26" s="70" customFormat="1" ht="14.25" customHeight="1">
      <c r="A538" s="418" t="s">
        <v>38</v>
      </c>
      <c r="B538" s="418" t="s">
        <v>199</v>
      </c>
      <c r="C538" s="418" t="s">
        <v>278</v>
      </c>
      <c r="D538" s="470" t="s">
        <v>2896</v>
      </c>
      <c r="E538" s="70" t="s">
        <v>1467</v>
      </c>
      <c r="F538" s="70" t="s">
        <v>1774</v>
      </c>
      <c r="G538" s="70" t="s">
        <v>1775</v>
      </c>
      <c r="H538" s="70" t="s">
        <v>42</v>
      </c>
      <c r="I538" s="418" t="s">
        <v>135</v>
      </c>
      <c r="J538" s="70" t="s">
        <v>44</v>
      </c>
      <c r="K538" s="418" t="s">
        <v>44</v>
      </c>
      <c r="L538" s="418" t="s">
        <v>44</v>
      </c>
      <c r="M538" s="70" t="s">
        <v>45</v>
      </c>
      <c r="N538" s="70">
        <v>24.205417000000001</v>
      </c>
      <c r="O538" s="70">
        <v>97.724483000000006</v>
      </c>
      <c r="P538" s="70" t="s">
        <v>761</v>
      </c>
      <c r="Q538" s="70" t="s">
        <v>780</v>
      </c>
      <c r="R538" s="421">
        <v>49</v>
      </c>
      <c r="S538" s="421">
        <v>300</v>
      </c>
      <c r="T538" s="104"/>
      <c r="U538" s="100"/>
      <c r="V538" s="70" t="s">
        <v>278</v>
      </c>
      <c r="W538" s="418"/>
      <c r="X538" s="539"/>
      <c r="Y538" s="539"/>
      <c r="Z538" s="539"/>
    </row>
    <row r="539" spans="1:26" s="70" customFormat="1" ht="14.25" customHeight="1">
      <c r="A539" s="418" t="s">
        <v>38</v>
      </c>
      <c r="B539" s="418" t="s">
        <v>199</v>
      </c>
      <c r="C539" s="418" t="s">
        <v>290</v>
      </c>
      <c r="D539" s="470" t="s">
        <v>2896</v>
      </c>
      <c r="E539" s="70" t="s">
        <v>1487</v>
      </c>
      <c r="F539" s="70" t="s">
        <v>1786</v>
      </c>
      <c r="G539" s="70" t="s">
        <v>1787</v>
      </c>
      <c r="H539" s="418" t="s">
        <v>42</v>
      </c>
      <c r="I539" s="418" t="s">
        <v>43</v>
      </c>
      <c r="J539" s="70" t="s">
        <v>44</v>
      </c>
      <c r="K539" s="418" t="s">
        <v>44</v>
      </c>
      <c r="L539" s="418" t="s">
        <v>44</v>
      </c>
      <c r="M539" s="70" t="s">
        <v>778</v>
      </c>
      <c r="N539" s="418">
        <v>24.2744</v>
      </c>
      <c r="O539" s="418">
        <v>97.752667000000002</v>
      </c>
      <c r="P539" s="418" t="s">
        <v>761</v>
      </c>
      <c r="Q539" s="70" t="s">
        <v>762</v>
      </c>
      <c r="R539" s="421">
        <v>632</v>
      </c>
      <c r="S539" s="421">
        <v>3550</v>
      </c>
      <c r="T539" s="104"/>
      <c r="U539" s="100"/>
      <c r="V539" s="70" t="s">
        <v>290</v>
      </c>
      <c r="W539" s="418"/>
      <c r="X539" s="539"/>
      <c r="Y539" s="539"/>
      <c r="Z539" s="539"/>
    </row>
    <row r="540" spans="1:26" s="70" customFormat="1" ht="14.25" customHeight="1">
      <c r="A540" s="418" t="s">
        <v>38</v>
      </c>
      <c r="B540" s="418" t="s">
        <v>199</v>
      </c>
      <c r="C540" s="418" t="s">
        <v>1128</v>
      </c>
      <c r="D540" s="470" t="s">
        <v>1654</v>
      </c>
      <c r="H540" s="418"/>
      <c r="J540" s="70" t="s">
        <v>44</v>
      </c>
      <c r="K540" s="418" t="s">
        <v>44</v>
      </c>
      <c r="L540" s="418" t="s">
        <v>1087</v>
      </c>
      <c r="M540" s="70" t="s">
        <v>778</v>
      </c>
      <c r="N540" s="418"/>
      <c r="O540" s="418"/>
      <c r="P540" s="70" t="s">
        <v>761</v>
      </c>
      <c r="R540" s="421"/>
      <c r="S540" s="422"/>
      <c r="T540" s="104"/>
      <c r="U540" s="100"/>
      <c r="V540" s="70" t="s">
        <v>1128</v>
      </c>
      <c r="X540" s="539"/>
      <c r="Y540" s="539"/>
      <c r="Z540" s="539"/>
    </row>
    <row r="541" spans="1:26" s="70" customFormat="1" ht="14.25" customHeight="1">
      <c r="A541" s="418" t="s">
        <v>38</v>
      </c>
      <c r="B541" s="418" t="s">
        <v>199</v>
      </c>
      <c r="C541" s="418" t="s">
        <v>1129</v>
      </c>
      <c r="D541" s="470" t="s">
        <v>1654</v>
      </c>
      <c r="J541" s="70" t="s">
        <v>44</v>
      </c>
      <c r="K541" s="418" t="s">
        <v>44</v>
      </c>
      <c r="L541" s="418" t="s">
        <v>1087</v>
      </c>
      <c r="M541" s="70" t="s">
        <v>778</v>
      </c>
      <c r="P541" s="418" t="s">
        <v>761</v>
      </c>
      <c r="R541" s="421"/>
      <c r="S541" s="422"/>
      <c r="T541" s="104"/>
      <c r="U541" s="423"/>
      <c r="V541" s="70" t="s">
        <v>1129</v>
      </c>
      <c r="W541" s="418"/>
      <c r="X541" s="539"/>
      <c r="Y541" s="539"/>
      <c r="Z541" s="539"/>
    </row>
    <row r="542" spans="1:26" s="70" customFormat="1" ht="14.25" customHeight="1">
      <c r="A542" s="418" t="s">
        <v>38</v>
      </c>
      <c r="B542" s="418" t="s">
        <v>199</v>
      </c>
      <c r="C542" s="418" t="s">
        <v>1130</v>
      </c>
      <c r="D542" s="470" t="s">
        <v>1654</v>
      </c>
      <c r="J542" s="70" t="s">
        <v>1099</v>
      </c>
      <c r="K542" s="418" t="s">
        <v>44</v>
      </c>
      <c r="L542" s="418" t="s">
        <v>760</v>
      </c>
      <c r="M542" s="70" t="s">
        <v>778</v>
      </c>
      <c r="N542" s="418"/>
      <c r="O542" s="418"/>
      <c r="P542" s="70" t="s">
        <v>761</v>
      </c>
      <c r="R542" s="421"/>
      <c r="S542" s="422"/>
      <c r="T542" s="104"/>
      <c r="U542" s="100"/>
      <c r="V542" s="70" t="s">
        <v>1130</v>
      </c>
      <c r="W542" s="418"/>
      <c r="X542" s="539"/>
      <c r="Y542" s="539"/>
      <c r="Z542" s="539"/>
    </row>
    <row r="543" spans="1:26" s="70" customFormat="1" ht="14.25" customHeight="1">
      <c r="A543" s="419" t="s">
        <v>38</v>
      </c>
      <c r="B543" s="419" t="s">
        <v>199</v>
      </c>
      <c r="C543" s="419" t="s">
        <v>1131</v>
      </c>
      <c r="D543" s="472" t="s">
        <v>1654</v>
      </c>
      <c r="E543" s="419"/>
      <c r="F543" s="419"/>
      <c r="G543" s="419"/>
      <c r="H543" s="419"/>
      <c r="I543" s="419"/>
      <c r="J543" s="419" t="s">
        <v>1099</v>
      </c>
      <c r="K543" s="419" t="s">
        <v>44</v>
      </c>
      <c r="L543" s="419" t="s">
        <v>760</v>
      </c>
      <c r="M543" s="419" t="s">
        <v>778</v>
      </c>
      <c r="N543" s="419"/>
      <c r="O543" s="419"/>
      <c r="P543" s="70" t="s">
        <v>761</v>
      </c>
      <c r="Q543" s="419"/>
      <c r="R543" s="425"/>
      <c r="S543" s="426"/>
      <c r="T543" s="442"/>
      <c r="U543" s="427"/>
      <c r="V543" s="419" t="s">
        <v>1131</v>
      </c>
      <c r="W543" s="418"/>
      <c r="X543" s="539"/>
      <c r="Y543" s="539"/>
      <c r="Z543" s="539"/>
    </row>
    <row r="544" spans="1:26" s="70" customFormat="1" ht="14.25" customHeight="1">
      <c r="A544" s="418" t="s">
        <v>38</v>
      </c>
      <c r="B544" s="418" t="s">
        <v>199</v>
      </c>
      <c r="C544" s="418" t="s">
        <v>1132</v>
      </c>
      <c r="D544" s="470" t="s">
        <v>1654</v>
      </c>
      <c r="I544" s="418"/>
      <c r="J544" s="70" t="s">
        <v>798</v>
      </c>
      <c r="K544" s="418" t="s">
        <v>798</v>
      </c>
      <c r="L544" s="418" t="s">
        <v>798</v>
      </c>
      <c r="M544" s="70" t="s">
        <v>778</v>
      </c>
      <c r="P544" s="418" t="s">
        <v>799</v>
      </c>
      <c r="R544" s="421"/>
      <c r="S544" s="422"/>
      <c r="T544" s="104"/>
      <c r="U544" s="100"/>
      <c r="V544" s="70" t="s">
        <v>1132</v>
      </c>
      <c r="W544" s="418"/>
      <c r="X544" s="539"/>
      <c r="Y544" s="539"/>
      <c r="Z544" s="539"/>
    </row>
    <row r="545" spans="1:26" s="70" customFormat="1" ht="14.25" customHeight="1">
      <c r="A545" s="418" t="s">
        <v>38</v>
      </c>
      <c r="B545" s="418" t="s">
        <v>199</v>
      </c>
      <c r="C545" s="418" t="s">
        <v>1133</v>
      </c>
      <c r="D545" s="470" t="s">
        <v>1654</v>
      </c>
      <c r="H545" s="418"/>
      <c r="J545" s="70" t="s">
        <v>1099</v>
      </c>
      <c r="K545" s="418" t="s">
        <v>44</v>
      </c>
      <c r="L545" s="418" t="s">
        <v>760</v>
      </c>
      <c r="M545" s="70" t="s">
        <v>778</v>
      </c>
      <c r="N545" s="418"/>
      <c r="O545" s="418"/>
      <c r="P545" s="418" t="s">
        <v>761</v>
      </c>
      <c r="R545" s="421"/>
      <c r="S545" s="422"/>
      <c r="T545" s="104"/>
      <c r="U545" s="100"/>
      <c r="V545" s="418" t="s">
        <v>1133</v>
      </c>
      <c r="X545" s="539"/>
      <c r="Y545" s="539"/>
      <c r="Z545" s="539"/>
    </row>
    <row r="546" spans="1:26" s="70" customFormat="1" ht="14.25" customHeight="1">
      <c r="A546" s="418" t="s">
        <v>38</v>
      </c>
      <c r="B546" s="418" t="s">
        <v>199</v>
      </c>
      <c r="C546" s="418" t="s">
        <v>1023</v>
      </c>
      <c r="D546" s="470" t="s">
        <v>1655</v>
      </c>
      <c r="E546" s="70" t="s">
        <v>1498</v>
      </c>
      <c r="F546" s="70" t="s">
        <v>1705</v>
      </c>
      <c r="G546" s="70" t="s">
        <v>1706</v>
      </c>
      <c r="I546" s="70">
        <v>0</v>
      </c>
      <c r="J546" s="70" t="s">
        <v>44</v>
      </c>
      <c r="K546" s="418" t="s">
        <v>44</v>
      </c>
      <c r="L546" s="418" t="s">
        <v>760</v>
      </c>
      <c r="M546" s="70" t="s">
        <v>45</v>
      </c>
      <c r="N546" s="70">
        <v>24.630859999999998</v>
      </c>
      <c r="O546" s="70">
        <v>97.429860000000005</v>
      </c>
      <c r="P546" s="70" t="s">
        <v>773</v>
      </c>
      <c r="Q546" s="70" t="s">
        <v>762</v>
      </c>
      <c r="R546" s="421"/>
      <c r="S546" s="99"/>
      <c r="T546" s="104">
        <v>42983</v>
      </c>
      <c r="U546" s="100" t="s">
        <v>1024</v>
      </c>
      <c r="V546" s="418" t="s">
        <v>1023</v>
      </c>
      <c r="W546" s="412" t="s">
        <v>2180</v>
      </c>
      <c r="X546" s="539"/>
      <c r="Y546" s="539"/>
      <c r="Z546" s="539"/>
    </row>
    <row r="547" spans="1:26" s="70" customFormat="1" ht="14.25" customHeight="1">
      <c r="A547" s="418" t="s">
        <v>38</v>
      </c>
      <c r="B547" s="419" t="s">
        <v>199</v>
      </c>
      <c r="C547" s="419" t="s">
        <v>280</v>
      </c>
      <c r="D547" s="470" t="s">
        <v>2896</v>
      </c>
      <c r="E547" s="70" t="s">
        <v>1469</v>
      </c>
      <c r="F547" s="70" t="s">
        <v>1774</v>
      </c>
      <c r="G547" s="70" t="s">
        <v>1777</v>
      </c>
      <c r="H547" s="418" t="s">
        <v>42</v>
      </c>
      <c r="I547" s="418" t="s">
        <v>135</v>
      </c>
      <c r="J547" s="70" t="s">
        <v>44</v>
      </c>
      <c r="K547" s="418" t="s">
        <v>44</v>
      </c>
      <c r="L547" s="418" t="s">
        <v>44</v>
      </c>
      <c r="M547" s="70" t="s">
        <v>45</v>
      </c>
      <c r="N547" s="418">
        <v>24.207332999999998</v>
      </c>
      <c r="O547" s="418">
        <v>97.710864000000001</v>
      </c>
      <c r="P547" s="418" t="s">
        <v>761</v>
      </c>
      <c r="Q547" s="70" t="s">
        <v>780</v>
      </c>
      <c r="R547" s="421">
        <v>44</v>
      </c>
      <c r="S547" s="421">
        <v>276</v>
      </c>
      <c r="T547" s="104"/>
      <c r="U547" s="423"/>
      <c r="V547" s="418" t="s">
        <v>280</v>
      </c>
      <c r="W547" s="418"/>
      <c r="X547" s="539"/>
      <c r="Y547" s="539"/>
      <c r="Z547" s="539"/>
    </row>
    <row r="548" spans="1:26" s="70" customFormat="1" ht="14.25" customHeight="1">
      <c r="A548" s="418" t="s">
        <v>38</v>
      </c>
      <c r="B548" s="419" t="s">
        <v>199</v>
      </c>
      <c r="C548" s="419" t="s">
        <v>1020</v>
      </c>
      <c r="D548" s="470" t="s">
        <v>1655</v>
      </c>
      <c r="E548" s="70" t="s">
        <v>1496</v>
      </c>
      <c r="F548" s="70" t="s">
        <v>1702</v>
      </c>
      <c r="G548" s="70" t="s">
        <v>1702</v>
      </c>
      <c r="I548" s="418">
        <v>0</v>
      </c>
      <c r="J548" s="70" t="s">
        <v>44</v>
      </c>
      <c r="K548" s="70" t="s">
        <v>44</v>
      </c>
      <c r="L548" s="418" t="s">
        <v>760</v>
      </c>
      <c r="M548" s="70" t="s">
        <v>45</v>
      </c>
      <c r="N548" s="418">
        <v>24.492493</v>
      </c>
      <c r="O548" s="418">
        <v>97.416826999999998</v>
      </c>
      <c r="P548" s="418" t="s">
        <v>773</v>
      </c>
      <c r="Q548" s="70" t="s">
        <v>762</v>
      </c>
      <c r="R548" s="421"/>
      <c r="S548" s="422"/>
      <c r="T548" s="104">
        <v>42983</v>
      </c>
      <c r="U548" s="100" t="s">
        <v>1017</v>
      </c>
      <c r="V548" s="418" t="s">
        <v>1020</v>
      </c>
      <c r="W548" s="412" t="s">
        <v>2181</v>
      </c>
      <c r="X548" s="539"/>
      <c r="Y548" s="539"/>
      <c r="Z548" s="539"/>
    </row>
    <row r="549" spans="1:26" s="70" customFormat="1" ht="14.25" customHeight="1">
      <c r="A549" s="418" t="s">
        <v>38</v>
      </c>
      <c r="B549" s="418" t="s">
        <v>153</v>
      </c>
      <c r="C549" s="418" t="s">
        <v>1088</v>
      </c>
      <c r="D549" s="470" t="s">
        <v>1655</v>
      </c>
      <c r="E549" s="418" t="s">
        <v>1977</v>
      </c>
      <c r="F549" s="70" t="s">
        <v>1715</v>
      </c>
      <c r="G549" s="70" t="s">
        <v>1730</v>
      </c>
      <c r="H549" s="418"/>
      <c r="I549" s="418" t="s">
        <v>2141</v>
      </c>
      <c r="J549" s="418" t="s">
        <v>44</v>
      </c>
      <c r="K549" s="418" t="s">
        <v>44</v>
      </c>
      <c r="L549" s="418" t="s">
        <v>760</v>
      </c>
      <c r="M549" s="418" t="s">
        <v>45</v>
      </c>
      <c r="N549" s="418"/>
      <c r="O549" s="418"/>
      <c r="P549" s="418" t="s">
        <v>761</v>
      </c>
      <c r="Q549" s="418" t="s">
        <v>926</v>
      </c>
      <c r="R549" s="421"/>
      <c r="S549" s="422"/>
      <c r="T549" s="441"/>
      <c r="U549" s="423" t="s">
        <v>1089</v>
      </c>
      <c r="V549" s="418"/>
      <c r="W549" s="70" t="s">
        <v>2182</v>
      </c>
      <c r="X549" s="539"/>
      <c r="Y549" s="539"/>
      <c r="Z549" s="539"/>
    </row>
    <row r="550" spans="1:26" s="70" customFormat="1" ht="14.25" customHeight="1">
      <c r="A550" s="422" t="s">
        <v>38</v>
      </c>
      <c r="B550" s="425" t="s">
        <v>153</v>
      </c>
      <c r="C550" s="426" t="s">
        <v>2036</v>
      </c>
      <c r="D550" s="420"/>
      <c r="E550" s="418"/>
      <c r="F550" s="418"/>
      <c r="G550" s="418"/>
      <c r="H550" s="418"/>
      <c r="I550" s="418"/>
      <c r="J550" s="418" t="s">
        <v>1449</v>
      </c>
      <c r="K550" s="419" t="s">
        <v>44</v>
      </c>
      <c r="L550" s="419" t="s">
        <v>776</v>
      </c>
      <c r="M550" s="418" t="s">
        <v>778</v>
      </c>
      <c r="N550" s="418"/>
      <c r="O550" s="418"/>
      <c r="P550" s="418" t="s">
        <v>761</v>
      </c>
      <c r="Q550" s="418"/>
      <c r="R550" s="429"/>
      <c r="S550" s="422"/>
      <c r="T550" s="441">
        <v>43298</v>
      </c>
      <c r="U550" s="423"/>
      <c r="V550" s="418"/>
      <c r="X550" s="539"/>
      <c r="Y550" s="539"/>
      <c r="Z550" s="539"/>
    </row>
    <row r="551" spans="1:26" s="70" customFormat="1" ht="14.25" customHeight="1">
      <c r="A551" s="418" t="s">
        <v>38</v>
      </c>
      <c r="B551" s="418" t="s">
        <v>153</v>
      </c>
      <c r="C551" s="418" t="s">
        <v>154</v>
      </c>
      <c r="D551" s="470" t="s">
        <v>2896</v>
      </c>
      <c r="E551" s="70" t="s">
        <v>1542</v>
      </c>
      <c r="F551" s="70" t="s">
        <v>1715</v>
      </c>
      <c r="G551" s="70" t="s">
        <v>1817</v>
      </c>
      <c r="H551" s="70" t="s">
        <v>42</v>
      </c>
      <c r="I551" s="418" t="s">
        <v>135</v>
      </c>
      <c r="J551" s="70" t="s">
        <v>44</v>
      </c>
      <c r="K551" s="418" t="s">
        <v>44</v>
      </c>
      <c r="L551" s="418" t="s">
        <v>44</v>
      </c>
      <c r="M551" s="70" t="s">
        <v>45</v>
      </c>
      <c r="N551" s="418">
        <v>25.395974089999999</v>
      </c>
      <c r="O551" s="418">
        <v>97.382997579999994</v>
      </c>
      <c r="P551" s="418" t="s">
        <v>761</v>
      </c>
      <c r="Q551" s="70" t="s">
        <v>780</v>
      </c>
      <c r="R551" s="421">
        <v>44</v>
      </c>
      <c r="S551" s="421">
        <v>197</v>
      </c>
      <c r="T551" s="104">
        <v>42983</v>
      </c>
      <c r="U551" s="423" t="s">
        <v>1051</v>
      </c>
      <c r="V551" s="418" t="s">
        <v>1052</v>
      </c>
      <c r="W551" s="418"/>
      <c r="X551" s="539"/>
      <c r="Y551" s="539"/>
      <c r="Z551" s="539"/>
    </row>
    <row r="552" spans="1:26" s="70" customFormat="1" ht="14.25" customHeight="1">
      <c r="A552" s="418" t="s">
        <v>38</v>
      </c>
      <c r="B552" s="418" t="s">
        <v>153</v>
      </c>
      <c r="C552" s="418" t="s">
        <v>1054</v>
      </c>
      <c r="D552" s="470" t="s">
        <v>1654</v>
      </c>
      <c r="E552" s="418" t="s">
        <v>1544</v>
      </c>
      <c r="H552" s="418"/>
      <c r="I552" s="418"/>
      <c r="J552" s="418" t="s">
        <v>44</v>
      </c>
      <c r="K552" s="418" t="s">
        <v>44</v>
      </c>
      <c r="L552" s="418" t="s">
        <v>760</v>
      </c>
      <c r="M552" s="418" t="s">
        <v>45</v>
      </c>
      <c r="N552" s="418">
        <v>25.400270190000001</v>
      </c>
      <c r="O552" s="418">
        <v>97.384729629999995</v>
      </c>
      <c r="P552" s="70" t="s">
        <v>761</v>
      </c>
      <c r="Q552" s="418" t="s">
        <v>780</v>
      </c>
      <c r="R552" s="421"/>
      <c r="S552" s="422"/>
      <c r="T552" s="441"/>
      <c r="U552" s="423" t="s">
        <v>1051</v>
      </c>
      <c r="V552" s="70" t="s">
        <v>1054</v>
      </c>
      <c r="W552" s="418"/>
      <c r="X552" s="539"/>
      <c r="Y552" s="539"/>
      <c r="Z552" s="539"/>
    </row>
    <row r="553" spans="1:26" s="70" customFormat="1" ht="14.25" customHeight="1">
      <c r="A553" s="418" t="s">
        <v>38</v>
      </c>
      <c r="B553" s="418" t="s">
        <v>153</v>
      </c>
      <c r="C553" s="418" t="s">
        <v>1052</v>
      </c>
      <c r="D553" s="470" t="s">
        <v>1654</v>
      </c>
      <c r="E553" s="418"/>
      <c r="F553" s="418"/>
      <c r="G553" s="418"/>
      <c r="H553" s="418"/>
      <c r="I553" s="418"/>
      <c r="J553" s="418" t="s">
        <v>44</v>
      </c>
      <c r="K553" s="418" t="s">
        <v>44</v>
      </c>
      <c r="L553" s="418" t="s">
        <v>760</v>
      </c>
      <c r="M553" s="418" t="s">
        <v>45</v>
      </c>
      <c r="N553" s="418">
        <v>25.395974089999999</v>
      </c>
      <c r="O553" s="418">
        <v>97.382997579999994</v>
      </c>
      <c r="P553" s="418" t="s">
        <v>761</v>
      </c>
      <c r="Q553" s="418" t="s">
        <v>780</v>
      </c>
      <c r="R553" s="421"/>
      <c r="S553" s="422"/>
      <c r="T553" s="441"/>
      <c r="U553" s="423"/>
      <c r="V553" s="418" t="s">
        <v>1052</v>
      </c>
      <c r="X553" s="539"/>
      <c r="Y553" s="539"/>
      <c r="Z553" s="539"/>
    </row>
    <row r="554" spans="1:26" s="70" customFormat="1" ht="14.25" customHeight="1">
      <c r="A554" s="418" t="s">
        <v>38</v>
      </c>
      <c r="B554" s="418" t="s">
        <v>153</v>
      </c>
      <c r="C554" s="418" t="s">
        <v>1053</v>
      </c>
      <c r="D554" s="470" t="s">
        <v>1654</v>
      </c>
      <c r="E554" s="418" t="s">
        <v>1543</v>
      </c>
      <c r="F554" s="418"/>
      <c r="G554" s="418"/>
      <c r="H554" s="418"/>
      <c r="I554" s="418"/>
      <c r="J554" s="418" t="s">
        <v>44</v>
      </c>
      <c r="K554" s="418" t="s">
        <v>44</v>
      </c>
      <c r="L554" s="418" t="s">
        <v>760</v>
      </c>
      <c r="M554" s="418" t="s">
        <v>45</v>
      </c>
      <c r="N554" s="418">
        <v>25.396492500000001</v>
      </c>
      <c r="O554" s="418">
        <v>97.381325000000004</v>
      </c>
      <c r="P554" s="418" t="s">
        <v>761</v>
      </c>
      <c r="Q554" s="418" t="s">
        <v>780</v>
      </c>
      <c r="R554" s="421"/>
      <c r="S554" s="422"/>
      <c r="T554" s="441"/>
      <c r="U554" s="423" t="s">
        <v>1051</v>
      </c>
      <c r="V554" s="418" t="s">
        <v>1053</v>
      </c>
      <c r="W554" s="418"/>
      <c r="X554" s="539"/>
      <c r="Y554" s="539"/>
      <c r="Z554" s="539"/>
    </row>
    <row r="555" spans="1:26" s="70" customFormat="1" ht="14.25" customHeight="1">
      <c r="A555" s="418" t="s">
        <v>38</v>
      </c>
      <c r="B555" s="418" t="s">
        <v>153</v>
      </c>
      <c r="C555" s="418" t="s">
        <v>155</v>
      </c>
      <c r="D555" s="470" t="s">
        <v>2896</v>
      </c>
      <c r="E555" s="70" t="s">
        <v>1546</v>
      </c>
      <c r="F555" s="70" t="s">
        <v>1715</v>
      </c>
      <c r="G555" s="70" t="s">
        <v>1818</v>
      </c>
      <c r="H555" s="70" t="s">
        <v>42</v>
      </c>
      <c r="I555" s="418" t="s">
        <v>135</v>
      </c>
      <c r="J555" s="70" t="s">
        <v>44</v>
      </c>
      <c r="K555" s="418" t="s">
        <v>44</v>
      </c>
      <c r="L555" s="418" t="s">
        <v>44</v>
      </c>
      <c r="M555" s="70" t="s">
        <v>45</v>
      </c>
      <c r="N555" s="418">
        <v>25.403476999999999</v>
      </c>
      <c r="O555" s="418">
        <v>97.373361000000003</v>
      </c>
      <c r="P555" s="70" t="s">
        <v>761</v>
      </c>
      <c r="Q555" s="70" t="s">
        <v>780</v>
      </c>
      <c r="R555" s="421">
        <v>199</v>
      </c>
      <c r="S555" s="421">
        <v>1131</v>
      </c>
      <c r="T555" s="104"/>
      <c r="U555" s="423"/>
      <c r="V555" s="70" t="s">
        <v>155</v>
      </c>
      <c r="W555" s="418"/>
      <c r="X555" s="539"/>
      <c r="Y555" s="539"/>
      <c r="Z555" s="539"/>
    </row>
    <row r="556" spans="1:26" s="70" customFormat="1" ht="14.25" customHeight="1">
      <c r="A556" s="418" t="s">
        <v>38</v>
      </c>
      <c r="B556" s="418" t="s">
        <v>153</v>
      </c>
      <c r="C556" s="418" t="s">
        <v>227</v>
      </c>
      <c r="D556" s="470" t="s">
        <v>2896</v>
      </c>
      <c r="E556" s="70" t="s">
        <v>1545</v>
      </c>
      <c r="F556" s="70" t="s">
        <v>1715</v>
      </c>
      <c r="G556" s="70" t="s">
        <v>1818</v>
      </c>
      <c r="H556" s="70" t="s">
        <v>42</v>
      </c>
      <c r="I556" s="70" t="s">
        <v>1314</v>
      </c>
      <c r="J556" s="70" t="s">
        <v>44</v>
      </c>
      <c r="K556" s="70" t="s">
        <v>44</v>
      </c>
      <c r="L556" s="418" t="s">
        <v>44</v>
      </c>
      <c r="M556" s="70" t="s">
        <v>45</v>
      </c>
      <c r="N556" s="418">
        <v>25.401061110000001</v>
      </c>
      <c r="O556" s="418">
        <v>97.379594999999995</v>
      </c>
      <c r="P556" s="70" t="s">
        <v>761</v>
      </c>
      <c r="Q556" s="70" t="s">
        <v>780</v>
      </c>
      <c r="R556" s="421">
        <v>100</v>
      </c>
      <c r="S556" s="421">
        <v>485</v>
      </c>
      <c r="T556" s="104"/>
      <c r="U556" s="423"/>
      <c r="V556" s="70" t="s">
        <v>227</v>
      </c>
      <c r="W556" s="418"/>
      <c r="X556" s="539"/>
      <c r="Y556" s="539"/>
      <c r="Z556" s="539"/>
    </row>
    <row r="557" spans="1:26" s="70" customFormat="1" ht="14.25" customHeight="1">
      <c r="A557" s="426" t="s">
        <v>38</v>
      </c>
      <c r="B557" s="425" t="s">
        <v>153</v>
      </c>
      <c r="C557" s="419" t="s">
        <v>2126</v>
      </c>
      <c r="D557" s="470" t="s">
        <v>2896</v>
      </c>
      <c r="E557" s="70" t="s">
        <v>1974</v>
      </c>
      <c r="H557" s="418"/>
      <c r="I557" s="70" t="s">
        <v>135</v>
      </c>
      <c r="J557" s="70" t="s">
        <v>44</v>
      </c>
      <c r="K557" s="70" t="s">
        <v>44</v>
      </c>
      <c r="L557" s="418" t="s">
        <v>44</v>
      </c>
      <c r="M557" s="70" t="s">
        <v>45</v>
      </c>
      <c r="N557" s="418"/>
      <c r="O557" s="418"/>
      <c r="P557" s="419" t="s">
        <v>761</v>
      </c>
      <c r="Q557" s="70" t="s">
        <v>1949</v>
      </c>
      <c r="R557" s="421">
        <v>140</v>
      </c>
      <c r="S557" s="421">
        <v>620</v>
      </c>
      <c r="T557" s="104">
        <v>43276</v>
      </c>
      <c r="U557" s="100" t="s">
        <v>1999</v>
      </c>
      <c r="W557" s="412" t="s">
        <v>2279</v>
      </c>
      <c r="X557" s="539"/>
      <c r="Y557" s="539"/>
      <c r="Z557" s="539"/>
    </row>
    <row r="558" spans="1:26" s="70" customFormat="1" ht="14.25" customHeight="1">
      <c r="A558" s="426" t="s">
        <v>38</v>
      </c>
      <c r="B558" s="425" t="s">
        <v>153</v>
      </c>
      <c r="C558" s="419" t="s">
        <v>1956</v>
      </c>
      <c r="D558" s="420"/>
      <c r="E558" s="418"/>
      <c r="F558" s="418"/>
      <c r="G558" s="418"/>
      <c r="H558" s="418"/>
      <c r="I558" s="418"/>
      <c r="J558" s="418" t="s">
        <v>1449</v>
      </c>
      <c r="K558" s="418" t="s">
        <v>44</v>
      </c>
      <c r="L558" s="418" t="s">
        <v>44</v>
      </c>
      <c r="M558" s="418" t="s">
        <v>45</v>
      </c>
      <c r="N558" s="418"/>
      <c r="O558" s="418"/>
      <c r="P558" s="418" t="s">
        <v>761</v>
      </c>
      <c r="Q558" s="418" t="s">
        <v>1949</v>
      </c>
      <c r="R558" s="429"/>
      <c r="S558" s="422"/>
      <c r="T558" s="441">
        <v>43270</v>
      </c>
      <c r="U558" s="423"/>
      <c r="V558" s="418"/>
      <c r="W558" s="418"/>
      <c r="X558" s="539"/>
      <c r="Y558" s="539"/>
      <c r="Z558" s="539"/>
    </row>
    <row r="559" spans="1:26" s="70" customFormat="1" ht="14.25" customHeight="1">
      <c r="A559" s="418" t="s">
        <v>38</v>
      </c>
      <c r="B559" s="418" t="s">
        <v>153</v>
      </c>
      <c r="C559" s="418" t="s">
        <v>1102</v>
      </c>
      <c r="D559" s="470" t="s">
        <v>2896</v>
      </c>
      <c r="E559" s="70" t="s">
        <v>1962</v>
      </c>
      <c r="F559" s="70" t="s">
        <v>1715</v>
      </c>
      <c r="G559" s="70" t="s">
        <v>1871</v>
      </c>
      <c r="I559" s="70" t="s">
        <v>1314</v>
      </c>
      <c r="J559" s="70" t="s">
        <v>44</v>
      </c>
      <c r="K559" s="70" t="s">
        <v>44</v>
      </c>
      <c r="L559" s="419" t="s">
        <v>44</v>
      </c>
      <c r="M559" s="70" t="s">
        <v>45</v>
      </c>
      <c r="N559" s="418"/>
      <c r="O559" s="418"/>
      <c r="P559" s="70" t="s">
        <v>761</v>
      </c>
      <c r="Q559" s="70" t="s">
        <v>926</v>
      </c>
      <c r="R559" s="421">
        <v>14</v>
      </c>
      <c r="S559" s="421">
        <v>40</v>
      </c>
      <c r="T559" s="104">
        <v>42983</v>
      </c>
      <c r="U559" s="100" t="s">
        <v>1103</v>
      </c>
      <c r="W559" s="412" t="s">
        <v>2280</v>
      </c>
      <c r="X559" s="539"/>
      <c r="Y559" s="539"/>
      <c r="Z559" s="539"/>
    </row>
    <row r="560" spans="1:26" s="70" customFormat="1" ht="14.25" customHeight="1">
      <c r="A560" s="418" t="s">
        <v>38</v>
      </c>
      <c r="B560" s="418" t="s">
        <v>153</v>
      </c>
      <c r="C560" s="418" t="s">
        <v>156</v>
      </c>
      <c r="D560" s="470" t="s">
        <v>2721</v>
      </c>
      <c r="E560" s="418" t="s">
        <v>1537</v>
      </c>
      <c r="F560" s="418" t="s">
        <v>1715</v>
      </c>
      <c r="G560" s="418" t="s">
        <v>1815</v>
      </c>
      <c r="H560" s="418" t="s">
        <v>42</v>
      </c>
      <c r="I560" s="418" t="s">
        <v>135</v>
      </c>
      <c r="J560" s="418" t="s">
        <v>44</v>
      </c>
      <c r="K560" s="418" t="s">
        <v>44</v>
      </c>
      <c r="L560" s="418" t="s">
        <v>760</v>
      </c>
      <c r="M560" s="418" t="s">
        <v>45</v>
      </c>
      <c r="N560" s="418">
        <v>25.36600361</v>
      </c>
      <c r="O560" s="418">
        <v>97.405202779999996</v>
      </c>
      <c r="P560" s="418" t="s">
        <v>761</v>
      </c>
      <c r="Q560" s="418" t="s">
        <v>780</v>
      </c>
      <c r="R560" s="421"/>
      <c r="S560" s="421"/>
      <c r="T560" s="441"/>
      <c r="U560" s="423"/>
      <c r="V560" s="418" t="s">
        <v>156</v>
      </c>
      <c r="W560" s="418"/>
      <c r="X560" s="539"/>
      <c r="Y560" s="539"/>
      <c r="Z560" s="539"/>
    </row>
    <row r="561" spans="1:26" s="70" customFormat="1" ht="14.25" customHeight="1">
      <c r="A561" s="426" t="s">
        <v>38</v>
      </c>
      <c r="B561" s="425" t="s">
        <v>153</v>
      </c>
      <c r="C561" s="426" t="s">
        <v>771</v>
      </c>
      <c r="D561" s="470" t="s">
        <v>2896</v>
      </c>
      <c r="E561" s="448" t="s">
        <v>1317</v>
      </c>
      <c r="H561" s="418"/>
      <c r="I561" s="70" t="s">
        <v>2141</v>
      </c>
      <c r="J561" s="70" t="s">
        <v>44</v>
      </c>
      <c r="K561" s="70" t="s">
        <v>44</v>
      </c>
      <c r="L561" s="70" t="s">
        <v>760</v>
      </c>
      <c r="M561" s="70" t="s">
        <v>45</v>
      </c>
      <c r="N561" s="418">
        <v>0</v>
      </c>
      <c r="O561" s="418">
        <v>0</v>
      </c>
      <c r="P561" s="70" t="s">
        <v>761</v>
      </c>
      <c r="Q561" s="70" t="s">
        <v>2129</v>
      </c>
      <c r="R561" s="421"/>
      <c r="S561" s="421"/>
      <c r="T561" s="104">
        <v>43360</v>
      </c>
      <c r="U561" s="100" t="s">
        <v>2131</v>
      </c>
      <c r="X561" s="539"/>
      <c r="Y561" s="539"/>
      <c r="Z561" s="539"/>
    </row>
    <row r="562" spans="1:26" s="70" customFormat="1" ht="14.25" customHeight="1">
      <c r="A562" s="422" t="s">
        <v>38</v>
      </c>
      <c r="B562" s="425" t="s">
        <v>153</v>
      </c>
      <c r="C562" s="426" t="s">
        <v>2040</v>
      </c>
      <c r="D562" s="420"/>
      <c r="H562" s="418"/>
      <c r="I562" s="418"/>
      <c r="J562" s="70" t="s">
        <v>1449</v>
      </c>
      <c r="K562" s="419" t="s">
        <v>44</v>
      </c>
      <c r="L562" s="419" t="s">
        <v>776</v>
      </c>
      <c r="M562" s="70" t="s">
        <v>778</v>
      </c>
      <c r="N562" s="418"/>
      <c r="O562" s="418"/>
      <c r="P562" s="70" t="s">
        <v>761</v>
      </c>
      <c r="R562" s="429"/>
      <c r="S562" s="422"/>
      <c r="T562" s="104">
        <v>43298</v>
      </c>
      <c r="U562" s="100"/>
      <c r="W562" s="418"/>
      <c r="X562" s="539"/>
      <c r="Y562" s="539"/>
      <c r="Z562" s="539"/>
    </row>
    <row r="563" spans="1:26" s="70" customFormat="1" ht="14.25" customHeight="1">
      <c r="A563" s="418" t="s">
        <v>38</v>
      </c>
      <c r="B563" s="418" t="s">
        <v>153</v>
      </c>
      <c r="C563" s="418" t="s">
        <v>157</v>
      </c>
      <c r="D563" s="470" t="s">
        <v>2896</v>
      </c>
      <c r="E563" s="70" t="s">
        <v>1536</v>
      </c>
      <c r="F563" s="70" t="s">
        <v>1715</v>
      </c>
      <c r="G563" s="70" t="s">
        <v>1809</v>
      </c>
      <c r="H563" s="70" t="s">
        <v>42</v>
      </c>
      <c r="I563" s="418" t="s">
        <v>2725</v>
      </c>
      <c r="J563" s="70" t="s">
        <v>44</v>
      </c>
      <c r="K563" s="70" t="s">
        <v>44</v>
      </c>
      <c r="L563" s="70" t="s">
        <v>44</v>
      </c>
      <c r="M563" s="70" t="s">
        <v>45</v>
      </c>
      <c r="N563" s="418">
        <v>25.362420757575801</v>
      </c>
      <c r="O563" s="418">
        <v>97.409035000000003</v>
      </c>
      <c r="P563" s="70" t="s">
        <v>761</v>
      </c>
      <c r="Q563" s="70" t="s">
        <v>780</v>
      </c>
      <c r="R563" s="421">
        <v>152</v>
      </c>
      <c r="S563" s="421">
        <v>770</v>
      </c>
      <c r="T563" s="104"/>
      <c r="U563" s="100"/>
      <c r="V563" s="70" t="s">
        <v>157</v>
      </c>
      <c r="W563" s="412" t="s">
        <v>2281</v>
      </c>
      <c r="X563" s="539"/>
      <c r="Y563" s="539"/>
      <c r="Z563" s="539"/>
    </row>
    <row r="564" spans="1:26" s="70" customFormat="1" ht="14.25" customHeight="1">
      <c r="A564" s="418" t="s">
        <v>38</v>
      </c>
      <c r="B564" s="418" t="s">
        <v>153</v>
      </c>
      <c r="C564" s="418" t="s">
        <v>158</v>
      </c>
      <c r="D564" s="470" t="s">
        <v>2896</v>
      </c>
      <c r="E564" s="70" t="s">
        <v>1528</v>
      </c>
      <c r="F564" s="70" t="s">
        <v>1715</v>
      </c>
      <c r="G564" s="70" t="s">
        <v>1809</v>
      </c>
      <c r="H564" s="70" t="s">
        <v>42</v>
      </c>
      <c r="I564" s="418" t="s">
        <v>2725</v>
      </c>
      <c r="J564" s="70" t="s">
        <v>44</v>
      </c>
      <c r="K564" s="70" t="s">
        <v>44</v>
      </c>
      <c r="L564" s="70" t="s">
        <v>44</v>
      </c>
      <c r="M564" s="70" t="s">
        <v>45</v>
      </c>
      <c r="N564" s="418">
        <v>25.3510167948718</v>
      </c>
      <c r="O564" s="418">
        <v>97.403402307692303</v>
      </c>
      <c r="P564" s="418" t="s">
        <v>761</v>
      </c>
      <c r="Q564" s="70" t="s">
        <v>780</v>
      </c>
      <c r="R564" s="421">
        <v>138</v>
      </c>
      <c r="S564" s="421">
        <v>709</v>
      </c>
      <c r="T564" s="104"/>
      <c r="U564" s="100"/>
      <c r="V564" s="70" t="s">
        <v>158</v>
      </c>
      <c r="W564" s="418"/>
      <c r="X564" s="539"/>
      <c r="Y564" s="539"/>
      <c r="Z564" s="539"/>
    </row>
    <row r="565" spans="1:26" s="70" customFormat="1" ht="14.25" customHeight="1">
      <c r="A565" s="418" t="s">
        <v>38</v>
      </c>
      <c r="B565" s="418" t="s">
        <v>153</v>
      </c>
      <c r="C565" s="418" t="s">
        <v>159</v>
      </c>
      <c r="D565" s="470" t="s">
        <v>2896</v>
      </c>
      <c r="E565" s="70" t="s">
        <v>1535</v>
      </c>
      <c r="F565" s="70" t="s">
        <v>1715</v>
      </c>
      <c r="G565" s="70" t="s">
        <v>1814</v>
      </c>
      <c r="H565" s="418" t="s">
        <v>42</v>
      </c>
      <c r="I565" s="70" t="s">
        <v>2725</v>
      </c>
      <c r="J565" s="70" t="s">
        <v>44</v>
      </c>
      <c r="K565" s="70" t="s">
        <v>44</v>
      </c>
      <c r="L565" s="70" t="s">
        <v>44</v>
      </c>
      <c r="M565" s="70" t="s">
        <v>45</v>
      </c>
      <c r="N565" s="418">
        <v>25.360463124999999</v>
      </c>
      <c r="O565" s="418">
        <v>97.4113064583333</v>
      </c>
      <c r="P565" s="17" t="s">
        <v>761</v>
      </c>
      <c r="Q565" s="418" t="s">
        <v>780</v>
      </c>
      <c r="R565" s="98">
        <v>61</v>
      </c>
      <c r="S565" s="421">
        <v>312</v>
      </c>
      <c r="T565" s="441"/>
      <c r="U565" s="100"/>
      <c r="V565" s="70" t="s">
        <v>159</v>
      </c>
      <c r="X565" s="539"/>
      <c r="Y565" s="539"/>
      <c r="Z565" s="539"/>
    </row>
    <row r="566" spans="1:26" s="70" customFormat="1" ht="14.25" customHeight="1">
      <c r="A566" s="418" t="s">
        <v>38</v>
      </c>
      <c r="B566" s="418" t="s">
        <v>153</v>
      </c>
      <c r="C566" s="418" t="s">
        <v>160</v>
      </c>
      <c r="D566" s="470" t="s">
        <v>2896</v>
      </c>
      <c r="E566" s="418" t="s">
        <v>1561</v>
      </c>
      <c r="F566" s="418" t="s">
        <v>1715</v>
      </c>
      <c r="G566" s="418" t="s">
        <v>1826</v>
      </c>
      <c r="H566" s="418" t="s">
        <v>42</v>
      </c>
      <c r="I566" s="418" t="s">
        <v>2725</v>
      </c>
      <c r="J566" s="70" t="s">
        <v>44</v>
      </c>
      <c r="K566" s="418" t="s">
        <v>44</v>
      </c>
      <c r="L566" s="418" t="s">
        <v>44</v>
      </c>
      <c r="M566" s="418" t="s">
        <v>45</v>
      </c>
      <c r="N566" s="418">
        <v>25.428910999999999</v>
      </c>
      <c r="O566" s="418">
        <v>97.418694000000002</v>
      </c>
      <c r="P566" s="70" t="s">
        <v>761</v>
      </c>
      <c r="Q566" s="418" t="s">
        <v>780</v>
      </c>
      <c r="R566" s="421">
        <v>103</v>
      </c>
      <c r="S566" s="421">
        <v>586</v>
      </c>
      <c r="T566" s="441"/>
      <c r="U566" s="423"/>
      <c r="V566" s="418" t="s">
        <v>160</v>
      </c>
      <c r="X566" s="539"/>
      <c r="Y566" s="539"/>
      <c r="Z566" s="539"/>
    </row>
    <row r="567" spans="1:26" s="70" customFormat="1" ht="14.25" customHeight="1">
      <c r="A567" s="418" t="s">
        <v>38</v>
      </c>
      <c r="B567" s="418" t="s">
        <v>153</v>
      </c>
      <c r="C567" s="418" t="s">
        <v>257</v>
      </c>
      <c r="D567" s="470" t="s">
        <v>2896</v>
      </c>
      <c r="E567" s="70" t="s">
        <v>1539</v>
      </c>
      <c r="F567" s="70" t="s">
        <v>1816</v>
      </c>
      <c r="G567" s="70" t="s">
        <v>1816</v>
      </c>
      <c r="H567" s="418" t="s">
        <v>42</v>
      </c>
      <c r="I567" s="418" t="s">
        <v>236</v>
      </c>
      <c r="J567" s="70" t="s">
        <v>44</v>
      </c>
      <c r="K567" s="70" t="s">
        <v>44</v>
      </c>
      <c r="L567" s="70" t="s">
        <v>44</v>
      </c>
      <c r="M567" s="70" t="s">
        <v>45</v>
      </c>
      <c r="N567" s="418">
        <v>25.374343974359</v>
      </c>
      <c r="O567" s="418">
        <v>97.2843958974359</v>
      </c>
      <c r="P567" s="418" t="s">
        <v>761</v>
      </c>
      <c r="Q567" s="70" t="s">
        <v>780</v>
      </c>
      <c r="R567" s="421">
        <v>22</v>
      </c>
      <c r="S567" s="421">
        <v>92</v>
      </c>
      <c r="T567" s="104"/>
      <c r="U567" s="100"/>
      <c r="V567" s="70" t="s">
        <v>257</v>
      </c>
      <c r="W567" s="418"/>
      <c r="X567" s="539"/>
      <c r="Y567" s="539"/>
      <c r="Z567" s="539"/>
    </row>
    <row r="568" spans="1:26" s="70" customFormat="1" ht="14.25" customHeight="1">
      <c r="A568" s="418" t="s">
        <v>38</v>
      </c>
      <c r="B568" s="418" t="s">
        <v>153</v>
      </c>
      <c r="C568" s="418" t="s">
        <v>258</v>
      </c>
      <c r="D568" s="470" t="s">
        <v>2896</v>
      </c>
      <c r="E568" s="418" t="s">
        <v>1538</v>
      </c>
      <c r="F568" s="418" t="s">
        <v>1816</v>
      </c>
      <c r="G568" s="418" t="s">
        <v>1816</v>
      </c>
      <c r="H568" s="418" t="s">
        <v>42</v>
      </c>
      <c r="I568" s="418" t="s">
        <v>236</v>
      </c>
      <c r="J568" s="418" t="s">
        <v>44</v>
      </c>
      <c r="K568" s="418" t="s">
        <v>44</v>
      </c>
      <c r="L568" s="418" t="s">
        <v>44</v>
      </c>
      <c r="M568" s="418" t="s">
        <v>45</v>
      </c>
      <c r="N568" s="418">
        <v>25.371049444444399</v>
      </c>
      <c r="O568" s="418">
        <v>97.290952037037002</v>
      </c>
      <c r="P568" s="418" t="s">
        <v>761</v>
      </c>
      <c r="Q568" s="418" t="s">
        <v>780</v>
      </c>
      <c r="R568" s="421">
        <v>21</v>
      </c>
      <c r="S568" s="421">
        <v>123</v>
      </c>
      <c r="T568" s="441"/>
      <c r="U568" s="423"/>
      <c r="V568" s="418" t="s">
        <v>258</v>
      </c>
      <c r="W568" s="418"/>
      <c r="X568" s="539"/>
      <c r="Y568" s="539"/>
      <c r="Z568" s="539"/>
    </row>
    <row r="569" spans="1:26" s="70" customFormat="1" ht="14.25" customHeight="1">
      <c r="A569" s="418" t="s">
        <v>38</v>
      </c>
      <c r="B569" s="418" t="s">
        <v>153</v>
      </c>
      <c r="C569" s="418" t="s">
        <v>1049</v>
      </c>
      <c r="D569" s="470" t="s">
        <v>1655</v>
      </c>
      <c r="E569" s="70" t="s">
        <v>1541</v>
      </c>
      <c r="F569" s="70" t="s">
        <v>1715</v>
      </c>
      <c r="G569" s="70" t="s">
        <v>1717</v>
      </c>
      <c r="H569" s="418" t="s">
        <v>42</v>
      </c>
      <c r="I569" s="70" t="s">
        <v>236</v>
      </c>
      <c r="J569" s="70" t="s">
        <v>44</v>
      </c>
      <c r="K569" s="70" t="s">
        <v>44</v>
      </c>
      <c r="L569" s="70" t="s">
        <v>760</v>
      </c>
      <c r="M569" s="70" t="s">
        <v>45</v>
      </c>
      <c r="N569" s="418">
        <v>25.387862999999999</v>
      </c>
      <c r="O569" s="418">
        <v>97.376671999999999</v>
      </c>
      <c r="P569" s="70" t="s">
        <v>761</v>
      </c>
      <c r="R569" s="421"/>
      <c r="S569" s="422"/>
      <c r="T569" s="104"/>
      <c r="U569" s="100"/>
      <c r="V569" s="70" t="s">
        <v>1049</v>
      </c>
      <c r="W569" s="412" t="s">
        <v>2183</v>
      </c>
      <c r="X569" s="539"/>
      <c r="Y569" s="539"/>
      <c r="Z569" s="539"/>
    </row>
    <row r="570" spans="1:26" s="70" customFormat="1" ht="14.25" customHeight="1">
      <c r="A570" s="418" t="s">
        <v>38</v>
      </c>
      <c r="B570" s="418" t="s">
        <v>153</v>
      </c>
      <c r="C570" s="418" t="s">
        <v>228</v>
      </c>
      <c r="D570" s="470" t="s">
        <v>2896</v>
      </c>
      <c r="E570" s="70" t="s">
        <v>1550</v>
      </c>
      <c r="F570" s="70" t="s">
        <v>1821</v>
      </c>
      <c r="G570" s="70" t="s">
        <v>1821</v>
      </c>
      <c r="H570" s="418" t="s">
        <v>42</v>
      </c>
      <c r="I570" s="418" t="s">
        <v>1314</v>
      </c>
      <c r="J570" s="70" t="s">
        <v>44</v>
      </c>
      <c r="K570" s="70" t="s">
        <v>44</v>
      </c>
      <c r="L570" s="70" t="s">
        <v>44</v>
      </c>
      <c r="M570" s="70" t="s">
        <v>45</v>
      </c>
      <c r="N570" s="418">
        <v>25.410569299999999</v>
      </c>
      <c r="O570" s="418">
        <v>97.359320179999997</v>
      </c>
      <c r="P570" s="418" t="s">
        <v>761</v>
      </c>
      <c r="Q570" s="70" t="s">
        <v>780</v>
      </c>
      <c r="R570" s="421">
        <v>60</v>
      </c>
      <c r="S570" s="421">
        <v>316</v>
      </c>
      <c r="T570" s="104"/>
      <c r="U570" s="100"/>
      <c r="V570" s="70" t="s">
        <v>228</v>
      </c>
      <c r="W570" s="418"/>
      <c r="X570" s="539"/>
      <c r="Y570" s="539"/>
      <c r="Z570" s="539"/>
    </row>
    <row r="571" spans="1:26" s="70" customFormat="1" ht="14.25" customHeight="1">
      <c r="A571" s="418" t="s">
        <v>38</v>
      </c>
      <c r="B571" s="418" t="s">
        <v>153</v>
      </c>
      <c r="C571" s="418" t="s">
        <v>161</v>
      </c>
      <c r="D571" s="470" t="s">
        <v>2896</v>
      </c>
      <c r="E571" s="70" t="s">
        <v>1557</v>
      </c>
      <c r="F571" s="70" t="s">
        <v>1715</v>
      </c>
      <c r="G571" s="70" t="s">
        <v>1825</v>
      </c>
      <c r="H571" s="418" t="s">
        <v>42</v>
      </c>
      <c r="I571" s="418" t="s">
        <v>2725</v>
      </c>
      <c r="J571" s="70" t="s">
        <v>44</v>
      </c>
      <c r="K571" s="70" t="s">
        <v>44</v>
      </c>
      <c r="L571" s="70" t="s">
        <v>44</v>
      </c>
      <c r="M571" s="70" t="s">
        <v>45</v>
      </c>
      <c r="N571" s="418">
        <v>25.422194000000001</v>
      </c>
      <c r="O571" s="418">
        <v>97.394547000000003</v>
      </c>
      <c r="P571" s="418" t="s">
        <v>761</v>
      </c>
      <c r="Q571" s="70" t="s">
        <v>780</v>
      </c>
      <c r="R571" s="421">
        <v>67</v>
      </c>
      <c r="S571" s="421">
        <v>291</v>
      </c>
      <c r="T571" s="104"/>
      <c r="U571" s="100"/>
      <c r="V571" s="70" t="s">
        <v>161</v>
      </c>
      <c r="W571" s="418"/>
      <c r="X571" s="539"/>
      <c r="Y571" s="539"/>
      <c r="Z571" s="539"/>
    </row>
    <row r="572" spans="1:26" s="70" customFormat="1" ht="14.25" customHeight="1">
      <c r="A572" s="418" t="s">
        <v>38</v>
      </c>
      <c r="B572" s="418" t="s">
        <v>153</v>
      </c>
      <c r="C572" s="418" t="s">
        <v>229</v>
      </c>
      <c r="D572" s="470" t="s">
        <v>2896</v>
      </c>
      <c r="E572" s="418" t="s">
        <v>1563</v>
      </c>
      <c r="F572" s="418" t="s">
        <v>1828</v>
      </c>
      <c r="G572" s="418" t="s">
        <v>1829</v>
      </c>
      <c r="H572" s="418" t="s">
        <v>42</v>
      </c>
      <c r="I572" s="418" t="s">
        <v>1314</v>
      </c>
      <c r="J572" s="418" t="s">
        <v>44</v>
      </c>
      <c r="K572" s="418" t="s">
        <v>44</v>
      </c>
      <c r="L572" s="418" t="s">
        <v>44</v>
      </c>
      <c r="M572" s="418" t="s">
        <v>45</v>
      </c>
      <c r="N572" s="418">
        <v>25.493819999999999</v>
      </c>
      <c r="O572" s="418">
        <v>97.4345</v>
      </c>
      <c r="P572" s="418" t="s">
        <v>761</v>
      </c>
      <c r="Q572" s="418" t="s">
        <v>780</v>
      </c>
      <c r="R572" s="421">
        <v>149</v>
      </c>
      <c r="S572" s="421">
        <v>885</v>
      </c>
      <c r="T572" s="441"/>
      <c r="U572" s="423"/>
      <c r="V572" s="418" t="s">
        <v>229</v>
      </c>
      <c r="X572" s="539"/>
      <c r="Y572" s="539"/>
      <c r="Z572" s="539"/>
    </row>
    <row r="573" spans="1:26" s="70" customFormat="1" ht="14.25" customHeight="1">
      <c r="A573" s="426" t="s">
        <v>38</v>
      </c>
      <c r="B573" s="425" t="s">
        <v>153</v>
      </c>
      <c r="C573" s="426" t="s">
        <v>2127</v>
      </c>
      <c r="D573" s="470" t="s">
        <v>2896</v>
      </c>
      <c r="E573" s="70" t="s">
        <v>2128</v>
      </c>
      <c r="H573" s="418" t="s">
        <v>42</v>
      </c>
      <c r="I573" s="418" t="s">
        <v>1314</v>
      </c>
      <c r="J573" s="70" t="s">
        <v>44</v>
      </c>
      <c r="K573" s="419" t="s">
        <v>44</v>
      </c>
      <c r="L573" s="419" t="s">
        <v>44</v>
      </c>
      <c r="M573" s="70" t="s">
        <v>45</v>
      </c>
      <c r="N573" s="418">
        <v>25.493819999999999</v>
      </c>
      <c r="O573" s="418">
        <v>97.4345</v>
      </c>
      <c r="P573" s="419" t="s">
        <v>761</v>
      </c>
      <c r="Q573" s="70" t="s">
        <v>2129</v>
      </c>
      <c r="R573" s="421">
        <v>255</v>
      </c>
      <c r="S573" s="421">
        <v>1373</v>
      </c>
      <c r="T573" s="104">
        <v>43360</v>
      </c>
      <c r="U573" s="100" t="s">
        <v>2130</v>
      </c>
      <c r="W573" s="412" t="s">
        <v>2282</v>
      </c>
      <c r="X573" s="539"/>
      <c r="Y573" s="539"/>
      <c r="Z573" s="539"/>
    </row>
    <row r="574" spans="1:26" s="70" customFormat="1" ht="14.25" customHeight="1">
      <c r="A574" s="418" t="s">
        <v>38</v>
      </c>
      <c r="B574" s="418" t="s">
        <v>153</v>
      </c>
      <c r="C574" s="419" t="s">
        <v>162</v>
      </c>
      <c r="D574" s="470" t="s">
        <v>2896</v>
      </c>
      <c r="E574" s="70" t="s">
        <v>1552</v>
      </c>
      <c r="F574" s="70" t="s">
        <v>1715</v>
      </c>
      <c r="G574" s="70" t="s">
        <v>1822</v>
      </c>
      <c r="H574" s="418" t="s">
        <v>42</v>
      </c>
      <c r="I574" s="70" t="s">
        <v>2725</v>
      </c>
      <c r="J574" s="70" t="s">
        <v>44</v>
      </c>
      <c r="K574" s="70" t="s">
        <v>44</v>
      </c>
      <c r="L574" s="70" t="s">
        <v>44</v>
      </c>
      <c r="M574" s="70" t="s">
        <v>45</v>
      </c>
      <c r="N574" s="418">
        <v>25.412313000000001</v>
      </c>
      <c r="O574" s="418">
        <v>97.399628000000007</v>
      </c>
      <c r="P574" s="70" t="s">
        <v>761</v>
      </c>
      <c r="Q574" s="70" t="s">
        <v>780</v>
      </c>
      <c r="R574" s="421">
        <v>124</v>
      </c>
      <c r="S574" s="421">
        <v>609</v>
      </c>
      <c r="T574" s="104"/>
      <c r="U574" s="100"/>
      <c r="V574" s="70" t="s">
        <v>162</v>
      </c>
      <c r="W574" s="418"/>
      <c r="X574" s="539"/>
      <c r="Y574" s="539"/>
      <c r="Z574" s="539"/>
    </row>
    <row r="575" spans="1:26" s="70" customFormat="1" ht="14.25" customHeight="1">
      <c r="A575" s="418" t="s">
        <v>38</v>
      </c>
      <c r="B575" s="418" t="s">
        <v>153</v>
      </c>
      <c r="C575" s="419" t="s">
        <v>259</v>
      </c>
      <c r="D575" s="470" t="s">
        <v>2896</v>
      </c>
      <c r="E575" s="70" t="s">
        <v>1559</v>
      </c>
      <c r="F575" s="70" t="s">
        <v>1715</v>
      </c>
      <c r="G575" s="70" t="s">
        <v>1822</v>
      </c>
      <c r="H575" s="418" t="s">
        <v>42</v>
      </c>
      <c r="I575" s="70" t="s">
        <v>236</v>
      </c>
      <c r="J575" s="70" t="s">
        <v>44</v>
      </c>
      <c r="K575" s="70" t="s">
        <v>44</v>
      </c>
      <c r="L575" s="70" t="s">
        <v>44</v>
      </c>
      <c r="M575" s="70" t="s">
        <v>45</v>
      </c>
      <c r="N575" s="418">
        <v>25.423817</v>
      </c>
      <c r="O575" s="418">
        <v>97.418004999999994</v>
      </c>
      <c r="P575" s="70" t="s">
        <v>761</v>
      </c>
      <c r="Q575" s="70" t="s">
        <v>780</v>
      </c>
      <c r="R575" s="421">
        <v>24</v>
      </c>
      <c r="S575" s="421">
        <v>111</v>
      </c>
      <c r="T575" s="104"/>
      <c r="U575" s="100"/>
      <c r="V575" s="70" t="s">
        <v>259</v>
      </c>
      <c r="W575" s="418"/>
      <c r="X575" s="539"/>
      <c r="Y575" s="539"/>
      <c r="Z575" s="539"/>
    </row>
    <row r="576" spans="1:26" s="70" customFormat="1" ht="14.25" customHeight="1">
      <c r="A576" s="418" t="s">
        <v>38</v>
      </c>
      <c r="B576" s="419" t="s">
        <v>153</v>
      </c>
      <c r="C576" s="419" t="s">
        <v>163</v>
      </c>
      <c r="D576" s="470" t="s">
        <v>2896</v>
      </c>
      <c r="E576" s="70" t="s">
        <v>1562</v>
      </c>
      <c r="F576" s="70" t="s">
        <v>1715</v>
      </c>
      <c r="G576" s="70" t="s">
        <v>1827</v>
      </c>
      <c r="H576" s="418" t="s">
        <v>42</v>
      </c>
      <c r="I576" s="418" t="s">
        <v>2725</v>
      </c>
      <c r="J576" s="70" t="s">
        <v>44</v>
      </c>
      <c r="K576" s="70" t="s">
        <v>44</v>
      </c>
      <c r="L576" s="70" t="s">
        <v>44</v>
      </c>
      <c r="M576" s="70" t="s">
        <v>45</v>
      </c>
      <c r="N576" s="418">
        <v>25.440928</v>
      </c>
      <c r="O576" s="418">
        <v>97.419403000000003</v>
      </c>
      <c r="P576" s="70" t="s">
        <v>761</v>
      </c>
      <c r="Q576" s="70" t="s">
        <v>780</v>
      </c>
      <c r="R576" s="421">
        <v>95</v>
      </c>
      <c r="S576" s="421">
        <v>549</v>
      </c>
      <c r="T576" s="104"/>
      <c r="U576" s="100"/>
      <c r="V576" s="70" t="s">
        <v>163</v>
      </c>
      <c r="W576" s="418"/>
      <c r="X576" s="539"/>
      <c r="Y576" s="539"/>
      <c r="Z576" s="539"/>
    </row>
    <row r="577" spans="1:26" s="70" customFormat="1" ht="14.25" customHeight="1">
      <c r="A577" s="426" t="s">
        <v>38</v>
      </c>
      <c r="B577" s="425" t="s">
        <v>153</v>
      </c>
      <c r="C577" s="419" t="s">
        <v>1966</v>
      </c>
      <c r="D577" s="470" t="s">
        <v>2721</v>
      </c>
      <c r="E577" s="418" t="s">
        <v>1973</v>
      </c>
      <c r="F577" s="418"/>
      <c r="G577" s="418"/>
      <c r="H577" s="418"/>
      <c r="I577" s="418" t="s">
        <v>2141</v>
      </c>
      <c r="J577" s="418" t="s">
        <v>44</v>
      </c>
      <c r="K577" s="418" t="s">
        <v>44</v>
      </c>
      <c r="L577" s="418" t="s">
        <v>760</v>
      </c>
      <c r="M577" s="418" t="s">
        <v>45</v>
      </c>
      <c r="N577" s="418">
        <v>97.49136</v>
      </c>
      <c r="O577" s="418">
        <v>25.717300000000002</v>
      </c>
      <c r="P577" s="419" t="s">
        <v>761</v>
      </c>
      <c r="Q577" s="418" t="s">
        <v>1949</v>
      </c>
      <c r="R577" s="421"/>
      <c r="S577" s="421"/>
      <c r="T577" s="441">
        <v>43276</v>
      </c>
      <c r="U577" s="423" t="s">
        <v>1998</v>
      </c>
      <c r="V577" s="418"/>
      <c r="W577" s="412" t="s">
        <v>2283</v>
      </c>
      <c r="X577" s="539"/>
      <c r="Y577" s="539"/>
      <c r="Z577" s="539"/>
    </row>
    <row r="578" spans="1:26" s="70" customFormat="1" ht="14.25" customHeight="1">
      <c r="A578" s="418" t="s">
        <v>38</v>
      </c>
      <c r="B578" s="419" t="s">
        <v>153</v>
      </c>
      <c r="C578" s="419" t="s">
        <v>1144</v>
      </c>
      <c r="D578" s="470" t="s">
        <v>1654</v>
      </c>
      <c r="J578" s="70" t="s">
        <v>44</v>
      </c>
      <c r="K578" s="70" t="s">
        <v>44</v>
      </c>
      <c r="L578" s="70" t="s">
        <v>1087</v>
      </c>
      <c r="M578" s="70" t="s">
        <v>45</v>
      </c>
      <c r="N578" s="418"/>
      <c r="O578" s="418"/>
      <c r="P578" s="70" t="s">
        <v>761</v>
      </c>
      <c r="R578" s="421"/>
      <c r="S578" s="422"/>
      <c r="T578" s="104"/>
      <c r="U578" s="100"/>
      <c r="V578" s="70" t="s">
        <v>1144</v>
      </c>
      <c r="W578" s="418"/>
      <c r="X578" s="539"/>
      <c r="Y578" s="539"/>
      <c r="Z578" s="539"/>
    </row>
    <row r="579" spans="1:26" s="70" customFormat="1" ht="14.25" customHeight="1">
      <c r="A579" s="418" t="s">
        <v>38</v>
      </c>
      <c r="B579" s="419" t="s">
        <v>153</v>
      </c>
      <c r="C579" s="419" t="s">
        <v>164</v>
      </c>
      <c r="D579" s="470" t="s">
        <v>2896</v>
      </c>
      <c r="E579" s="418" t="s">
        <v>1553</v>
      </c>
      <c r="F579" s="418" t="s">
        <v>1715</v>
      </c>
      <c r="G579" s="418" t="s">
        <v>1819</v>
      </c>
      <c r="H579" s="418" t="s">
        <v>42</v>
      </c>
      <c r="I579" s="418" t="s">
        <v>2725</v>
      </c>
      <c r="J579" s="418" t="s">
        <v>44</v>
      </c>
      <c r="K579" s="418" t="s">
        <v>44</v>
      </c>
      <c r="L579" s="418" t="s">
        <v>44</v>
      </c>
      <c r="M579" s="418" t="s">
        <v>45</v>
      </c>
      <c r="N579" s="418">
        <v>25.415482000000001</v>
      </c>
      <c r="O579" s="418">
        <v>97.386718999999999</v>
      </c>
      <c r="P579" s="418" t="s">
        <v>761</v>
      </c>
      <c r="Q579" s="418" t="s">
        <v>780</v>
      </c>
      <c r="R579" s="421">
        <v>78</v>
      </c>
      <c r="S579" s="421">
        <v>424</v>
      </c>
      <c r="T579" s="441"/>
      <c r="U579" s="423"/>
      <c r="V579" s="418" t="s">
        <v>164</v>
      </c>
      <c r="W579" s="418"/>
      <c r="X579" s="539"/>
      <c r="Y579" s="539"/>
      <c r="Z579" s="539"/>
    </row>
    <row r="580" spans="1:26" s="70" customFormat="1" ht="14.25" customHeight="1">
      <c r="A580" s="418" t="s">
        <v>38</v>
      </c>
      <c r="B580" s="419" t="s">
        <v>153</v>
      </c>
      <c r="C580" s="419" t="s">
        <v>260</v>
      </c>
      <c r="D580" s="470" t="s">
        <v>2896</v>
      </c>
      <c r="E580" s="70" t="s">
        <v>1558</v>
      </c>
      <c r="F580" s="70" t="s">
        <v>1715</v>
      </c>
      <c r="G580" s="70" t="s">
        <v>1819</v>
      </c>
      <c r="H580" s="418" t="s">
        <v>42</v>
      </c>
      <c r="I580" s="418" t="s">
        <v>236</v>
      </c>
      <c r="J580" s="70" t="s">
        <v>44</v>
      </c>
      <c r="K580" s="418" t="s">
        <v>44</v>
      </c>
      <c r="L580" s="418" t="s">
        <v>44</v>
      </c>
      <c r="M580" s="70" t="s">
        <v>45</v>
      </c>
      <c r="N580" s="418">
        <v>25.423209</v>
      </c>
      <c r="O580" s="418">
        <v>97.379987</v>
      </c>
      <c r="P580" s="418" t="s">
        <v>761</v>
      </c>
      <c r="Q580" s="70" t="s">
        <v>780</v>
      </c>
      <c r="R580" s="421">
        <v>54</v>
      </c>
      <c r="S580" s="421">
        <v>250</v>
      </c>
      <c r="T580" s="104"/>
      <c r="U580" s="100"/>
      <c r="V580" s="70" t="s">
        <v>1055</v>
      </c>
      <c r="W580" s="418"/>
      <c r="X580" s="539"/>
      <c r="Y580" s="539"/>
      <c r="Z580" s="539"/>
    </row>
    <row r="581" spans="1:26" s="70" customFormat="1" ht="14.25" customHeight="1">
      <c r="A581" s="418" t="s">
        <v>38</v>
      </c>
      <c r="B581" s="419" t="s">
        <v>153</v>
      </c>
      <c r="C581" s="419" t="s">
        <v>261</v>
      </c>
      <c r="D581" s="470" t="s">
        <v>2896</v>
      </c>
      <c r="E581" s="418" t="s">
        <v>1555</v>
      </c>
      <c r="F581" s="418" t="s">
        <v>1715</v>
      </c>
      <c r="G581" s="418" t="s">
        <v>1819</v>
      </c>
      <c r="H581" s="418" t="s">
        <v>42</v>
      </c>
      <c r="I581" s="418" t="s">
        <v>236</v>
      </c>
      <c r="J581" s="418" t="s">
        <v>44</v>
      </c>
      <c r="K581" s="418" t="s">
        <v>44</v>
      </c>
      <c r="L581" s="418" t="s">
        <v>44</v>
      </c>
      <c r="M581" s="418" t="s">
        <v>45</v>
      </c>
      <c r="N581" s="418">
        <v>25.417733999999999</v>
      </c>
      <c r="O581" s="418">
        <v>97.389778000000007</v>
      </c>
      <c r="P581" s="418" t="s">
        <v>761</v>
      </c>
      <c r="Q581" s="418" t="s">
        <v>780</v>
      </c>
      <c r="R581" s="421">
        <v>17</v>
      </c>
      <c r="S581" s="421">
        <v>83</v>
      </c>
      <c r="T581" s="441"/>
      <c r="U581" s="423"/>
      <c r="V581" s="418" t="s">
        <v>261</v>
      </c>
      <c r="W581" s="418"/>
      <c r="X581" s="539"/>
      <c r="Y581" s="539"/>
      <c r="Z581" s="539"/>
    </row>
    <row r="582" spans="1:26" s="70" customFormat="1" ht="14.25" customHeight="1">
      <c r="A582" s="418" t="s">
        <v>38</v>
      </c>
      <c r="B582" s="419" t="s">
        <v>153</v>
      </c>
      <c r="C582" s="419" t="s">
        <v>165</v>
      </c>
      <c r="D582" s="470" t="s">
        <v>2896</v>
      </c>
      <c r="E582" s="418" t="s">
        <v>1548</v>
      </c>
      <c r="F582" s="70" t="s">
        <v>1715</v>
      </c>
      <c r="G582" s="70" t="s">
        <v>1819</v>
      </c>
      <c r="H582" s="418" t="s">
        <v>42</v>
      </c>
      <c r="I582" s="418" t="s">
        <v>2725</v>
      </c>
      <c r="J582" s="70" t="s">
        <v>44</v>
      </c>
      <c r="K582" s="70" t="s">
        <v>44</v>
      </c>
      <c r="L582" s="418" t="s">
        <v>44</v>
      </c>
      <c r="M582" s="70" t="s">
        <v>45</v>
      </c>
      <c r="N582" s="418">
        <v>25.404752999999999</v>
      </c>
      <c r="O582" s="418">
        <v>97.377662999999998</v>
      </c>
      <c r="P582" s="418" t="s">
        <v>761</v>
      </c>
      <c r="Q582" s="70" t="s">
        <v>780</v>
      </c>
      <c r="R582" s="421">
        <v>33</v>
      </c>
      <c r="S582" s="421">
        <v>184</v>
      </c>
      <c r="T582" s="104"/>
      <c r="U582" s="423"/>
      <c r="V582" s="418" t="s">
        <v>165</v>
      </c>
      <c r="W582" s="418"/>
      <c r="X582" s="539"/>
      <c r="Y582" s="539"/>
      <c r="Z582" s="539"/>
    </row>
    <row r="583" spans="1:26" s="70" customFormat="1" ht="14.25" customHeight="1">
      <c r="A583" s="418" t="s">
        <v>38</v>
      </c>
      <c r="B583" s="419" t="s">
        <v>153</v>
      </c>
      <c r="C583" s="419" t="s">
        <v>166</v>
      </c>
      <c r="D583" s="470" t="s">
        <v>2896</v>
      </c>
      <c r="E583" s="418" t="s">
        <v>1547</v>
      </c>
      <c r="F583" s="418" t="s">
        <v>1715</v>
      </c>
      <c r="G583" s="418" t="s">
        <v>1819</v>
      </c>
      <c r="H583" s="418" t="s">
        <v>42</v>
      </c>
      <c r="I583" s="418" t="s">
        <v>2725</v>
      </c>
      <c r="J583" s="70" t="s">
        <v>44</v>
      </c>
      <c r="K583" s="418" t="s">
        <v>44</v>
      </c>
      <c r="L583" s="418" t="s">
        <v>44</v>
      </c>
      <c r="M583" s="70" t="s">
        <v>45</v>
      </c>
      <c r="N583" s="418">
        <v>25.404015000000001</v>
      </c>
      <c r="O583" s="418">
        <v>97.382192000000003</v>
      </c>
      <c r="P583" s="418" t="s">
        <v>761</v>
      </c>
      <c r="Q583" s="70" t="s">
        <v>780</v>
      </c>
      <c r="R583" s="421">
        <v>46</v>
      </c>
      <c r="S583" s="421">
        <v>242</v>
      </c>
      <c r="T583" s="104"/>
      <c r="U583" s="423"/>
      <c r="V583" s="418" t="s">
        <v>166</v>
      </c>
      <c r="W583" s="418"/>
      <c r="X583" s="539"/>
      <c r="Y583" s="539"/>
      <c r="Z583" s="539"/>
    </row>
    <row r="584" spans="1:26" s="70" customFormat="1" ht="14.25" customHeight="1">
      <c r="A584" s="426" t="s">
        <v>38</v>
      </c>
      <c r="B584" s="425" t="s">
        <v>153</v>
      </c>
      <c r="C584" s="419" t="s">
        <v>1954</v>
      </c>
      <c r="D584" s="420"/>
      <c r="F584" s="418"/>
      <c r="H584" s="418"/>
      <c r="J584" s="70" t="s">
        <v>1449</v>
      </c>
      <c r="K584" s="418" t="s">
        <v>44</v>
      </c>
      <c r="L584" s="418" t="s">
        <v>44</v>
      </c>
      <c r="M584" s="70" t="s">
        <v>45</v>
      </c>
      <c r="N584" s="418"/>
      <c r="O584" s="418"/>
      <c r="P584" s="418" t="s">
        <v>761</v>
      </c>
      <c r="Q584" s="70" t="s">
        <v>1949</v>
      </c>
      <c r="R584" s="429"/>
      <c r="S584" s="422"/>
      <c r="T584" s="104">
        <v>43270</v>
      </c>
      <c r="U584" s="100"/>
      <c r="W584" s="418"/>
      <c r="X584" s="539"/>
      <c r="Y584" s="539"/>
      <c r="Z584" s="539"/>
    </row>
    <row r="585" spans="1:26" s="70" customFormat="1" ht="14.25" customHeight="1">
      <c r="A585" s="426" t="s">
        <v>38</v>
      </c>
      <c r="B585" s="425" t="s">
        <v>153</v>
      </c>
      <c r="C585" s="419" t="s">
        <v>1967</v>
      </c>
      <c r="D585" s="470" t="s">
        <v>2896</v>
      </c>
      <c r="E585" s="419" t="s">
        <v>1975</v>
      </c>
      <c r="F585" s="419"/>
      <c r="G585" s="419"/>
      <c r="H585" s="419"/>
      <c r="I585" s="419" t="s">
        <v>2141</v>
      </c>
      <c r="J585" s="418" t="s">
        <v>44</v>
      </c>
      <c r="K585" s="418" t="s">
        <v>44</v>
      </c>
      <c r="L585" s="419" t="s">
        <v>776</v>
      </c>
      <c r="M585" s="418" t="s">
        <v>45</v>
      </c>
      <c r="N585" s="418">
        <v>0</v>
      </c>
      <c r="O585" s="418">
        <v>0</v>
      </c>
      <c r="P585" s="17" t="s">
        <v>761</v>
      </c>
      <c r="Q585" s="418" t="s">
        <v>1949</v>
      </c>
      <c r="R585" s="421">
        <v>8</v>
      </c>
      <c r="S585" s="421">
        <v>32</v>
      </c>
      <c r="T585" s="441">
        <v>43276</v>
      </c>
      <c r="U585" s="427" t="s">
        <v>1999</v>
      </c>
      <c r="V585" s="419"/>
      <c r="W585" s="412" t="s">
        <v>2152</v>
      </c>
      <c r="X585" s="539"/>
      <c r="Y585" s="539"/>
      <c r="Z585" s="539"/>
    </row>
    <row r="586" spans="1:26" s="70" customFormat="1" ht="14.25" customHeight="1">
      <c r="A586" s="426" t="s">
        <v>38</v>
      </c>
      <c r="B586" s="425" t="s">
        <v>153</v>
      </c>
      <c r="C586" s="419" t="s">
        <v>2136</v>
      </c>
      <c r="D586" s="470" t="s">
        <v>2896</v>
      </c>
      <c r="E586" s="418" t="s">
        <v>1972</v>
      </c>
      <c r="F586" s="418"/>
      <c r="G586" s="418"/>
      <c r="H586" s="418" t="s">
        <v>42</v>
      </c>
      <c r="I586" s="418" t="s">
        <v>2725</v>
      </c>
      <c r="J586" s="70" t="s">
        <v>44</v>
      </c>
      <c r="K586" s="70" t="s">
        <v>44</v>
      </c>
      <c r="L586" s="70" t="s">
        <v>44</v>
      </c>
      <c r="M586" s="70" t="s">
        <v>45</v>
      </c>
      <c r="N586" s="418">
        <v>25.480989999999998</v>
      </c>
      <c r="O586" s="418">
        <v>97.431079999999994</v>
      </c>
      <c r="P586" s="419" t="s">
        <v>761</v>
      </c>
      <c r="Q586" s="70" t="s">
        <v>1949</v>
      </c>
      <c r="R586" s="421">
        <v>205</v>
      </c>
      <c r="S586" s="421">
        <v>960</v>
      </c>
      <c r="T586" s="104">
        <v>43276</v>
      </c>
      <c r="U586" s="423" t="s">
        <v>1998</v>
      </c>
      <c r="V586" s="418"/>
      <c r="W586" s="412" t="s">
        <v>2284</v>
      </c>
      <c r="X586" s="539"/>
      <c r="Y586" s="539"/>
      <c r="Z586" s="539"/>
    </row>
    <row r="587" spans="1:26" s="70" customFormat="1" ht="14.25" customHeight="1">
      <c r="A587" s="426" t="s">
        <v>38</v>
      </c>
      <c r="B587" s="425" t="s">
        <v>153</v>
      </c>
      <c r="C587" s="419" t="s">
        <v>1955</v>
      </c>
      <c r="D587" s="420"/>
      <c r="E587" s="418"/>
      <c r="F587" s="418"/>
      <c r="G587" s="418"/>
      <c r="H587" s="418"/>
      <c r="I587" s="418"/>
      <c r="J587" s="418" t="s">
        <v>1449</v>
      </c>
      <c r="K587" s="418" t="s">
        <v>44</v>
      </c>
      <c r="L587" s="418" t="s">
        <v>44</v>
      </c>
      <c r="M587" s="418" t="s">
        <v>45</v>
      </c>
      <c r="N587" s="418"/>
      <c r="O587" s="418"/>
      <c r="P587" s="418" t="s">
        <v>761</v>
      </c>
      <c r="Q587" s="418" t="s">
        <v>1949</v>
      </c>
      <c r="R587" s="429"/>
      <c r="S587" s="422"/>
      <c r="T587" s="441">
        <v>43270</v>
      </c>
      <c r="U587" s="423"/>
      <c r="V587" s="418"/>
      <c r="W587" s="418"/>
      <c r="X587" s="539"/>
      <c r="Y587" s="539"/>
      <c r="Z587" s="539"/>
    </row>
    <row r="588" spans="1:26" s="70" customFormat="1" ht="14.25" customHeight="1">
      <c r="A588" s="418" t="s">
        <v>38</v>
      </c>
      <c r="B588" s="419" t="s">
        <v>153</v>
      </c>
      <c r="C588" s="419" t="s">
        <v>1047</v>
      </c>
      <c r="D588" s="470" t="s">
        <v>1655</v>
      </c>
      <c r="E588" s="70" t="s">
        <v>1540</v>
      </c>
      <c r="F588" s="70" t="s">
        <v>1715</v>
      </c>
      <c r="G588" s="70" t="s">
        <v>1716</v>
      </c>
      <c r="H588" s="70" t="s">
        <v>42</v>
      </c>
      <c r="I588" s="70" t="s">
        <v>236</v>
      </c>
      <c r="J588" s="70" t="s">
        <v>44</v>
      </c>
      <c r="K588" s="70" t="s">
        <v>44</v>
      </c>
      <c r="L588" s="70" t="s">
        <v>760</v>
      </c>
      <c r="M588" s="70" t="s">
        <v>45</v>
      </c>
      <c r="N588" s="418">
        <v>25.377038169999999</v>
      </c>
      <c r="O588" s="418">
        <v>97.403878500000005</v>
      </c>
      <c r="P588" s="70" t="s">
        <v>761</v>
      </c>
      <c r="Q588" s="70" t="s">
        <v>780</v>
      </c>
      <c r="R588" s="421"/>
      <c r="S588" s="422"/>
      <c r="T588" s="104">
        <v>42983</v>
      </c>
      <c r="U588" s="100" t="s">
        <v>1048</v>
      </c>
      <c r="V588" s="70" t="s">
        <v>1047</v>
      </c>
      <c r="W588" s="418" t="s">
        <v>2184</v>
      </c>
      <c r="X588" s="539"/>
      <c r="Y588" s="539"/>
      <c r="Z588" s="539"/>
    </row>
    <row r="589" spans="1:26" s="70" customFormat="1" ht="14.25" customHeight="1">
      <c r="A589" s="418" t="s">
        <v>38</v>
      </c>
      <c r="B589" s="418" t="s">
        <v>167</v>
      </c>
      <c r="C589" s="418" t="s">
        <v>1100</v>
      </c>
      <c r="D589" s="470" t="s">
        <v>1654</v>
      </c>
      <c r="E589" s="418"/>
      <c r="F589" s="418"/>
      <c r="G589" s="418"/>
      <c r="H589" s="418"/>
      <c r="I589" s="418"/>
      <c r="J589" s="70" t="s">
        <v>44</v>
      </c>
      <c r="K589" s="70" t="s">
        <v>44</v>
      </c>
      <c r="L589" s="70" t="s">
        <v>1087</v>
      </c>
      <c r="M589" s="70" t="s">
        <v>45</v>
      </c>
      <c r="N589" s="418"/>
      <c r="O589" s="418"/>
      <c r="P589" s="70" t="s">
        <v>761</v>
      </c>
      <c r="R589" s="421"/>
      <c r="S589" s="422"/>
      <c r="T589" s="104"/>
      <c r="U589" s="423"/>
      <c r="V589" s="418" t="s">
        <v>1100</v>
      </c>
      <c r="W589" s="418"/>
      <c r="X589" s="539"/>
      <c r="Y589" s="539"/>
      <c r="Z589" s="539"/>
    </row>
    <row r="590" spans="1:26" s="70" customFormat="1" ht="14.25" customHeight="1">
      <c r="A590" s="418" t="s">
        <v>38</v>
      </c>
      <c r="B590" s="418" t="s">
        <v>167</v>
      </c>
      <c r="C590" s="418" t="s">
        <v>1074</v>
      </c>
      <c r="D590" s="470" t="s">
        <v>2896</v>
      </c>
      <c r="E590" s="418" t="s">
        <v>1604</v>
      </c>
      <c r="F590" s="418" t="s">
        <v>1728</v>
      </c>
      <c r="G590" s="418" t="s">
        <v>1869</v>
      </c>
      <c r="H590" s="418"/>
      <c r="I590" s="419" t="s">
        <v>2141</v>
      </c>
      <c r="J590" s="70" t="s">
        <v>44</v>
      </c>
      <c r="K590" s="418" t="s">
        <v>44</v>
      </c>
      <c r="L590" s="418" t="s">
        <v>772</v>
      </c>
      <c r="M590" s="70" t="s">
        <v>45</v>
      </c>
      <c r="N590" s="418">
        <v>27.248964999999998</v>
      </c>
      <c r="O590" s="418">
        <v>97.561105999999995</v>
      </c>
      <c r="P590" s="70" t="s">
        <v>773</v>
      </c>
      <c r="Q590" s="70" t="s">
        <v>762</v>
      </c>
      <c r="R590" s="421">
        <v>10</v>
      </c>
      <c r="S590" s="421">
        <v>56</v>
      </c>
      <c r="T590" s="104"/>
      <c r="U590" s="423" t="s">
        <v>1075</v>
      </c>
      <c r="V590" s="418"/>
      <c r="W590" s="418"/>
      <c r="X590" s="539"/>
      <c r="Y590" s="539"/>
      <c r="Z590" s="539"/>
    </row>
    <row r="591" spans="1:26" s="70" customFormat="1" ht="14.25" customHeight="1">
      <c r="A591" s="418" t="s">
        <v>38</v>
      </c>
      <c r="B591" s="418" t="s">
        <v>167</v>
      </c>
      <c r="C591" s="418" t="s">
        <v>168</v>
      </c>
      <c r="D591" s="470" t="s">
        <v>2896</v>
      </c>
      <c r="E591" s="70" t="s">
        <v>1608</v>
      </c>
      <c r="F591" s="418" t="s">
        <v>1844</v>
      </c>
      <c r="G591" s="70" t="s">
        <v>1845</v>
      </c>
      <c r="H591" s="70" t="s">
        <v>42</v>
      </c>
      <c r="I591" s="70" t="s">
        <v>2725</v>
      </c>
      <c r="J591" s="70" t="s">
        <v>44</v>
      </c>
      <c r="K591" s="418" t="s">
        <v>44</v>
      </c>
      <c r="L591" s="418" t="s">
        <v>44</v>
      </c>
      <c r="M591" s="70" t="s">
        <v>45</v>
      </c>
      <c r="N591" s="418">
        <v>27.337499999999999</v>
      </c>
      <c r="O591" s="418">
        <v>97.416121000000004</v>
      </c>
      <c r="P591" s="70" t="s">
        <v>761</v>
      </c>
      <c r="Q591" s="70" t="s">
        <v>780</v>
      </c>
      <c r="R591" s="421">
        <v>61</v>
      </c>
      <c r="S591" s="421">
        <v>281</v>
      </c>
      <c r="T591" s="104"/>
      <c r="U591" s="100"/>
      <c r="V591" s="70" t="s">
        <v>1082</v>
      </c>
      <c r="W591" s="418"/>
      <c r="X591" s="539"/>
      <c r="Y591" s="539"/>
      <c r="Z591" s="539"/>
    </row>
    <row r="592" spans="1:26" s="70" customFormat="1" ht="14.25" customHeight="1">
      <c r="A592" s="418" t="s">
        <v>38</v>
      </c>
      <c r="B592" s="418" t="s">
        <v>167</v>
      </c>
      <c r="C592" s="418" t="s">
        <v>1076</v>
      </c>
      <c r="D592" s="470" t="s">
        <v>1655</v>
      </c>
      <c r="E592" s="70" t="s">
        <v>1605</v>
      </c>
      <c r="F592" s="70" t="s">
        <v>1728</v>
      </c>
      <c r="G592" s="70" t="s">
        <v>1729</v>
      </c>
      <c r="I592" s="70">
        <v>0</v>
      </c>
      <c r="J592" s="70" t="s">
        <v>44</v>
      </c>
      <c r="K592" s="418" t="s">
        <v>44</v>
      </c>
      <c r="L592" s="418" t="s">
        <v>760</v>
      </c>
      <c r="M592" s="70" t="s">
        <v>45</v>
      </c>
      <c r="N592" s="70">
        <v>27.270199999999999</v>
      </c>
      <c r="O592" s="418">
        <v>97.58184</v>
      </c>
      <c r="P592" s="70" t="s">
        <v>761</v>
      </c>
      <c r="R592" s="421"/>
      <c r="S592" s="422"/>
      <c r="T592" s="104"/>
      <c r="U592" s="100"/>
      <c r="V592" s="70" t="s">
        <v>1076</v>
      </c>
      <c r="W592" s="412" t="s">
        <v>2185</v>
      </c>
      <c r="X592" s="539"/>
      <c r="Y592" s="539"/>
      <c r="Z592" s="539"/>
    </row>
    <row r="593" spans="1:26" s="70" customFormat="1" ht="14.25" customHeight="1">
      <c r="A593" s="418" t="s">
        <v>38</v>
      </c>
      <c r="B593" s="418" t="s">
        <v>167</v>
      </c>
      <c r="C593" s="418" t="s">
        <v>1125</v>
      </c>
      <c r="D593" s="470" t="s">
        <v>1654</v>
      </c>
      <c r="J593" s="70" t="s">
        <v>44</v>
      </c>
      <c r="K593" s="70" t="s">
        <v>44</v>
      </c>
      <c r="L593" s="70" t="s">
        <v>1087</v>
      </c>
      <c r="M593" s="70" t="s">
        <v>45</v>
      </c>
      <c r="P593" s="70" t="s">
        <v>761</v>
      </c>
      <c r="R593" s="98"/>
      <c r="S593" s="99"/>
      <c r="T593" s="104"/>
      <c r="U593" s="100"/>
      <c r="V593" s="70" t="s">
        <v>1125</v>
      </c>
      <c r="W593" s="418"/>
      <c r="X593" s="539"/>
      <c r="Y593" s="539"/>
      <c r="Z593" s="539"/>
    </row>
    <row r="594" spans="1:26" s="70" customFormat="1" ht="14.25" customHeight="1">
      <c r="A594" s="418" t="s">
        <v>38</v>
      </c>
      <c r="B594" s="419" t="s">
        <v>167</v>
      </c>
      <c r="C594" s="419" t="s">
        <v>1080</v>
      </c>
      <c r="D594" s="470" t="s">
        <v>2896</v>
      </c>
      <c r="E594" s="70" t="s">
        <v>1607</v>
      </c>
      <c r="F594" s="70" t="s">
        <v>1844</v>
      </c>
      <c r="G594" s="70" t="s">
        <v>1870</v>
      </c>
      <c r="I594" s="419" t="s">
        <v>2141</v>
      </c>
      <c r="J594" s="70" t="s">
        <v>44</v>
      </c>
      <c r="K594" s="70" t="s">
        <v>44</v>
      </c>
      <c r="L594" s="70" t="s">
        <v>772</v>
      </c>
      <c r="M594" s="70" t="s">
        <v>45</v>
      </c>
      <c r="N594" s="70">
        <v>27.311699999999998</v>
      </c>
      <c r="O594" s="70">
        <v>97.415289999999999</v>
      </c>
      <c r="P594" s="70" t="s">
        <v>773</v>
      </c>
      <c r="Q594" s="70" t="s">
        <v>762</v>
      </c>
      <c r="R594" s="421">
        <v>17</v>
      </c>
      <c r="S594" s="421">
        <v>92</v>
      </c>
      <c r="T594" s="104"/>
      <c r="U594" s="100" t="s">
        <v>1081</v>
      </c>
      <c r="V594" s="70" t="s">
        <v>1080</v>
      </c>
      <c r="W594" s="418"/>
      <c r="X594" s="539"/>
      <c r="Y594" s="539"/>
      <c r="Z594" s="539"/>
    </row>
    <row r="595" spans="1:26" s="70" customFormat="1" ht="14.25" customHeight="1">
      <c r="A595" s="422" t="s">
        <v>38</v>
      </c>
      <c r="B595" s="425" t="s">
        <v>208</v>
      </c>
      <c r="C595" s="426" t="s">
        <v>2038</v>
      </c>
      <c r="D595" s="420"/>
      <c r="J595" s="70" t="s">
        <v>1449</v>
      </c>
      <c r="K595" s="419" t="s">
        <v>44</v>
      </c>
      <c r="L595" s="419" t="s">
        <v>776</v>
      </c>
      <c r="M595" s="70" t="s">
        <v>778</v>
      </c>
      <c r="N595" s="418"/>
      <c r="O595" s="418"/>
      <c r="P595" s="70" t="s">
        <v>761</v>
      </c>
      <c r="R595" s="429"/>
      <c r="S595" s="422"/>
      <c r="T595" s="104">
        <v>43298</v>
      </c>
      <c r="U595" s="100"/>
      <c r="W595" s="418"/>
      <c r="X595" s="539"/>
      <c r="Y595" s="539"/>
      <c r="Z595" s="539"/>
    </row>
    <row r="596" spans="1:26" s="70" customFormat="1" ht="14.25" customHeight="1">
      <c r="A596" s="422" t="s">
        <v>38</v>
      </c>
      <c r="B596" s="425" t="s">
        <v>208</v>
      </c>
      <c r="C596" s="447" t="s">
        <v>2030</v>
      </c>
      <c r="D596" s="420" t="s">
        <v>2896</v>
      </c>
      <c r="E596" s="418" t="s">
        <v>2897</v>
      </c>
      <c r="F596" s="418"/>
      <c r="G596" s="418"/>
      <c r="H596" s="418"/>
      <c r="I596" s="418"/>
      <c r="J596" s="418" t="s">
        <v>44</v>
      </c>
      <c r="K596" s="419" t="s">
        <v>44</v>
      </c>
      <c r="L596" s="419" t="s">
        <v>776</v>
      </c>
      <c r="M596" s="418" t="s">
        <v>778</v>
      </c>
      <c r="N596" s="418"/>
      <c r="O596" s="418"/>
      <c r="P596" s="418" t="s">
        <v>761</v>
      </c>
      <c r="Q596" s="418"/>
      <c r="R596" s="429">
        <v>361</v>
      </c>
      <c r="S596" s="422">
        <v>1397</v>
      </c>
      <c r="T596" s="441">
        <v>43628</v>
      </c>
      <c r="U596" s="423"/>
      <c r="V596" s="418"/>
      <c r="W596" s="418" t="s">
        <v>2898</v>
      </c>
      <c r="X596" s="539"/>
      <c r="Y596" s="539"/>
      <c r="Z596" s="539"/>
    </row>
    <row r="597" spans="1:26" s="70" customFormat="1" ht="14.25" customHeight="1">
      <c r="A597" s="418" t="s">
        <v>38</v>
      </c>
      <c r="B597" s="419" t="s">
        <v>208</v>
      </c>
      <c r="C597" s="419" t="s">
        <v>209</v>
      </c>
      <c r="D597" s="470" t="s">
        <v>2896</v>
      </c>
      <c r="E597" s="70" t="s">
        <v>1462</v>
      </c>
      <c r="F597" s="70" t="s">
        <v>1773</v>
      </c>
      <c r="G597" s="70" t="s">
        <v>1773</v>
      </c>
      <c r="H597" s="70" t="s">
        <v>42</v>
      </c>
      <c r="I597" s="70" t="s">
        <v>2724</v>
      </c>
      <c r="J597" s="70" t="s">
        <v>44</v>
      </c>
      <c r="K597" s="70" t="s">
        <v>44</v>
      </c>
      <c r="L597" s="70" t="s">
        <v>44</v>
      </c>
      <c r="M597" s="70" t="s">
        <v>45</v>
      </c>
      <c r="N597" s="70">
        <v>24.200361000000001</v>
      </c>
      <c r="O597" s="70">
        <v>96.807353000000006</v>
      </c>
      <c r="P597" s="70" t="s">
        <v>761</v>
      </c>
      <c r="Q597" s="70" t="s">
        <v>780</v>
      </c>
      <c r="R597" s="98">
        <v>47</v>
      </c>
      <c r="S597" s="421">
        <v>276</v>
      </c>
      <c r="T597" s="104"/>
      <c r="U597" s="100"/>
      <c r="V597" s="70" t="s">
        <v>209</v>
      </c>
      <c r="X597" s="539"/>
      <c r="Y597" s="539"/>
      <c r="Z597" s="539"/>
    </row>
    <row r="598" spans="1:26" s="70" customFormat="1" ht="14.25" customHeight="1">
      <c r="A598" s="418" t="s">
        <v>38</v>
      </c>
      <c r="B598" s="419" t="s">
        <v>208</v>
      </c>
      <c r="C598" s="419" t="s">
        <v>210</v>
      </c>
      <c r="D598" s="470" t="s">
        <v>2896</v>
      </c>
      <c r="E598" s="418" t="s">
        <v>1463</v>
      </c>
      <c r="F598" s="418" t="s">
        <v>1773</v>
      </c>
      <c r="G598" s="418" t="s">
        <v>1773</v>
      </c>
      <c r="H598" s="418" t="s">
        <v>42</v>
      </c>
      <c r="I598" s="418" t="s">
        <v>43</v>
      </c>
      <c r="J598" s="418" t="s">
        <v>44</v>
      </c>
      <c r="K598" s="418" t="s">
        <v>44</v>
      </c>
      <c r="L598" s="418" t="s">
        <v>44</v>
      </c>
      <c r="M598" s="418" t="s">
        <v>45</v>
      </c>
      <c r="N598" s="418">
        <v>24.200367</v>
      </c>
      <c r="O598" s="418">
        <v>96.807353000000006</v>
      </c>
      <c r="P598" s="418" t="s">
        <v>761</v>
      </c>
      <c r="Q598" s="418" t="s">
        <v>780</v>
      </c>
      <c r="R598" s="421">
        <v>47</v>
      </c>
      <c r="S598" s="421">
        <v>194</v>
      </c>
      <c r="T598" s="441"/>
      <c r="U598" s="423"/>
      <c r="V598" s="418" t="s">
        <v>210</v>
      </c>
      <c r="W598" s="418"/>
      <c r="X598" s="539"/>
      <c r="Y598" s="539"/>
      <c r="Z598" s="539"/>
    </row>
    <row r="599" spans="1:26" s="70" customFormat="1" ht="14.25" customHeight="1">
      <c r="A599" s="418" t="s">
        <v>38</v>
      </c>
      <c r="B599" s="419" t="s">
        <v>208</v>
      </c>
      <c r="C599" s="419" t="s">
        <v>1138</v>
      </c>
      <c r="D599" s="470" t="s">
        <v>1654</v>
      </c>
      <c r="E599" s="418"/>
      <c r="F599" s="418"/>
      <c r="G599" s="418"/>
      <c r="H599" s="418"/>
      <c r="I599" s="418"/>
      <c r="J599" s="418" t="s">
        <v>1087</v>
      </c>
      <c r="K599" s="418" t="s">
        <v>44</v>
      </c>
      <c r="L599" s="418" t="s">
        <v>760</v>
      </c>
      <c r="M599" s="418" t="s">
        <v>45</v>
      </c>
      <c r="N599" s="418"/>
      <c r="O599" s="418"/>
      <c r="P599" s="70" t="s">
        <v>761</v>
      </c>
      <c r="Q599" s="418"/>
      <c r="R599" s="421"/>
      <c r="S599" s="422"/>
      <c r="T599" s="441"/>
      <c r="U599" s="423"/>
      <c r="V599" s="418" t="s">
        <v>1138</v>
      </c>
      <c r="X599" s="539"/>
      <c r="Y599" s="539"/>
      <c r="Z599" s="539"/>
    </row>
    <row r="600" spans="1:26" s="70" customFormat="1" ht="14.25" customHeight="1">
      <c r="A600" s="418" t="s">
        <v>38</v>
      </c>
      <c r="B600" s="419" t="s">
        <v>208</v>
      </c>
      <c r="C600" s="419" t="s">
        <v>1002</v>
      </c>
      <c r="D600" s="470" t="s">
        <v>1654</v>
      </c>
      <c r="E600" s="70" t="s">
        <v>1471</v>
      </c>
      <c r="I600" s="70">
        <v>0</v>
      </c>
      <c r="J600" s="70" t="s">
        <v>44</v>
      </c>
      <c r="K600" s="70" t="s">
        <v>44</v>
      </c>
      <c r="L600" s="70" t="s">
        <v>760</v>
      </c>
      <c r="M600" s="70" t="s">
        <v>45</v>
      </c>
      <c r="N600" s="70">
        <v>24.224830999999998</v>
      </c>
      <c r="O600" s="70">
        <v>96.793177</v>
      </c>
      <c r="P600" s="70" t="s">
        <v>761</v>
      </c>
      <c r="Q600" s="70" t="s">
        <v>762</v>
      </c>
      <c r="R600" s="421"/>
      <c r="S600" s="99"/>
      <c r="T600" s="104">
        <v>42983</v>
      </c>
      <c r="U600" s="100" t="s">
        <v>1003</v>
      </c>
      <c r="W600" s="70" t="s">
        <v>2186</v>
      </c>
      <c r="X600" s="539"/>
      <c r="Y600" s="539"/>
      <c r="Z600" s="539"/>
    </row>
    <row r="601" spans="1:26" s="70" customFormat="1" ht="14.25" customHeight="1">
      <c r="A601" s="422" t="s">
        <v>38</v>
      </c>
      <c r="B601" s="425" t="s">
        <v>208</v>
      </c>
      <c r="C601" s="426" t="s">
        <v>2037</v>
      </c>
      <c r="D601" s="420"/>
      <c r="J601" s="70" t="s">
        <v>1449</v>
      </c>
      <c r="K601" s="419" t="s">
        <v>44</v>
      </c>
      <c r="L601" s="419" t="s">
        <v>776</v>
      </c>
      <c r="M601" s="70" t="s">
        <v>778</v>
      </c>
      <c r="N601" s="418"/>
      <c r="O601" s="418"/>
      <c r="P601" s="70" t="s">
        <v>761</v>
      </c>
      <c r="R601" s="429"/>
      <c r="S601" s="99"/>
      <c r="T601" s="104">
        <v>43298</v>
      </c>
      <c r="U601" s="100"/>
      <c r="X601" s="539"/>
      <c r="Y601" s="539"/>
      <c r="Z601" s="539"/>
    </row>
    <row r="602" spans="1:26" s="70" customFormat="1" ht="14.25" customHeight="1">
      <c r="A602" s="422" t="s">
        <v>38</v>
      </c>
      <c r="B602" s="425" t="s">
        <v>208</v>
      </c>
      <c r="C602" s="426" t="s">
        <v>2035</v>
      </c>
      <c r="D602" s="420"/>
      <c r="J602" s="70" t="s">
        <v>1449</v>
      </c>
      <c r="K602" s="419" t="s">
        <v>44</v>
      </c>
      <c r="L602" s="419" t="s">
        <v>776</v>
      </c>
      <c r="M602" s="70" t="s">
        <v>778</v>
      </c>
      <c r="P602" s="70" t="s">
        <v>761</v>
      </c>
      <c r="R602" s="429"/>
      <c r="S602" s="99"/>
      <c r="T602" s="104">
        <v>43298</v>
      </c>
      <c r="U602" s="100"/>
      <c r="X602" s="539"/>
      <c r="Y602" s="539"/>
      <c r="Z602" s="539"/>
    </row>
    <row r="603" spans="1:26" s="70" customFormat="1" ht="14.25" customHeight="1">
      <c r="A603" s="418" t="s">
        <v>38</v>
      </c>
      <c r="B603" s="418" t="s">
        <v>178</v>
      </c>
      <c r="C603" s="469" t="s">
        <v>2722</v>
      </c>
      <c r="D603" s="470" t="s">
        <v>2896</v>
      </c>
      <c r="E603" s="70" t="s">
        <v>2723</v>
      </c>
      <c r="F603" s="70">
        <v>0</v>
      </c>
      <c r="G603" s="70">
        <v>0</v>
      </c>
      <c r="I603" s="419" t="s">
        <v>2141</v>
      </c>
      <c r="J603" s="70" t="s">
        <v>44</v>
      </c>
      <c r="K603" s="70" t="s">
        <v>44</v>
      </c>
      <c r="L603" s="468" t="s">
        <v>776</v>
      </c>
      <c r="M603" s="70" t="s">
        <v>45</v>
      </c>
      <c r="N603" s="418">
        <v>25.415667500000001</v>
      </c>
      <c r="O603" s="418">
        <v>97.437782499999997</v>
      </c>
      <c r="P603" s="17" t="s">
        <v>761</v>
      </c>
      <c r="Q603" s="70" t="s">
        <v>2681</v>
      </c>
      <c r="R603" s="421">
        <v>29</v>
      </c>
      <c r="S603" s="421">
        <v>140</v>
      </c>
      <c r="T603" s="104">
        <v>43579</v>
      </c>
      <c r="U603" s="100"/>
      <c r="X603" s="539"/>
      <c r="Y603" s="539"/>
      <c r="Z603" s="539"/>
    </row>
    <row r="604" spans="1:26" s="70" customFormat="1" ht="14.25" customHeight="1">
      <c r="A604" s="418" t="s">
        <v>38</v>
      </c>
      <c r="B604" s="418" t="s">
        <v>178</v>
      </c>
      <c r="C604" s="418" t="s">
        <v>179</v>
      </c>
      <c r="D604" s="470" t="s">
        <v>2896</v>
      </c>
      <c r="E604" s="70" t="s">
        <v>1602</v>
      </c>
      <c r="F604" s="70">
        <v>0</v>
      </c>
      <c r="G604" s="70">
        <v>0</v>
      </c>
      <c r="H604" s="70" t="s">
        <v>42</v>
      </c>
      <c r="I604" s="70" t="s">
        <v>2725</v>
      </c>
      <c r="J604" s="70" t="s">
        <v>44</v>
      </c>
      <c r="K604" s="70" t="s">
        <v>44</v>
      </c>
      <c r="L604" s="70" t="s">
        <v>44</v>
      </c>
      <c r="M604" s="70" t="s">
        <v>778</v>
      </c>
      <c r="N604" s="70">
        <v>26.569633</v>
      </c>
      <c r="O604" s="70">
        <v>97.745480999999998</v>
      </c>
      <c r="P604" s="17" t="s">
        <v>761</v>
      </c>
      <c r="Q604" s="70" t="s">
        <v>762</v>
      </c>
      <c r="R604" s="421">
        <v>111</v>
      </c>
      <c r="S604" s="421">
        <v>564</v>
      </c>
      <c r="T604" s="104"/>
      <c r="U604" s="100"/>
      <c r="V604" s="70" t="s">
        <v>1071</v>
      </c>
      <c r="X604" s="539"/>
      <c r="Y604" s="539"/>
      <c r="Z604" s="539"/>
    </row>
    <row r="605" spans="1:26" s="70" customFormat="1" ht="14.25" customHeight="1">
      <c r="A605" s="418" t="s">
        <v>38</v>
      </c>
      <c r="B605" s="418" t="s">
        <v>178</v>
      </c>
      <c r="C605" s="418" t="s">
        <v>1124</v>
      </c>
      <c r="D605" s="470" t="s">
        <v>1654</v>
      </c>
      <c r="E605" s="418"/>
      <c r="F605" s="418"/>
      <c r="G605" s="418"/>
      <c r="H605" s="418"/>
      <c r="I605" s="418"/>
      <c r="J605" s="418" t="s">
        <v>44</v>
      </c>
      <c r="K605" s="418" t="s">
        <v>44</v>
      </c>
      <c r="L605" s="418" t="s">
        <v>1087</v>
      </c>
      <c r="M605" s="418" t="s">
        <v>45</v>
      </c>
      <c r="N605" s="418"/>
      <c r="O605" s="418"/>
      <c r="P605" s="70" t="s">
        <v>761</v>
      </c>
      <c r="Q605" s="418"/>
      <c r="R605" s="421"/>
      <c r="S605" s="422"/>
      <c r="T605" s="441"/>
      <c r="U605" s="423"/>
      <c r="V605" s="418" t="s">
        <v>1124</v>
      </c>
      <c r="X605" s="539"/>
      <c r="Y605" s="539"/>
      <c r="Z605" s="539"/>
    </row>
    <row r="606" spans="1:26" s="70" customFormat="1" ht="14.25" customHeight="1">
      <c r="A606" s="418" t="s">
        <v>38</v>
      </c>
      <c r="B606" s="419" t="s">
        <v>178</v>
      </c>
      <c r="C606" s="419" t="s">
        <v>181</v>
      </c>
      <c r="D606" s="470" t="s">
        <v>2896</v>
      </c>
      <c r="E606" s="70" t="s">
        <v>1601</v>
      </c>
      <c r="F606" s="70">
        <v>0</v>
      </c>
      <c r="G606" s="70">
        <v>0</v>
      </c>
      <c r="H606" s="70" t="s">
        <v>42</v>
      </c>
      <c r="I606" s="70" t="s">
        <v>2725</v>
      </c>
      <c r="J606" s="70" t="s">
        <v>44</v>
      </c>
      <c r="K606" s="70" t="s">
        <v>44</v>
      </c>
      <c r="L606" s="70" t="s">
        <v>44</v>
      </c>
      <c r="M606" s="70" t="s">
        <v>778</v>
      </c>
      <c r="N606" s="70">
        <v>26.548506</v>
      </c>
      <c r="O606" s="70">
        <v>97.75609</v>
      </c>
      <c r="P606" s="17" t="s">
        <v>761</v>
      </c>
      <c r="Q606" s="70" t="s">
        <v>762</v>
      </c>
      <c r="R606" s="421">
        <v>67</v>
      </c>
      <c r="S606" s="421">
        <v>311</v>
      </c>
      <c r="T606" s="104">
        <v>42788</v>
      </c>
      <c r="U606" s="100"/>
      <c r="W606" s="418"/>
      <c r="X606" s="539"/>
      <c r="Y606" s="539"/>
      <c r="Z606" s="539"/>
    </row>
    <row r="607" spans="1:26" s="70" customFormat="1" ht="14.25" customHeight="1">
      <c r="A607" s="418" t="s">
        <v>38</v>
      </c>
      <c r="B607" s="419" t="s">
        <v>178</v>
      </c>
      <c r="C607" s="419" t="s">
        <v>178</v>
      </c>
      <c r="D607" s="470" t="s">
        <v>2896</v>
      </c>
      <c r="E607" s="70" t="s">
        <v>1600</v>
      </c>
      <c r="F607" s="70" t="s">
        <v>1868</v>
      </c>
      <c r="G607" s="70">
        <v>0</v>
      </c>
      <c r="I607" s="419" t="s">
        <v>2141</v>
      </c>
      <c r="J607" s="70" t="s">
        <v>44</v>
      </c>
      <c r="K607" s="70" t="s">
        <v>44</v>
      </c>
      <c r="L607" s="70" t="s">
        <v>776</v>
      </c>
      <c r="M607" s="70" t="s">
        <v>45</v>
      </c>
      <c r="N607" s="70">
        <v>26.541930000000001</v>
      </c>
      <c r="O607" s="70">
        <v>97.568836000000005</v>
      </c>
      <c r="P607" s="70" t="s">
        <v>761</v>
      </c>
      <c r="Q607" s="70" t="s">
        <v>762</v>
      </c>
      <c r="R607" s="421">
        <v>5</v>
      </c>
      <c r="S607" s="421">
        <v>32</v>
      </c>
      <c r="T607" s="104"/>
      <c r="U607" s="100" t="s">
        <v>1070</v>
      </c>
      <c r="V607" s="70" t="s">
        <v>178</v>
      </c>
      <c r="X607" s="539"/>
      <c r="Y607" s="539"/>
      <c r="Z607" s="539"/>
    </row>
    <row r="608" spans="1:26" s="70" customFormat="1" ht="14.25" customHeight="1">
      <c r="A608" s="419" t="s">
        <v>38</v>
      </c>
      <c r="B608" s="419" t="s">
        <v>178</v>
      </c>
      <c r="C608" s="419" t="s">
        <v>1152</v>
      </c>
      <c r="D608" s="470" t="s">
        <v>1654</v>
      </c>
      <c r="E608" s="419"/>
      <c r="H608" s="419"/>
      <c r="I608" s="419"/>
      <c r="J608" s="419" t="s">
        <v>1449</v>
      </c>
      <c r="K608" s="419" t="s">
        <v>44</v>
      </c>
      <c r="L608" s="419" t="s">
        <v>760</v>
      </c>
      <c r="M608" s="419" t="s">
        <v>45</v>
      </c>
      <c r="N608" s="419"/>
      <c r="O608" s="419"/>
      <c r="P608" s="70" t="s">
        <v>761</v>
      </c>
      <c r="Q608" s="419" t="s">
        <v>762</v>
      </c>
      <c r="R608" s="425"/>
      <c r="S608" s="426"/>
      <c r="T608" s="442">
        <v>42788</v>
      </c>
      <c r="U608" s="427"/>
      <c r="W608" s="418"/>
      <c r="X608" s="539"/>
      <c r="Y608" s="539"/>
      <c r="Z608" s="539"/>
    </row>
    <row r="609" spans="1:26" s="70" customFormat="1" ht="14.25" customHeight="1">
      <c r="A609" s="426" t="s">
        <v>38</v>
      </c>
      <c r="B609" s="425" t="s">
        <v>1139</v>
      </c>
      <c r="C609" s="426" t="s">
        <v>1996</v>
      </c>
      <c r="D609" s="471"/>
      <c r="E609" s="419"/>
      <c r="F609" s="419"/>
      <c r="G609" s="419"/>
      <c r="H609" s="419"/>
      <c r="I609" s="419"/>
      <c r="J609" s="419" t="s">
        <v>1449</v>
      </c>
      <c r="K609" s="419" t="s">
        <v>44</v>
      </c>
      <c r="L609" s="419" t="s">
        <v>776</v>
      </c>
      <c r="M609" s="419"/>
      <c r="N609" s="419"/>
      <c r="O609" s="419"/>
      <c r="P609" s="419" t="s">
        <v>1994</v>
      </c>
      <c r="Q609" s="419" t="s">
        <v>1949</v>
      </c>
      <c r="R609" s="430"/>
      <c r="S609" s="426"/>
      <c r="T609" s="442">
        <v>43285</v>
      </c>
      <c r="U609" s="427" t="s">
        <v>2001</v>
      </c>
      <c r="V609" s="419"/>
      <c r="X609" s="539"/>
      <c r="Y609" s="539"/>
      <c r="Z609" s="539"/>
    </row>
    <row r="610" spans="1:26" s="70" customFormat="1" ht="14.25" customHeight="1">
      <c r="A610" s="426" t="s">
        <v>38</v>
      </c>
      <c r="B610" s="425" t="s">
        <v>1139</v>
      </c>
      <c r="C610" s="426" t="s">
        <v>1997</v>
      </c>
      <c r="D610" s="420"/>
      <c r="J610" s="70" t="s">
        <v>1449</v>
      </c>
      <c r="K610" s="419" t="s">
        <v>44</v>
      </c>
      <c r="L610" s="419" t="s">
        <v>776</v>
      </c>
      <c r="P610" s="70" t="s">
        <v>1994</v>
      </c>
      <c r="Q610" s="70" t="s">
        <v>1949</v>
      </c>
      <c r="R610" s="429"/>
      <c r="S610" s="422"/>
      <c r="T610" s="104">
        <v>43285</v>
      </c>
      <c r="U610" s="427" t="s">
        <v>2001</v>
      </c>
      <c r="W610" s="418"/>
      <c r="X610" s="539"/>
      <c r="Y610" s="539"/>
      <c r="Z610" s="539"/>
    </row>
    <row r="611" spans="1:26" s="70" customFormat="1" ht="14.25" customHeight="1">
      <c r="A611" s="418" t="s">
        <v>38</v>
      </c>
      <c r="B611" s="419" t="s">
        <v>1139</v>
      </c>
      <c r="C611" s="419" t="s">
        <v>2254</v>
      </c>
      <c r="D611" s="470" t="s">
        <v>2896</v>
      </c>
      <c r="E611" s="70" t="s">
        <v>1616</v>
      </c>
      <c r="F611" s="70" t="s">
        <v>1139</v>
      </c>
      <c r="G611" s="70">
        <v>0</v>
      </c>
      <c r="H611" s="70" t="s">
        <v>42</v>
      </c>
      <c r="I611" s="70" t="s">
        <v>1314</v>
      </c>
      <c r="J611" s="70" t="s">
        <v>44</v>
      </c>
      <c r="K611" s="70" t="s">
        <v>44</v>
      </c>
      <c r="L611" s="419" t="s">
        <v>44</v>
      </c>
      <c r="M611" s="70" t="s">
        <v>45</v>
      </c>
      <c r="N611" s="418">
        <v>0</v>
      </c>
      <c r="O611" s="418">
        <v>0</v>
      </c>
      <c r="P611" s="70" t="s">
        <v>761</v>
      </c>
      <c r="Q611" s="70" t="s">
        <v>926</v>
      </c>
      <c r="R611" s="421">
        <v>145</v>
      </c>
      <c r="S611" s="421">
        <v>644</v>
      </c>
      <c r="T611" s="104">
        <v>43444</v>
      </c>
      <c r="U611" s="199" t="s">
        <v>2253</v>
      </c>
      <c r="V611" s="70" t="s">
        <v>1143</v>
      </c>
      <c r="W611" s="412" t="s">
        <v>2253</v>
      </c>
      <c r="X611" s="539"/>
      <c r="Y611" s="539"/>
      <c r="Z611" s="539"/>
    </row>
    <row r="612" spans="1:26" s="70" customFormat="1" ht="14.25" customHeight="1">
      <c r="A612" s="418" t="s">
        <v>38</v>
      </c>
      <c r="B612" s="419" t="s">
        <v>1139</v>
      </c>
      <c r="C612" s="419" t="s">
        <v>1986</v>
      </c>
      <c r="D612" s="470" t="s">
        <v>2256</v>
      </c>
      <c r="E612" s="70" t="s">
        <v>1613</v>
      </c>
      <c r="F612" s="70" t="s">
        <v>1139</v>
      </c>
      <c r="G612" s="70">
        <v>0</v>
      </c>
      <c r="I612" s="70" t="s">
        <v>2141</v>
      </c>
      <c r="J612" s="70" t="s">
        <v>44</v>
      </c>
      <c r="K612" s="70" t="s">
        <v>44</v>
      </c>
      <c r="L612" s="70" t="s">
        <v>760</v>
      </c>
      <c r="M612" s="70" t="s">
        <v>45</v>
      </c>
      <c r="P612" s="70" t="s">
        <v>761</v>
      </c>
      <c r="Q612" s="70" t="s">
        <v>926</v>
      </c>
      <c r="R612" s="421"/>
      <c r="S612" s="421"/>
      <c r="T612" s="104">
        <v>43444</v>
      </c>
      <c r="U612" s="100" t="s">
        <v>2727</v>
      </c>
      <c r="W612" s="418" t="s">
        <v>2255</v>
      </c>
      <c r="X612" s="539"/>
      <c r="Y612" s="539"/>
      <c r="Z612" s="539"/>
    </row>
    <row r="613" spans="1:26" s="70" customFormat="1" ht="14.25" customHeight="1">
      <c r="A613" s="418" t="s">
        <v>38</v>
      </c>
      <c r="B613" s="419" t="s">
        <v>1139</v>
      </c>
      <c r="C613" s="419" t="s">
        <v>1141</v>
      </c>
      <c r="D613" s="470" t="s">
        <v>2896</v>
      </c>
      <c r="E613" s="70" t="s">
        <v>1614</v>
      </c>
      <c r="F613" s="70" t="s">
        <v>1139</v>
      </c>
      <c r="G613" s="70">
        <v>0</v>
      </c>
      <c r="H613" s="70" t="s">
        <v>42</v>
      </c>
      <c r="I613" s="70" t="s">
        <v>1314</v>
      </c>
      <c r="J613" s="70" t="s">
        <v>44</v>
      </c>
      <c r="K613" s="418" t="s">
        <v>44</v>
      </c>
      <c r="L613" s="419" t="s">
        <v>44</v>
      </c>
      <c r="M613" s="70" t="s">
        <v>45</v>
      </c>
      <c r="N613" s="70">
        <v>0</v>
      </c>
      <c r="O613" s="70">
        <v>0</v>
      </c>
      <c r="P613" s="70" t="s">
        <v>761</v>
      </c>
      <c r="Q613" s="70" t="s">
        <v>926</v>
      </c>
      <c r="R613" s="421">
        <v>34</v>
      </c>
      <c r="S613" s="421">
        <v>147</v>
      </c>
      <c r="T613" s="104">
        <v>42983</v>
      </c>
      <c r="U613" s="100" t="s">
        <v>1140</v>
      </c>
      <c r="W613" s="412" t="s">
        <v>2285</v>
      </c>
      <c r="X613" s="539"/>
      <c r="Y613" s="539"/>
      <c r="Z613" s="539"/>
    </row>
    <row r="614" spans="1:26" s="70" customFormat="1" ht="14.25" customHeight="1">
      <c r="A614" s="418" t="s">
        <v>38</v>
      </c>
      <c r="B614" s="419" t="s">
        <v>1139</v>
      </c>
      <c r="C614" s="419" t="s">
        <v>2137</v>
      </c>
      <c r="D614" s="470" t="s">
        <v>2896</v>
      </c>
      <c r="E614" s="70" t="s">
        <v>1615</v>
      </c>
      <c r="F614" s="70" t="s">
        <v>1139</v>
      </c>
      <c r="G614" s="70">
        <v>0</v>
      </c>
      <c r="H614" s="70" t="s">
        <v>42</v>
      </c>
      <c r="I614" s="70" t="s">
        <v>2725</v>
      </c>
      <c r="J614" s="70" t="s">
        <v>44</v>
      </c>
      <c r="K614" s="70" t="s">
        <v>44</v>
      </c>
      <c r="L614" s="70" t="s">
        <v>44</v>
      </c>
      <c r="M614" s="70" t="s">
        <v>45</v>
      </c>
      <c r="N614" s="70">
        <v>0</v>
      </c>
      <c r="O614" s="70">
        <v>0</v>
      </c>
      <c r="P614" s="70" t="s">
        <v>761</v>
      </c>
      <c r="Q614" s="70" t="s">
        <v>926</v>
      </c>
      <c r="R614" s="421">
        <v>97</v>
      </c>
      <c r="S614" s="421">
        <v>365</v>
      </c>
      <c r="T614" s="104">
        <v>42983</v>
      </c>
      <c r="U614" s="100" t="s">
        <v>1142</v>
      </c>
      <c r="W614" s="412" t="s">
        <v>2286</v>
      </c>
      <c r="X614" s="539"/>
      <c r="Y614" s="539"/>
      <c r="Z614" s="539"/>
    </row>
    <row r="615" spans="1:26" s="70" customFormat="1" ht="14.25" customHeight="1">
      <c r="A615" s="426" t="s">
        <v>38</v>
      </c>
      <c r="B615" s="425" t="s">
        <v>1139</v>
      </c>
      <c r="C615" s="419" t="s">
        <v>1958</v>
      </c>
      <c r="D615" s="420"/>
      <c r="J615" s="70" t="s">
        <v>1449</v>
      </c>
      <c r="K615" s="70" t="s">
        <v>44</v>
      </c>
      <c r="L615" s="70" t="s">
        <v>44</v>
      </c>
      <c r="M615" s="70" t="s">
        <v>45</v>
      </c>
      <c r="P615" s="70" t="s">
        <v>761</v>
      </c>
      <c r="Q615" s="70" t="s">
        <v>1949</v>
      </c>
      <c r="R615" s="429"/>
      <c r="S615" s="99"/>
      <c r="T615" s="104">
        <v>43270</v>
      </c>
      <c r="U615" s="100"/>
      <c r="W615" s="418"/>
      <c r="X615" s="539"/>
      <c r="Y615" s="539"/>
      <c r="Z615" s="539"/>
    </row>
    <row r="616" spans="1:26" s="70" customFormat="1" ht="14.25" customHeight="1">
      <c r="A616" s="418" t="s">
        <v>38</v>
      </c>
      <c r="B616" s="418" t="s">
        <v>136</v>
      </c>
      <c r="C616" s="418" t="s">
        <v>230</v>
      </c>
      <c r="D616" s="470" t="s">
        <v>2896</v>
      </c>
      <c r="E616" s="418" t="s">
        <v>1515</v>
      </c>
      <c r="F616" s="418" t="s">
        <v>1802</v>
      </c>
      <c r="G616" s="418" t="s">
        <v>1800</v>
      </c>
      <c r="H616" s="418" t="s">
        <v>42</v>
      </c>
      <c r="I616" s="418" t="s">
        <v>1314</v>
      </c>
      <c r="J616" s="418" t="s">
        <v>44</v>
      </c>
      <c r="K616" s="418" t="s">
        <v>44</v>
      </c>
      <c r="L616" s="418" t="s">
        <v>44</v>
      </c>
      <c r="M616" s="418" t="s">
        <v>778</v>
      </c>
      <c r="N616" s="418">
        <v>25.220278</v>
      </c>
      <c r="O616" s="418">
        <v>97.915833000000006</v>
      </c>
      <c r="P616" s="418" t="s">
        <v>761</v>
      </c>
      <c r="Q616" s="418" t="s">
        <v>780</v>
      </c>
      <c r="R616" s="421">
        <v>117</v>
      </c>
      <c r="S616" s="421">
        <v>421</v>
      </c>
      <c r="T616" s="441"/>
      <c r="U616" s="423"/>
      <c r="V616" s="418" t="s">
        <v>230</v>
      </c>
      <c r="W616" s="418"/>
      <c r="X616" s="539"/>
      <c r="Y616" s="539"/>
      <c r="Z616" s="539"/>
    </row>
    <row r="617" spans="1:26" s="70" customFormat="1" ht="14.25" customHeight="1">
      <c r="A617" s="418" t="s">
        <v>38</v>
      </c>
      <c r="B617" s="418" t="s">
        <v>136</v>
      </c>
      <c r="C617" s="418" t="s">
        <v>213</v>
      </c>
      <c r="D617" s="470" t="s">
        <v>1654</v>
      </c>
      <c r="J617" s="70" t="s">
        <v>1449</v>
      </c>
      <c r="K617" s="70" t="s">
        <v>44</v>
      </c>
      <c r="L617" s="70" t="s">
        <v>1027</v>
      </c>
      <c r="M617" s="70" t="s">
        <v>778</v>
      </c>
      <c r="N617" s="418"/>
      <c r="O617" s="418"/>
      <c r="P617" s="70" t="s">
        <v>761</v>
      </c>
      <c r="Q617" s="70" t="s">
        <v>780</v>
      </c>
      <c r="R617" s="421"/>
      <c r="S617" s="99"/>
      <c r="T617" s="104"/>
      <c r="U617" s="100" t="s">
        <v>1095</v>
      </c>
      <c r="V617" s="70" t="s">
        <v>213</v>
      </c>
      <c r="W617" s="418"/>
      <c r="X617" s="539"/>
      <c r="Y617" s="539"/>
      <c r="Z617" s="539"/>
    </row>
    <row r="618" spans="1:26" s="70" customFormat="1" ht="14.25" customHeight="1">
      <c r="A618" s="418" t="s">
        <v>38</v>
      </c>
      <c r="B618" s="418" t="s">
        <v>136</v>
      </c>
      <c r="C618" s="418" t="s">
        <v>214</v>
      </c>
      <c r="D618" s="470" t="s">
        <v>1654</v>
      </c>
      <c r="F618" s="418"/>
      <c r="J618" s="70" t="s">
        <v>1449</v>
      </c>
      <c r="K618" s="418" t="s">
        <v>44</v>
      </c>
      <c r="L618" s="418" t="s">
        <v>1027</v>
      </c>
      <c r="M618" s="70" t="s">
        <v>778</v>
      </c>
      <c r="P618" s="70" t="s">
        <v>761</v>
      </c>
      <c r="Q618" s="70" t="s">
        <v>780</v>
      </c>
      <c r="R618" s="98"/>
      <c r="S618" s="422"/>
      <c r="T618" s="104"/>
      <c r="U618" s="100" t="s">
        <v>1095</v>
      </c>
      <c r="V618" s="70" t="s">
        <v>214</v>
      </c>
      <c r="W618" s="418"/>
      <c r="X618" s="539"/>
      <c r="Y618" s="539"/>
      <c r="Z618" s="539"/>
    </row>
    <row r="619" spans="1:26" s="70" customFormat="1" ht="14.25" customHeight="1">
      <c r="A619" s="418" t="s">
        <v>38</v>
      </c>
      <c r="B619" s="418" t="s">
        <v>136</v>
      </c>
      <c r="C619" s="418" t="s">
        <v>1043</v>
      </c>
      <c r="D619" s="470" t="s">
        <v>2896</v>
      </c>
      <c r="E619" s="70" t="s">
        <v>1522</v>
      </c>
      <c r="F619" s="70" t="s">
        <v>1866</v>
      </c>
      <c r="G619" s="70" t="s">
        <v>1867</v>
      </c>
      <c r="I619" s="419" t="s">
        <v>2141</v>
      </c>
      <c r="J619" s="70" t="s">
        <v>44</v>
      </c>
      <c r="K619" s="70" t="s">
        <v>44</v>
      </c>
      <c r="L619" s="70" t="s">
        <v>776</v>
      </c>
      <c r="M619" s="70" t="s">
        <v>45</v>
      </c>
      <c r="N619" s="70">
        <v>25.305008999999998</v>
      </c>
      <c r="O619" s="70">
        <v>97.430321000000006</v>
      </c>
      <c r="P619" s="70" t="s">
        <v>761</v>
      </c>
      <c r="Q619" s="70" t="s">
        <v>802</v>
      </c>
      <c r="R619" s="421">
        <v>62</v>
      </c>
      <c r="S619" s="421">
        <v>410</v>
      </c>
      <c r="T619" s="104">
        <v>42916</v>
      </c>
      <c r="U619" s="100" t="s">
        <v>1044</v>
      </c>
      <c r="W619" s="418"/>
      <c r="X619" s="539"/>
      <c r="Y619" s="539"/>
      <c r="Z619" s="539"/>
    </row>
    <row r="620" spans="1:26" s="70" customFormat="1" ht="14.25" customHeight="1">
      <c r="A620" s="418" t="s">
        <v>38</v>
      </c>
      <c r="B620" s="418" t="s">
        <v>136</v>
      </c>
      <c r="C620" s="418" t="s">
        <v>262</v>
      </c>
      <c r="D620" s="470" t="s">
        <v>2896</v>
      </c>
      <c r="E620" s="70" t="s">
        <v>1524</v>
      </c>
      <c r="F620" s="70" t="s">
        <v>1807</v>
      </c>
      <c r="G620" s="70" t="s">
        <v>1807</v>
      </c>
      <c r="H620" s="70" t="s">
        <v>42</v>
      </c>
      <c r="I620" s="70" t="s">
        <v>236</v>
      </c>
      <c r="J620" s="70" t="s">
        <v>44</v>
      </c>
      <c r="K620" s="70" t="s">
        <v>44</v>
      </c>
      <c r="L620" s="70" t="s">
        <v>44</v>
      </c>
      <c r="M620" s="70" t="s">
        <v>45</v>
      </c>
      <c r="N620" s="70">
        <v>25.321710740740698</v>
      </c>
      <c r="O620" s="70">
        <v>97.404195925926004</v>
      </c>
      <c r="P620" s="70" t="s">
        <v>761</v>
      </c>
      <c r="Q620" s="70" t="s">
        <v>780</v>
      </c>
      <c r="R620" s="421">
        <v>92</v>
      </c>
      <c r="S620" s="421">
        <v>448</v>
      </c>
      <c r="T620" s="104"/>
      <c r="U620" s="100"/>
      <c r="V620" s="70" t="s">
        <v>262</v>
      </c>
      <c r="X620" s="539"/>
      <c r="Y620" s="539"/>
      <c r="Z620" s="539"/>
    </row>
    <row r="621" spans="1:26" s="70" customFormat="1" ht="14.25" customHeight="1">
      <c r="A621" s="418" t="s">
        <v>38</v>
      </c>
      <c r="B621" s="418" t="s">
        <v>136</v>
      </c>
      <c r="C621" s="418" t="s">
        <v>169</v>
      </c>
      <c r="D621" s="470" t="s">
        <v>2896</v>
      </c>
      <c r="E621" s="70" t="s">
        <v>1514</v>
      </c>
      <c r="F621" s="70" t="s">
        <v>1800</v>
      </c>
      <c r="G621" s="70" t="s">
        <v>1801</v>
      </c>
      <c r="H621" s="70" t="s">
        <v>42</v>
      </c>
      <c r="I621" s="70" t="s">
        <v>2725</v>
      </c>
      <c r="J621" s="70" t="s">
        <v>44</v>
      </c>
      <c r="K621" s="70" t="s">
        <v>44</v>
      </c>
      <c r="L621" s="70" t="s">
        <v>44</v>
      </c>
      <c r="M621" s="70" t="s">
        <v>778</v>
      </c>
      <c r="N621" s="418">
        <v>25.200333000000001</v>
      </c>
      <c r="O621" s="418">
        <v>97.807182999999995</v>
      </c>
      <c r="P621" s="70" t="s">
        <v>761</v>
      </c>
      <c r="Q621" s="70" t="s">
        <v>780</v>
      </c>
      <c r="R621" s="421">
        <v>136</v>
      </c>
      <c r="S621" s="421">
        <v>985</v>
      </c>
      <c r="T621" s="104"/>
      <c r="U621" s="100"/>
      <c r="V621" s="70" t="s">
        <v>169</v>
      </c>
      <c r="W621" s="418"/>
      <c r="X621" s="539"/>
      <c r="Y621" s="539"/>
      <c r="Z621" s="539"/>
    </row>
    <row r="622" spans="1:26" s="70" customFormat="1" ht="14.25" customHeight="1">
      <c r="A622" s="418" t="s">
        <v>38</v>
      </c>
      <c r="B622" s="418" t="s">
        <v>136</v>
      </c>
      <c r="C622" s="418" t="s">
        <v>218</v>
      </c>
      <c r="D622" s="470" t="s">
        <v>2896</v>
      </c>
      <c r="E622" s="70" t="s">
        <v>1502</v>
      </c>
      <c r="F622" s="418" t="s">
        <v>1707</v>
      </c>
      <c r="G622" s="70">
        <v>0</v>
      </c>
      <c r="I622" s="419" t="s">
        <v>2141</v>
      </c>
      <c r="J622" s="70" t="s">
        <v>44</v>
      </c>
      <c r="K622" s="70" t="s">
        <v>44</v>
      </c>
      <c r="L622" s="70" t="s">
        <v>1027</v>
      </c>
      <c r="M622" s="70" t="s">
        <v>778</v>
      </c>
      <c r="N622" s="418">
        <v>24.752471</v>
      </c>
      <c r="O622" s="418">
        <v>97.541793999999996</v>
      </c>
      <c r="P622" s="70" t="s">
        <v>761</v>
      </c>
      <c r="Q622" s="70" t="s">
        <v>762</v>
      </c>
      <c r="R622" s="98">
        <v>0</v>
      </c>
      <c r="S622" s="421">
        <v>872</v>
      </c>
      <c r="T622" s="104"/>
      <c r="U622" s="100"/>
      <c r="V622" s="70" t="s">
        <v>218</v>
      </c>
      <c r="W622" s="418"/>
      <c r="X622" s="539"/>
      <c r="Y622" s="539"/>
      <c r="Z622" s="539"/>
    </row>
    <row r="623" spans="1:26" s="70" customFormat="1" ht="14.25" customHeight="1">
      <c r="A623" s="418" t="s">
        <v>38</v>
      </c>
      <c r="B623" s="418" t="s">
        <v>136</v>
      </c>
      <c r="C623" s="418" t="s">
        <v>1025</v>
      </c>
      <c r="D623" s="470" t="s">
        <v>1655</v>
      </c>
      <c r="E623" s="70" t="s">
        <v>1501</v>
      </c>
      <c r="F623" s="70" t="s">
        <v>1707</v>
      </c>
      <c r="G623" s="70" t="s">
        <v>1707</v>
      </c>
      <c r="H623" s="70" t="s">
        <v>42</v>
      </c>
      <c r="I623" s="70" t="s">
        <v>1314</v>
      </c>
      <c r="J623" s="70" t="s">
        <v>44</v>
      </c>
      <c r="K623" s="70" t="s">
        <v>44</v>
      </c>
      <c r="L623" s="70" t="s">
        <v>760</v>
      </c>
      <c r="M623" s="70" t="s">
        <v>778</v>
      </c>
      <c r="N623" s="418">
        <v>24.747212999999999</v>
      </c>
      <c r="O623" s="418">
        <v>97.551507000000001</v>
      </c>
      <c r="P623" s="70" t="s">
        <v>761</v>
      </c>
      <c r="R623" s="98"/>
      <c r="S623" s="99"/>
      <c r="T623" s="104"/>
      <c r="U623" s="100"/>
      <c r="V623" s="418" t="s">
        <v>1026</v>
      </c>
      <c r="W623" s="412" t="s">
        <v>2187</v>
      </c>
      <c r="X623" s="539"/>
      <c r="Y623" s="539"/>
      <c r="Z623" s="539"/>
    </row>
    <row r="624" spans="1:26" s="70" customFormat="1" ht="14.25" customHeight="1">
      <c r="A624" s="418" t="s">
        <v>38</v>
      </c>
      <c r="B624" s="418" t="s">
        <v>136</v>
      </c>
      <c r="C624" s="418" t="s">
        <v>1039</v>
      </c>
      <c r="D624" s="470" t="s">
        <v>1654</v>
      </c>
      <c r="E624" s="418" t="s">
        <v>1513</v>
      </c>
      <c r="F624" s="418"/>
      <c r="G624" s="418"/>
      <c r="H624" s="418"/>
      <c r="I624" s="418"/>
      <c r="J624" s="70" t="s">
        <v>44</v>
      </c>
      <c r="K624" s="70" t="s">
        <v>44</v>
      </c>
      <c r="L624" s="70" t="s">
        <v>760</v>
      </c>
      <c r="M624" s="418" t="s">
        <v>778</v>
      </c>
      <c r="N624" s="418">
        <v>25.108011999999999</v>
      </c>
      <c r="O624" s="418">
        <v>97.718008999999995</v>
      </c>
      <c r="P624" s="70" t="s">
        <v>761</v>
      </c>
      <c r="Q624" s="418"/>
      <c r="R624" s="421"/>
      <c r="S624" s="422"/>
      <c r="T624" s="441"/>
      <c r="U624" s="423"/>
      <c r="V624" s="418" t="s">
        <v>1039</v>
      </c>
      <c r="X624" s="539"/>
      <c r="Y624" s="539"/>
      <c r="Z624" s="539"/>
    </row>
    <row r="625" spans="1:26" s="70" customFormat="1" ht="14.25" customHeight="1">
      <c r="A625" s="418" t="s">
        <v>38</v>
      </c>
      <c r="B625" s="418" t="s">
        <v>136</v>
      </c>
      <c r="C625" s="418" t="s">
        <v>170</v>
      </c>
      <c r="D625" s="470" t="s">
        <v>2896</v>
      </c>
      <c r="E625" s="418" t="s">
        <v>1534</v>
      </c>
      <c r="F625" s="418" t="s">
        <v>1812</v>
      </c>
      <c r="G625" s="418" t="s">
        <v>1813</v>
      </c>
      <c r="H625" s="418" t="s">
        <v>42</v>
      </c>
      <c r="I625" s="418" t="s">
        <v>2725</v>
      </c>
      <c r="J625" s="418" t="s">
        <v>44</v>
      </c>
      <c r="K625" s="418" t="s">
        <v>44</v>
      </c>
      <c r="L625" s="418" t="s">
        <v>44</v>
      </c>
      <c r="M625" s="418" t="s">
        <v>45</v>
      </c>
      <c r="N625" s="418">
        <v>25.356632000000001</v>
      </c>
      <c r="O625" s="418">
        <v>97.451965000000001</v>
      </c>
      <c r="P625" s="418" t="s">
        <v>761</v>
      </c>
      <c r="Q625" s="418" t="s">
        <v>780</v>
      </c>
      <c r="R625" s="421">
        <v>32</v>
      </c>
      <c r="S625" s="421">
        <v>196</v>
      </c>
      <c r="T625" s="441"/>
      <c r="U625" s="423"/>
      <c r="V625" s="418" t="s">
        <v>170</v>
      </c>
      <c r="W625" s="418"/>
      <c r="X625" s="539"/>
      <c r="Y625" s="539"/>
      <c r="Z625" s="539"/>
    </row>
    <row r="626" spans="1:26" s="70" customFormat="1" ht="14.25" customHeight="1">
      <c r="A626" s="418" t="s">
        <v>38</v>
      </c>
      <c r="B626" s="418" t="s">
        <v>136</v>
      </c>
      <c r="C626" s="418" t="s">
        <v>171</v>
      </c>
      <c r="D626" s="470" t="s">
        <v>2896</v>
      </c>
      <c r="E626" s="70" t="s">
        <v>1508</v>
      </c>
      <c r="F626" s="70" t="s">
        <v>1797</v>
      </c>
      <c r="G626" s="70" t="s">
        <v>1799</v>
      </c>
      <c r="H626" s="70" t="s">
        <v>42</v>
      </c>
      <c r="I626" s="70" t="s">
        <v>1314</v>
      </c>
      <c r="J626" s="70" t="s">
        <v>44</v>
      </c>
      <c r="K626" s="418" t="s">
        <v>968</v>
      </c>
      <c r="L626" s="418" t="s">
        <v>44</v>
      </c>
      <c r="M626" s="70" t="s">
        <v>778</v>
      </c>
      <c r="N626" s="418">
        <v>24.980250000000002</v>
      </c>
      <c r="O626" s="418">
        <v>97.715230000000005</v>
      </c>
      <c r="P626" s="17" t="s">
        <v>761</v>
      </c>
      <c r="Q626" s="70" t="s">
        <v>780</v>
      </c>
      <c r="R626" s="98">
        <v>407</v>
      </c>
      <c r="S626" s="421">
        <v>1731</v>
      </c>
      <c r="T626" s="104"/>
      <c r="U626" s="100" t="s">
        <v>1032</v>
      </c>
      <c r="V626" s="70" t="s">
        <v>171</v>
      </c>
      <c r="X626" s="539"/>
      <c r="Y626" s="539"/>
      <c r="Z626" s="539"/>
    </row>
    <row r="627" spans="1:26" s="70" customFormat="1" ht="14.25" customHeight="1">
      <c r="A627" s="418" t="s">
        <v>38</v>
      </c>
      <c r="B627" s="418" t="s">
        <v>136</v>
      </c>
      <c r="C627" s="418" t="s">
        <v>263</v>
      </c>
      <c r="D627" s="470" t="s">
        <v>2896</v>
      </c>
      <c r="E627" s="70" t="s">
        <v>1560</v>
      </c>
      <c r="F627" s="70" t="s">
        <v>1820</v>
      </c>
      <c r="G627" s="70" t="s">
        <v>1820</v>
      </c>
      <c r="H627" s="70" t="s">
        <v>42</v>
      </c>
      <c r="I627" s="70" t="s">
        <v>236</v>
      </c>
      <c r="J627" s="70" t="s">
        <v>44</v>
      </c>
      <c r="K627" s="418" t="s">
        <v>44</v>
      </c>
      <c r="L627" s="418" t="s">
        <v>44</v>
      </c>
      <c r="M627" s="70" t="s">
        <v>45</v>
      </c>
      <c r="N627" s="418">
        <v>25.424529444444399</v>
      </c>
      <c r="O627" s="418">
        <v>97.433419259259296</v>
      </c>
      <c r="P627" s="418" t="s">
        <v>761</v>
      </c>
      <c r="Q627" s="70" t="s">
        <v>780</v>
      </c>
      <c r="R627" s="98">
        <v>346</v>
      </c>
      <c r="S627" s="421">
        <v>2059</v>
      </c>
      <c r="T627" s="104"/>
      <c r="U627" s="100"/>
      <c r="V627" s="70" t="s">
        <v>263</v>
      </c>
      <c r="W627" s="418"/>
      <c r="X627" s="539"/>
      <c r="Y627" s="539"/>
      <c r="Z627" s="539"/>
    </row>
    <row r="628" spans="1:26" s="70" customFormat="1" ht="14.25" customHeight="1">
      <c r="A628" s="418" t="s">
        <v>38</v>
      </c>
      <c r="B628" s="418" t="s">
        <v>136</v>
      </c>
      <c r="C628" s="418" t="s">
        <v>231</v>
      </c>
      <c r="D628" s="470" t="s">
        <v>2896</v>
      </c>
      <c r="E628" s="424" t="s">
        <v>1554</v>
      </c>
      <c r="F628" s="418" t="s">
        <v>1820</v>
      </c>
      <c r="G628" s="70" t="s">
        <v>1820</v>
      </c>
      <c r="H628" s="70" t="s">
        <v>42</v>
      </c>
      <c r="I628" s="70" t="s">
        <v>1314</v>
      </c>
      <c r="J628" s="70" t="s">
        <v>44</v>
      </c>
      <c r="K628" s="70" t="s">
        <v>44</v>
      </c>
      <c r="L628" s="70" t="s">
        <v>44</v>
      </c>
      <c r="M628" s="70" t="s">
        <v>45</v>
      </c>
      <c r="N628" s="418">
        <v>25.415667500000001</v>
      </c>
      <c r="O628" s="418">
        <v>97.437782499999997</v>
      </c>
      <c r="P628" s="70" t="s">
        <v>761</v>
      </c>
      <c r="Q628" s="70" t="s">
        <v>780</v>
      </c>
      <c r="R628" s="421">
        <v>327</v>
      </c>
      <c r="S628" s="421">
        <v>1785</v>
      </c>
      <c r="T628" s="104"/>
      <c r="U628" s="100"/>
      <c r="V628" s="70" t="s">
        <v>231</v>
      </c>
      <c r="X628" s="539"/>
      <c r="Y628" s="539"/>
      <c r="Z628" s="539"/>
    </row>
    <row r="629" spans="1:26" s="70" customFormat="1" ht="14.25" customHeight="1">
      <c r="A629" s="418" t="s">
        <v>38</v>
      </c>
      <c r="B629" s="418" t="s">
        <v>136</v>
      </c>
      <c r="C629" s="418" t="s">
        <v>172</v>
      </c>
      <c r="D629" s="470" t="s">
        <v>2896</v>
      </c>
      <c r="E629" s="70" t="s">
        <v>1551</v>
      </c>
      <c r="F629" s="70" t="s">
        <v>1820</v>
      </c>
      <c r="G629" s="70" t="s">
        <v>1820</v>
      </c>
      <c r="H629" s="70" t="s">
        <v>42</v>
      </c>
      <c r="I629" s="70" t="s">
        <v>2725</v>
      </c>
      <c r="J629" s="70" t="s">
        <v>44</v>
      </c>
      <c r="K629" s="70" t="s">
        <v>44</v>
      </c>
      <c r="L629" s="70" t="s">
        <v>44</v>
      </c>
      <c r="M629" s="70" t="s">
        <v>45</v>
      </c>
      <c r="N629" s="418">
        <v>25.4118005797101</v>
      </c>
      <c r="O629" s="418">
        <v>97.434855869565197</v>
      </c>
      <c r="P629" s="70" t="s">
        <v>761</v>
      </c>
      <c r="Q629" s="70" t="s">
        <v>780</v>
      </c>
      <c r="R629" s="98">
        <v>515</v>
      </c>
      <c r="S629" s="421">
        <v>2775</v>
      </c>
      <c r="T629" s="104"/>
      <c r="U629" s="100"/>
      <c r="V629" s="418" t="s">
        <v>172</v>
      </c>
      <c r="W629" s="412" t="s">
        <v>2287</v>
      </c>
      <c r="X629" s="539"/>
      <c r="Y629" s="539"/>
      <c r="Z629" s="539"/>
    </row>
    <row r="630" spans="1:26" s="70" customFormat="1" ht="14.25" customHeight="1">
      <c r="A630" s="418" t="s">
        <v>38</v>
      </c>
      <c r="B630" s="418" t="s">
        <v>136</v>
      </c>
      <c r="C630" s="70" t="s">
        <v>173</v>
      </c>
      <c r="D630" s="470" t="s">
        <v>2896</v>
      </c>
      <c r="E630" s="70" t="s">
        <v>1549</v>
      </c>
      <c r="F630" s="70" t="s">
        <v>1820</v>
      </c>
      <c r="G630" s="70" t="s">
        <v>1820</v>
      </c>
      <c r="H630" s="70" t="s">
        <v>42</v>
      </c>
      <c r="I630" s="70" t="s">
        <v>2725</v>
      </c>
      <c r="J630" s="70" t="s">
        <v>44</v>
      </c>
      <c r="K630" s="70" t="s">
        <v>44</v>
      </c>
      <c r="L630" s="70" t="s">
        <v>44</v>
      </c>
      <c r="M630" s="70" t="s">
        <v>45</v>
      </c>
      <c r="N630" s="418">
        <v>25.409612685185198</v>
      </c>
      <c r="O630" s="418">
        <v>97.426536944444507</v>
      </c>
      <c r="P630" s="70" t="s">
        <v>761</v>
      </c>
      <c r="Q630" s="70" t="s">
        <v>780</v>
      </c>
      <c r="R630" s="98">
        <v>55</v>
      </c>
      <c r="S630" s="421">
        <v>250</v>
      </c>
      <c r="T630" s="104"/>
      <c r="U630" s="100"/>
      <c r="V630" s="70" t="s">
        <v>173</v>
      </c>
      <c r="W630" s="412" t="s">
        <v>2288</v>
      </c>
      <c r="X630" s="539"/>
      <c r="Y630" s="539"/>
      <c r="Z630" s="539"/>
    </row>
    <row r="631" spans="1:26" s="70" customFormat="1" ht="14.25" customHeight="1">
      <c r="A631" s="418" t="s">
        <v>38</v>
      </c>
      <c r="B631" s="418" t="s">
        <v>136</v>
      </c>
      <c r="C631" s="418" t="s">
        <v>264</v>
      </c>
      <c r="D631" s="470" t="s">
        <v>2896</v>
      </c>
      <c r="E631" s="70" t="s">
        <v>1531</v>
      </c>
      <c r="F631" s="418" t="s">
        <v>1810</v>
      </c>
      <c r="G631" s="70" t="s">
        <v>1811</v>
      </c>
      <c r="H631" s="70" t="s">
        <v>42</v>
      </c>
      <c r="I631" s="70" t="s">
        <v>236</v>
      </c>
      <c r="J631" s="418" t="s">
        <v>44</v>
      </c>
      <c r="K631" s="418" t="s">
        <v>44</v>
      </c>
      <c r="L631" s="418" t="s">
        <v>44</v>
      </c>
      <c r="M631" s="70" t="s">
        <v>45</v>
      </c>
      <c r="N631" s="418">
        <v>25.351965</v>
      </c>
      <c r="O631" s="418">
        <v>97.345039</v>
      </c>
      <c r="P631" s="70" t="s">
        <v>761</v>
      </c>
      <c r="Q631" s="70" t="s">
        <v>780</v>
      </c>
      <c r="R631" s="421">
        <v>19</v>
      </c>
      <c r="S631" s="421">
        <v>82</v>
      </c>
      <c r="T631" s="104"/>
      <c r="U631" s="100"/>
      <c r="V631" s="70" t="s">
        <v>264</v>
      </c>
      <c r="X631" s="539"/>
      <c r="Y631" s="539"/>
      <c r="Z631" s="539"/>
    </row>
    <row r="632" spans="1:26" s="70" customFormat="1" ht="14.25" customHeight="1">
      <c r="A632" s="418" t="s">
        <v>38</v>
      </c>
      <c r="B632" s="418" t="s">
        <v>136</v>
      </c>
      <c r="C632" s="418" t="s">
        <v>174</v>
      </c>
      <c r="D632" s="470" t="s">
        <v>2896</v>
      </c>
      <c r="E632" s="70" t="s">
        <v>1507</v>
      </c>
      <c r="F632" s="70" t="s">
        <v>1797</v>
      </c>
      <c r="G632" s="70" t="s">
        <v>1798</v>
      </c>
      <c r="H632" s="70" t="s">
        <v>42</v>
      </c>
      <c r="I632" s="70" t="s">
        <v>2725</v>
      </c>
      <c r="J632" s="70" t="s">
        <v>44</v>
      </c>
      <c r="K632" s="70" t="s">
        <v>968</v>
      </c>
      <c r="L632" s="70" t="s">
        <v>44</v>
      </c>
      <c r="M632" s="70" t="s">
        <v>778</v>
      </c>
      <c r="N632" s="418">
        <v>24.831944</v>
      </c>
      <c r="O632" s="418">
        <v>97.751389000000003</v>
      </c>
      <c r="P632" s="70" t="s">
        <v>761</v>
      </c>
      <c r="Q632" s="70" t="s">
        <v>780</v>
      </c>
      <c r="R632" s="98">
        <v>185</v>
      </c>
      <c r="S632" s="421">
        <v>943</v>
      </c>
      <c r="T632" s="104"/>
      <c r="U632" s="100" t="s">
        <v>1032</v>
      </c>
      <c r="V632" s="70" t="s">
        <v>1033</v>
      </c>
      <c r="X632" s="539"/>
      <c r="Y632" s="539"/>
      <c r="Z632" s="539"/>
    </row>
    <row r="633" spans="1:26" s="70" customFormat="1" ht="14.25" customHeight="1">
      <c r="A633" s="418" t="s">
        <v>38</v>
      </c>
      <c r="B633" s="418" t="s">
        <v>136</v>
      </c>
      <c r="C633" s="418" t="s">
        <v>232</v>
      </c>
      <c r="D633" s="470" t="s">
        <v>2896</v>
      </c>
      <c r="E633" s="70" t="s">
        <v>1518</v>
      </c>
      <c r="F633" s="70" t="s">
        <v>1800</v>
      </c>
      <c r="G633" s="70" t="s">
        <v>1800</v>
      </c>
      <c r="H633" s="70" t="s">
        <v>42</v>
      </c>
      <c r="I633" s="70" t="s">
        <v>1314</v>
      </c>
      <c r="J633" s="70" t="s">
        <v>44</v>
      </c>
      <c r="K633" s="70" t="s">
        <v>44</v>
      </c>
      <c r="L633" s="70" t="s">
        <v>44</v>
      </c>
      <c r="M633" s="70" t="s">
        <v>778</v>
      </c>
      <c r="N633" s="70">
        <v>25.265277999999999</v>
      </c>
      <c r="O633" s="70">
        <v>97.990555999999998</v>
      </c>
      <c r="P633" s="70" t="s">
        <v>761</v>
      </c>
      <c r="Q633" s="70" t="s">
        <v>780</v>
      </c>
      <c r="R633" s="421">
        <v>79</v>
      </c>
      <c r="S633" s="421">
        <v>527</v>
      </c>
      <c r="T633" s="104"/>
      <c r="U633" s="100"/>
      <c r="V633" s="70" t="s">
        <v>232</v>
      </c>
      <c r="X633" s="539"/>
      <c r="Y633" s="539"/>
      <c r="Z633" s="539"/>
    </row>
    <row r="634" spans="1:26" s="70" customFormat="1" ht="14.25" customHeight="1">
      <c r="A634" s="418" t="s">
        <v>38</v>
      </c>
      <c r="B634" s="418" t="s">
        <v>136</v>
      </c>
      <c r="C634" s="418" t="s">
        <v>265</v>
      </c>
      <c r="D634" s="470" t="s">
        <v>2896</v>
      </c>
      <c r="E634" s="70" t="s">
        <v>1532</v>
      </c>
      <c r="F634" s="418" t="s">
        <v>1714</v>
      </c>
      <c r="G634" s="70" t="s">
        <v>1704</v>
      </c>
      <c r="H634" s="70" t="s">
        <v>42</v>
      </c>
      <c r="I634" s="70" t="s">
        <v>236</v>
      </c>
      <c r="J634" s="70" t="s">
        <v>44</v>
      </c>
      <c r="K634" s="70" t="s">
        <v>44</v>
      </c>
      <c r="L634" s="70" t="s">
        <v>44</v>
      </c>
      <c r="M634" s="70" t="s">
        <v>45</v>
      </c>
      <c r="N634" s="70">
        <v>25.3540362037037</v>
      </c>
      <c r="O634" s="70">
        <v>97.441166388888902</v>
      </c>
      <c r="P634" s="70" t="s">
        <v>761</v>
      </c>
      <c r="Q634" s="70" t="s">
        <v>780</v>
      </c>
      <c r="R634" s="98">
        <v>115</v>
      </c>
      <c r="S634" s="421">
        <v>493</v>
      </c>
      <c r="T634" s="104"/>
      <c r="U634" s="100"/>
      <c r="V634" s="70" t="s">
        <v>265</v>
      </c>
      <c r="X634" s="539"/>
      <c r="Y634" s="539"/>
      <c r="Z634" s="539"/>
    </row>
    <row r="635" spans="1:26" s="70" customFormat="1" ht="14.25" customHeight="1">
      <c r="A635" s="418" t="s">
        <v>38</v>
      </c>
      <c r="B635" s="418" t="s">
        <v>136</v>
      </c>
      <c r="C635" s="418" t="s">
        <v>175</v>
      </c>
      <c r="D635" s="470" t="s">
        <v>2896</v>
      </c>
      <c r="E635" s="70" t="s">
        <v>1530</v>
      </c>
      <c r="F635" s="70" t="s">
        <v>1714</v>
      </c>
      <c r="G635" s="70" t="s">
        <v>1704</v>
      </c>
      <c r="H635" s="70" t="s">
        <v>42</v>
      </c>
      <c r="I635" s="70" t="s">
        <v>2725</v>
      </c>
      <c r="J635" s="70" t="s">
        <v>44</v>
      </c>
      <c r="K635" s="70" t="s">
        <v>44</v>
      </c>
      <c r="L635" s="70" t="s">
        <v>44</v>
      </c>
      <c r="M635" s="70" t="s">
        <v>45</v>
      </c>
      <c r="N635" s="70">
        <v>25.351724999999998</v>
      </c>
      <c r="O635" s="70">
        <v>97.438432380952406</v>
      </c>
      <c r="P635" s="70" t="s">
        <v>761</v>
      </c>
      <c r="Q635" s="70" t="s">
        <v>780</v>
      </c>
      <c r="R635" s="421">
        <v>67</v>
      </c>
      <c r="S635" s="421">
        <v>341</v>
      </c>
      <c r="T635" s="104"/>
      <c r="U635" s="100"/>
      <c r="V635" s="70" t="s">
        <v>175</v>
      </c>
      <c r="W635" s="418"/>
      <c r="X635" s="539"/>
      <c r="Y635" s="539"/>
      <c r="Z635" s="539"/>
    </row>
    <row r="636" spans="1:26" s="70" customFormat="1" ht="14.25" customHeight="1">
      <c r="A636" s="418" t="s">
        <v>38</v>
      </c>
      <c r="B636" s="418" t="s">
        <v>136</v>
      </c>
      <c r="C636" s="418" t="s">
        <v>266</v>
      </c>
      <c r="D636" s="470" t="s">
        <v>2896</v>
      </c>
      <c r="E636" s="70" t="s">
        <v>1526</v>
      </c>
      <c r="F636" s="70" t="s">
        <v>1714</v>
      </c>
      <c r="G636" s="70" t="s">
        <v>1762</v>
      </c>
      <c r="H636" s="70" t="s">
        <v>42</v>
      </c>
      <c r="I636" s="70" t="s">
        <v>236</v>
      </c>
      <c r="J636" s="70" t="s">
        <v>44</v>
      </c>
      <c r="K636" s="70" t="s">
        <v>44</v>
      </c>
      <c r="L636" s="70" t="s">
        <v>44</v>
      </c>
      <c r="M636" s="70" t="s">
        <v>45</v>
      </c>
      <c r="N636" s="70">
        <v>25.345918166666699</v>
      </c>
      <c r="O636" s="70">
        <v>97.437472666666693</v>
      </c>
      <c r="P636" s="70" t="s">
        <v>761</v>
      </c>
      <c r="Q636" s="70" t="s">
        <v>780</v>
      </c>
      <c r="R636" s="421">
        <v>36</v>
      </c>
      <c r="S636" s="421">
        <v>189</v>
      </c>
      <c r="T636" s="104"/>
      <c r="U636" s="100"/>
      <c r="V636" s="70" t="s">
        <v>266</v>
      </c>
      <c r="W636" s="418"/>
      <c r="X636" s="539"/>
      <c r="Y636" s="539"/>
      <c r="Z636" s="539"/>
    </row>
    <row r="637" spans="1:26" s="70" customFormat="1" ht="14.25" customHeight="1">
      <c r="A637" s="418" t="s">
        <v>38</v>
      </c>
      <c r="B637" s="418" t="s">
        <v>136</v>
      </c>
      <c r="C637" s="418" t="s">
        <v>267</v>
      </c>
      <c r="D637" s="470" t="s">
        <v>2132</v>
      </c>
      <c r="E637" s="418" t="s">
        <v>1527</v>
      </c>
      <c r="F637" s="70" t="s">
        <v>1714</v>
      </c>
      <c r="G637" s="70" t="s">
        <v>1808</v>
      </c>
      <c r="H637" s="70" t="s">
        <v>42</v>
      </c>
      <c r="I637" s="70" t="s">
        <v>236</v>
      </c>
      <c r="J637" s="70" t="s">
        <v>44</v>
      </c>
      <c r="K637" s="70" t="s">
        <v>44</v>
      </c>
      <c r="L637" s="70" t="s">
        <v>760</v>
      </c>
      <c r="M637" s="70" t="s">
        <v>45</v>
      </c>
      <c r="N637" s="418">
        <v>25.350809000000002</v>
      </c>
      <c r="O637" s="418">
        <v>97.432495000000003</v>
      </c>
      <c r="P637" s="70" t="s">
        <v>761</v>
      </c>
      <c r="Q637" s="70" t="s">
        <v>780</v>
      </c>
      <c r="R637" s="421"/>
      <c r="S637" s="421"/>
      <c r="T637" s="104"/>
      <c r="U637" s="100"/>
      <c r="V637" s="70" t="s">
        <v>267</v>
      </c>
      <c r="W637" s="412" t="s">
        <v>2188</v>
      </c>
      <c r="X637" s="539"/>
      <c r="Y637" s="539"/>
      <c r="Z637" s="539"/>
    </row>
    <row r="638" spans="1:26" s="70" customFormat="1" ht="14.25" customHeight="1">
      <c r="A638" s="426" t="s">
        <v>38</v>
      </c>
      <c r="B638" s="425" t="s">
        <v>136</v>
      </c>
      <c r="C638" s="419" t="s">
        <v>1050</v>
      </c>
      <c r="D638" s="470" t="s">
        <v>2896</v>
      </c>
      <c r="E638" s="419" t="s">
        <v>1979</v>
      </c>
      <c r="F638" s="418" t="s">
        <v>1050</v>
      </c>
      <c r="G638" s="70" t="s">
        <v>1050</v>
      </c>
      <c r="H638" s="419"/>
      <c r="I638" s="419" t="s">
        <v>2141</v>
      </c>
      <c r="J638" s="70" t="s">
        <v>44</v>
      </c>
      <c r="K638" s="70" t="s">
        <v>44</v>
      </c>
      <c r="L638" s="419" t="s">
        <v>776</v>
      </c>
      <c r="M638" s="70" t="s">
        <v>45</v>
      </c>
      <c r="N638" s="70">
        <v>0</v>
      </c>
      <c r="O638" s="70">
        <v>0</v>
      </c>
      <c r="P638" s="17" t="s">
        <v>761</v>
      </c>
      <c r="Q638" s="418" t="s">
        <v>1949</v>
      </c>
      <c r="R638" s="421">
        <v>85</v>
      </c>
      <c r="S638" s="421">
        <v>455</v>
      </c>
      <c r="T638" s="441">
        <v>43276</v>
      </c>
      <c r="U638" s="427"/>
      <c r="V638" s="419"/>
      <c r="W638" s="70" t="s">
        <v>2189</v>
      </c>
      <c r="X638" s="539"/>
      <c r="Y638" s="539"/>
      <c r="Z638" s="539"/>
    </row>
    <row r="639" spans="1:26" s="70" customFormat="1" ht="14.25" customHeight="1">
      <c r="A639" s="418" t="s">
        <v>38</v>
      </c>
      <c r="B639" s="419" t="s">
        <v>136</v>
      </c>
      <c r="C639" s="419" t="s">
        <v>137</v>
      </c>
      <c r="D639" s="470" t="s">
        <v>2896</v>
      </c>
      <c r="E639" s="418" t="s">
        <v>1612</v>
      </c>
      <c r="F639" s="70" t="s">
        <v>1797</v>
      </c>
      <c r="G639" s="70" t="s">
        <v>1798</v>
      </c>
      <c r="H639" s="70" t="s">
        <v>42</v>
      </c>
      <c r="I639" s="70" t="s">
        <v>2725</v>
      </c>
      <c r="J639" s="70" t="s">
        <v>44</v>
      </c>
      <c r="K639" s="419" t="s">
        <v>44</v>
      </c>
      <c r="L639" s="419" t="s">
        <v>44</v>
      </c>
      <c r="M639" s="70" t="s">
        <v>778</v>
      </c>
      <c r="N639" s="418">
        <v>0</v>
      </c>
      <c r="O639" s="418">
        <v>0</v>
      </c>
      <c r="P639" s="17" t="s">
        <v>761</v>
      </c>
      <c r="Q639" s="70" t="s">
        <v>802</v>
      </c>
      <c r="R639" s="98">
        <v>398</v>
      </c>
      <c r="S639" s="421">
        <v>1834</v>
      </c>
      <c r="T639" s="104">
        <v>42916</v>
      </c>
      <c r="U639" s="100" t="s">
        <v>1136</v>
      </c>
      <c r="W639" s="412" t="s">
        <v>2289</v>
      </c>
      <c r="X639" s="539"/>
      <c r="Y639" s="539"/>
      <c r="Z639" s="539"/>
    </row>
    <row r="640" spans="1:26" s="70" customFormat="1" ht="14.25" customHeight="1">
      <c r="A640" s="418" t="s">
        <v>38</v>
      </c>
      <c r="B640" s="419" t="s">
        <v>136</v>
      </c>
      <c r="C640" s="419" t="s">
        <v>176</v>
      </c>
      <c r="D640" s="470" t="s">
        <v>2896</v>
      </c>
      <c r="E640" s="418" t="s">
        <v>1556</v>
      </c>
      <c r="F640" s="419" t="s">
        <v>1823</v>
      </c>
      <c r="G640" s="418" t="s">
        <v>1824</v>
      </c>
      <c r="H640" s="418" t="s">
        <v>42</v>
      </c>
      <c r="I640" s="418" t="s">
        <v>2725</v>
      </c>
      <c r="J640" s="70" t="s">
        <v>44</v>
      </c>
      <c r="K640" s="70" t="s">
        <v>44</v>
      </c>
      <c r="L640" s="70" t="s">
        <v>44</v>
      </c>
      <c r="M640" s="418" t="s">
        <v>45</v>
      </c>
      <c r="N640" s="418">
        <v>25.418084</v>
      </c>
      <c r="O640" s="418">
        <v>98.025662999999994</v>
      </c>
      <c r="P640" s="70" t="s">
        <v>761</v>
      </c>
      <c r="Q640" s="418" t="s">
        <v>780</v>
      </c>
      <c r="R640" s="421">
        <v>183</v>
      </c>
      <c r="S640" s="421">
        <v>1041</v>
      </c>
      <c r="T640" s="441"/>
      <c r="U640" s="423"/>
      <c r="V640" s="418" t="s">
        <v>176</v>
      </c>
      <c r="W640" s="412" t="s">
        <v>2290</v>
      </c>
      <c r="X640" s="539"/>
      <c r="Y640" s="539"/>
      <c r="Z640" s="539"/>
    </row>
    <row r="641" spans="1:26" s="70" customFormat="1" ht="14.25" customHeight="1">
      <c r="A641" s="418" t="s">
        <v>38</v>
      </c>
      <c r="B641" s="419" t="s">
        <v>136</v>
      </c>
      <c r="C641" s="419" t="s">
        <v>268</v>
      </c>
      <c r="D641" s="470" t="s">
        <v>2896</v>
      </c>
      <c r="E641" s="418" t="s">
        <v>1525</v>
      </c>
      <c r="F641" s="418" t="s">
        <v>1714</v>
      </c>
      <c r="G641" s="418" t="s">
        <v>1808</v>
      </c>
      <c r="H641" s="418" t="s">
        <v>42</v>
      </c>
      <c r="I641" s="418" t="s">
        <v>236</v>
      </c>
      <c r="J641" s="418" t="s">
        <v>44</v>
      </c>
      <c r="K641" s="418" t="s">
        <v>44</v>
      </c>
      <c r="L641" s="418" t="s">
        <v>44</v>
      </c>
      <c r="M641" s="418" t="s">
        <v>45</v>
      </c>
      <c r="N641" s="418">
        <v>25.333683333333301</v>
      </c>
      <c r="O641" s="418">
        <v>97.428251153846105</v>
      </c>
      <c r="P641" s="418" t="s">
        <v>761</v>
      </c>
      <c r="Q641" s="418" t="s">
        <v>780</v>
      </c>
      <c r="R641" s="421">
        <v>46</v>
      </c>
      <c r="S641" s="421">
        <v>190</v>
      </c>
      <c r="T641" s="441"/>
      <c r="U641" s="423"/>
      <c r="V641" s="418" t="s">
        <v>268</v>
      </c>
      <c r="W641" s="418"/>
      <c r="X641" s="539"/>
      <c r="Y641" s="539"/>
      <c r="Z641" s="539"/>
    </row>
    <row r="642" spans="1:26" s="70" customFormat="1" ht="14.25" customHeight="1">
      <c r="A642" s="426" t="s">
        <v>38</v>
      </c>
      <c r="B642" s="425" t="s">
        <v>136</v>
      </c>
      <c r="C642" s="419" t="s">
        <v>2133</v>
      </c>
      <c r="D642" s="470" t="s">
        <v>2896</v>
      </c>
      <c r="E642" s="419" t="s">
        <v>1976</v>
      </c>
      <c r="F642" s="419"/>
      <c r="G642" s="419"/>
      <c r="H642" s="70" t="s">
        <v>42</v>
      </c>
      <c r="I642" s="70" t="s">
        <v>2725</v>
      </c>
      <c r="J642" s="70" t="s">
        <v>44</v>
      </c>
      <c r="K642" s="70" t="s">
        <v>44</v>
      </c>
      <c r="L642" s="70" t="s">
        <v>44</v>
      </c>
      <c r="M642" s="70" t="s">
        <v>45</v>
      </c>
      <c r="N642" s="70">
        <v>0</v>
      </c>
      <c r="O642" s="70">
        <v>0</v>
      </c>
      <c r="P642" s="419" t="s">
        <v>761</v>
      </c>
      <c r="Q642" s="70" t="s">
        <v>1949</v>
      </c>
      <c r="R642" s="98">
        <v>79</v>
      </c>
      <c r="S642" s="421">
        <v>350</v>
      </c>
      <c r="T642" s="104">
        <v>43276</v>
      </c>
      <c r="U642" s="427" t="s">
        <v>1999</v>
      </c>
      <c r="V642" s="419"/>
      <c r="W642" s="412" t="s">
        <v>2291</v>
      </c>
      <c r="X642" s="539"/>
      <c r="Y642" s="539"/>
      <c r="Z642" s="539"/>
    </row>
    <row r="643" spans="1:26" s="70" customFormat="1" ht="14.25" customHeight="1">
      <c r="A643" s="418" t="s">
        <v>38</v>
      </c>
      <c r="B643" s="419" t="s">
        <v>136</v>
      </c>
      <c r="C643" s="419" t="s">
        <v>269</v>
      </c>
      <c r="D643" s="470" t="s">
        <v>2896</v>
      </c>
      <c r="E643" s="70" t="s">
        <v>1529</v>
      </c>
      <c r="F643" s="70" t="s">
        <v>1714</v>
      </c>
      <c r="G643" s="70" t="s">
        <v>1762</v>
      </c>
      <c r="H643" s="70" t="s">
        <v>42</v>
      </c>
      <c r="I643" s="70" t="s">
        <v>236</v>
      </c>
      <c r="J643" s="70" t="s">
        <v>44</v>
      </c>
      <c r="K643" s="70" t="s">
        <v>44</v>
      </c>
      <c r="L643" s="70" t="s">
        <v>44</v>
      </c>
      <c r="M643" s="70" t="s">
        <v>45</v>
      </c>
      <c r="N643" s="70">
        <v>25.351250396825399</v>
      </c>
      <c r="O643" s="70">
        <v>97.444283730158702</v>
      </c>
      <c r="P643" s="70" t="s">
        <v>761</v>
      </c>
      <c r="Q643" s="70" t="s">
        <v>780</v>
      </c>
      <c r="R643" s="98">
        <v>67</v>
      </c>
      <c r="S643" s="421">
        <v>283</v>
      </c>
      <c r="T643" s="104"/>
      <c r="U643" s="100"/>
      <c r="V643" s="70" t="s">
        <v>269</v>
      </c>
      <c r="X643" s="539"/>
      <c r="Y643" s="539"/>
      <c r="Z643" s="539"/>
    </row>
    <row r="644" spans="1:26" s="70" customFormat="1" ht="14.25" customHeight="1">
      <c r="A644" s="418" t="s">
        <v>38</v>
      </c>
      <c r="B644" s="419" t="s">
        <v>136</v>
      </c>
      <c r="C644" s="419" t="s">
        <v>1045</v>
      </c>
      <c r="D644" s="470" t="s">
        <v>1655</v>
      </c>
      <c r="E644" s="418" t="s">
        <v>1533</v>
      </c>
      <c r="F644" s="418" t="s">
        <v>1714</v>
      </c>
      <c r="G644" s="418" t="s">
        <v>1704</v>
      </c>
      <c r="H644" s="418" t="s">
        <v>42</v>
      </c>
      <c r="I644" s="418" t="s">
        <v>135</v>
      </c>
      <c r="J644" s="418" t="s">
        <v>44</v>
      </c>
      <c r="K644" s="418" t="s">
        <v>44</v>
      </c>
      <c r="L644" s="418" t="s">
        <v>760</v>
      </c>
      <c r="M644" s="418" t="s">
        <v>45</v>
      </c>
      <c r="N644" s="418">
        <v>25.355841999999999</v>
      </c>
      <c r="O644" s="418">
        <v>97.438259000000002</v>
      </c>
      <c r="P644" s="418" t="s">
        <v>761</v>
      </c>
      <c r="Q644" s="418" t="s">
        <v>780</v>
      </c>
      <c r="R644" s="421"/>
      <c r="S644" s="422"/>
      <c r="T644" s="441"/>
      <c r="U644" s="423" t="s">
        <v>1046</v>
      </c>
      <c r="V644" s="418" t="s">
        <v>1045</v>
      </c>
      <c r="W644" s="412" t="s">
        <v>2190</v>
      </c>
      <c r="X644" s="539"/>
      <c r="Y644" s="539"/>
      <c r="Z644" s="539"/>
    </row>
    <row r="645" spans="1:26" s="70" customFormat="1" ht="14.25" customHeight="1">
      <c r="A645" s="426" t="s">
        <v>38</v>
      </c>
      <c r="B645" s="425" t="s">
        <v>136</v>
      </c>
      <c r="C645" s="419" t="s">
        <v>1959</v>
      </c>
      <c r="D645" s="471"/>
      <c r="E645" s="419"/>
      <c r="F645" s="419"/>
      <c r="G645" s="419"/>
      <c r="H645" s="419"/>
      <c r="I645" s="419"/>
      <c r="J645" s="70" t="s">
        <v>1449</v>
      </c>
      <c r="K645" s="70" t="s">
        <v>44</v>
      </c>
      <c r="L645" s="70" t="s">
        <v>44</v>
      </c>
      <c r="M645" s="70" t="s">
        <v>45</v>
      </c>
      <c r="N645" s="419"/>
      <c r="O645" s="419"/>
      <c r="P645" s="70" t="s">
        <v>761</v>
      </c>
      <c r="Q645" s="70" t="s">
        <v>1949</v>
      </c>
      <c r="R645" s="430"/>
      <c r="S645" s="426"/>
      <c r="T645" s="104">
        <v>43270</v>
      </c>
      <c r="U645" s="427"/>
      <c r="V645" s="419"/>
      <c r="W645" s="418"/>
      <c r="X645" s="539"/>
      <c r="Y645" s="539"/>
      <c r="Z645" s="539"/>
    </row>
    <row r="646" spans="1:26" s="70" customFormat="1" ht="14.25" customHeight="1">
      <c r="A646" s="418" t="s">
        <v>38</v>
      </c>
      <c r="B646" s="419" t="s">
        <v>136</v>
      </c>
      <c r="C646" s="419" t="s">
        <v>215</v>
      </c>
      <c r="D646" s="470" t="s">
        <v>2896</v>
      </c>
      <c r="E646" s="418" t="s">
        <v>1503</v>
      </c>
      <c r="F646" s="418" t="s">
        <v>1707</v>
      </c>
      <c r="G646" s="418" t="s">
        <v>1707</v>
      </c>
      <c r="H646" s="418" t="s">
        <v>42</v>
      </c>
      <c r="I646" s="418" t="s">
        <v>1314</v>
      </c>
      <c r="J646" s="70" t="s">
        <v>44</v>
      </c>
      <c r="K646" s="70" t="s">
        <v>44</v>
      </c>
      <c r="L646" s="70" t="s">
        <v>44</v>
      </c>
      <c r="M646" s="418" t="s">
        <v>778</v>
      </c>
      <c r="N646" s="418">
        <v>24.755253</v>
      </c>
      <c r="O646" s="418">
        <v>97.546893999999995</v>
      </c>
      <c r="P646" s="70" t="s">
        <v>761</v>
      </c>
      <c r="Q646" s="418" t="s">
        <v>780</v>
      </c>
      <c r="R646" s="421">
        <v>1403</v>
      </c>
      <c r="S646" s="421">
        <v>7165</v>
      </c>
      <c r="T646" s="441"/>
      <c r="U646" s="423"/>
      <c r="V646" s="418" t="s">
        <v>215</v>
      </c>
      <c r="W646" s="412" t="s">
        <v>2292</v>
      </c>
      <c r="X646" s="539"/>
      <c r="Y646" s="539"/>
      <c r="Z646" s="539"/>
    </row>
    <row r="647" spans="1:26" s="70" customFormat="1" ht="14.25" customHeight="1">
      <c r="A647" s="418" t="s">
        <v>38</v>
      </c>
      <c r="B647" s="419" t="s">
        <v>136</v>
      </c>
      <c r="C647" s="419" t="s">
        <v>217</v>
      </c>
      <c r="D647" s="470" t="s">
        <v>1654</v>
      </c>
      <c r="E647" s="418"/>
      <c r="F647" s="418"/>
      <c r="G647" s="418"/>
      <c r="H647" s="418"/>
      <c r="I647" s="418"/>
      <c r="J647" s="70" t="s">
        <v>1449</v>
      </c>
      <c r="K647" s="70" t="s">
        <v>44</v>
      </c>
      <c r="L647" s="70" t="s">
        <v>1151</v>
      </c>
      <c r="M647" s="418" t="s">
        <v>778</v>
      </c>
      <c r="N647" s="418"/>
      <c r="O647" s="418"/>
      <c r="P647" s="70" t="s">
        <v>761</v>
      </c>
      <c r="Q647" s="418" t="s">
        <v>780</v>
      </c>
      <c r="R647" s="421"/>
      <c r="S647" s="422"/>
      <c r="T647" s="441"/>
      <c r="U647" s="423" t="s">
        <v>1095</v>
      </c>
      <c r="V647" s="418"/>
      <c r="X647" s="539"/>
      <c r="Y647" s="539"/>
      <c r="Z647" s="539"/>
    </row>
    <row r="648" spans="1:26" s="70" customFormat="1" ht="14.25" customHeight="1">
      <c r="A648" s="418" t="s">
        <v>38</v>
      </c>
      <c r="B648" s="419" t="s">
        <v>136</v>
      </c>
      <c r="C648" s="419" t="s">
        <v>216</v>
      </c>
      <c r="D648" s="470" t="s">
        <v>1654</v>
      </c>
      <c r="J648" s="70" t="s">
        <v>1449</v>
      </c>
      <c r="K648" s="70" t="s">
        <v>44</v>
      </c>
      <c r="L648" s="70" t="s">
        <v>772</v>
      </c>
      <c r="M648" s="70" t="s">
        <v>778</v>
      </c>
      <c r="P648" s="70" t="s">
        <v>773</v>
      </c>
      <c r="Q648" s="70" t="s">
        <v>780</v>
      </c>
      <c r="R648" s="98"/>
      <c r="S648" s="422"/>
      <c r="T648" s="104"/>
      <c r="U648" s="100" t="s">
        <v>1095</v>
      </c>
      <c r="X648" s="539"/>
      <c r="Y648" s="539"/>
      <c r="Z648" s="539"/>
    </row>
    <row r="649" spans="1:26" s="70" customFormat="1" ht="14.25" customHeight="1">
      <c r="A649" s="418" t="s">
        <v>38</v>
      </c>
      <c r="B649" s="419" t="s">
        <v>136</v>
      </c>
      <c r="C649" s="419" t="s">
        <v>1037</v>
      </c>
      <c r="D649" s="470" t="s">
        <v>1655</v>
      </c>
      <c r="E649" s="70" t="s">
        <v>1512</v>
      </c>
      <c r="F649" s="70" t="s">
        <v>1711</v>
      </c>
      <c r="G649" s="70" t="s">
        <v>1712</v>
      </c>
      <c r="H649" s="70" t="s">
        <v>42</v>
      </c>
      <c r="I649" s="70" t="s">
        <v>135</v>
      </c>
      <c r="J649" s="70" t="s">
        <v>44</v>
      </c>
      <c r="K649" s="418" t="s">
        <v>44</v>
      </c>
      <c r="L649" s="418" t="s">
        <v>760</v>
      </c>
      <c r="M649" s="70" t="s">
        <v>778</v>
      </c>
      <c r="N649" s="70">
        <v>25.106670000000001</v>
      </c>
      <c r="O649" s="70">
        <v>97.756789999999995</v>
      </c>
      <c r="P649" s="70" t="s">
        <v>761</v>
      </c>
      <c r="Q649" s="70" t="s">
        <v>780</v>
      </c>
      <c r="R649" s="421"/>
      <c r="S649" s="99"/>
      <c r="T649" s="104"/>
      <c r="U649" s="100" t="s">
        <v>1032</v>
      </c>
      <c r="V649" s="70" t="s">
        <v>1038</v>
      </c>
      <c r="W649" s="412" t="s">
        <v>2191</v>
      </c>
      <c r="X649" s="539"/>
      <c r="Y649" s="539"/>
      <c r="Z649" s="539"/>
    </row>
    <row r="650" spans="1:26" s="70" customFormat="1" ht="14.25" customHeight="1">
      <c r="A650" s="418" t="s">
        <v>2705</v>
      </c>
      <c r="B650" s="418" t="s">
        <v>323</v>
      </c>
      <c r="C650" s="418" t="s">
        <v>2589</v>
      </c>
      <c r="D650" s="470"/>
      <c r="E650" s="418"/>
      <c r="F650" s="418"/>
      <c r="G650" s="418"/>
      <c r="H650" s="418"/>
      <c r="I650" s="418"/>
      <c r="J650" s="418" t="s">
        <v>2714</v>
      </c>
      <c r="K650" s="418" t="s">
        <v>2676</v>
      </c>
      <c r="L650" s="418" t="s">
        <v>2676</v>
      </c>
      <c r="M650" s="418"/>
      <c r="N650" s="418"/>
      <c r="O650" s="418"/>
      <c r="P650" s="418"/>
      <c r="Q650" s="418"/>
      <c r="R650" s="421"/>
      <c r="S650" s="422"/>
      <c r="T650" s="441"/>
      <c r="U650" s="423"/>
      <c r="V650" s="418"/>
      <c r="W650" s="418"/>
      <c r="X650" s="539"/>
      <c r="Y650" s="539"/>
      <c r="Z650" s="539"/>
    </row>
    <row r="651" spans="1:26" s="70" customFormat="1" ht="14.25" customHeight="1">
      <c r="A651" s="478" t="s">
        <v>2705</v>
      </c>
      <c r="B651" s="486" t="s">
        <v>323</v>
      </c>
      <c r="C651" s="490" t="s">
        <v>2738</v>
      </c>
      <c r="D651" s="420"/>
      <c r="E651" s="480">
        <v>198334</v>
      </c>
      <c r="F651" s="480" t="s">
        <v>2738</v>
      </c>
      <c r="G651" s="480"/>
      <c r="H651" s="480"/>
      <c r="I651" s="480"/>
      <c r="J651" s="418" t="s">
        <v>798</v>
      </c>
      <c r="K651" s="418" t="s">
        <v>798</v>
      </c>
      <c r="L651" s="418" t="s">
        <v>798</v>
      </c>
      <c r="M651" s="480"/>
      <c r="N651" s="480">
        <v>20.825700759887699</v>
      </c>
      <c r="O651" s="480">
        <v>92.542686462402301</v>
      </c>
      <c r="P651" s="480"/>
      <c r="Q651" s="480" t="s">
        <v>2681</v>
      </c>
      <c r="R651" s="481"/>
      <c r="S651" s="478"/>
      <c r="T651" s="482">
        <v>43580</v>
      </c>
      <c r="U651" s="483" t="s">
        <v>2735</v>
      </c>
      <c r="V651" s="484"/>
      <c r="W651" s="421"/>
      <c r="X651" s="539"/>
      <c r="Y651" s="539"/>
      <c r="Z651" s="539"/>
    </row>
    <row r="652" spans="1:26" s="70" customFormat="1" ht="14.25" customHeight="1">
      <c r="A652" s="418" t="s">
        <v>2705</v>
      </c>
      <c r="B652" s="419" t="s">
        <v>323</v>
      </c>
      <c r="C652" s="419" t="s">
        <v>631</v>
      </c>
      <c r="D652" s="470" t="s">
        <v>1654</v>
      </c>
      <c r="E652" s="70">
        <v>198334</v>
      </c>
      <c r="J652" s="70" t="s">
        <v>2714</v>
      </c>
      <c r="K652" s="70" t="s">
        <v>2676</v>
      </c>
      <c r="L652" s="70" t="s">
        <v>2676</v>
      </c>
      <c r="M652" s="70" t="s">
        <v>795</v>
      </c>
      <c r="N652" s="70">
        <v>20.82570076</v>
      </c>
      <c r="O652" s="70">
        <v>92.542686459999999</v>
      </c>
      <c r="P652" s="70" t="s">
        <v>799</v>
      </c>
      <c r="Q652" s="70" t="s">
        <v>780</v>
      </c>
      <c r="R652" s="98"/>
      <c r="S652" s="422"/>
      <c r="T652" s="104"/>
      <c r="U652" s="423"/>
      <c r="V652" s="70" t="s">
        <v>631</v>
      </c>
      <c r="W652" s="418"/>
      <c r="X652" s="539"/>
      <c r="Y652" s="539"/>
      <c r="Z652" s="539"/>
    </row>
    <row r="653" spans="1:26" s="70" customFormat="1" ht="14.25" customHeight="1">
      <c r="A653" s="478" t="s">
        <v>2705</v>
      </c>
      <c r="B653" s="486" t="s">
        <v>323</v>
      </c>
      <c r="C653" s="490" t="s">
        <v>2556</v>
      </c>
      <c r="D653" s="420"/>
      <c r="E653" s="480">
        <v>198349</v>
      </c>
      <c r="F653" s="480" t="s">
        <v>2556</v>
      </c>
      <c r="G653" s="480"/>
      <c r="H653" s="480"/>
      <c r="I653" s="480"/>
      <c r="J653" s="70" t="s">
        <v>798</v>
      </c>
      <c r="K653" s="70" t="s">
        <v>798</v>
      </c>
      <c r="L653" s="70" t="s">
        <v>798</v>
      </c>
      <c r="M653" s="201" t="s">
        <v>795</v>
      </c>
      <c r="N653" s="480">
        <v>20.819919586181602</v>
      </c>
      <c r="O653" s="480">
        <v>92.589729309082003</v>
      </c>
      <c r="P653" s="480"/>
      <c r="Q653" s="480" t="s">
        <v>2681</v>
      </c>
      <c r="R653" s="481"/>
      <c r="S653" s="478"/>
      <c r="T653" s="482">
        <v>43580</v>
      </c>
      <c r="U653" s="483" t="s">
        <v>2735</v>
      </c>
      <c r="V653" s="484"/>
      <c r="W653" s="421"/>
      <c r="X653" s="539"/>
      <c r="Y653" s="539"/>
      <c r="Z653" s="539"/>
    </row>
    <row r="654" spans="1:26" s="70" customFormat="1" ht="14.25" customHeight="1">
      <c r="A654" s="418" t="s">
        <v>2705</v>
      </c>
      <c r="B654" s="418" t="s">
        <v>323</v>
      </c>
      <c r="C654" s="418" t="s">
        <v>544</v>
      </c>
      <c r="D654" s="470" t="s">
        <v>1654</v>
      </c>
      <c r="E654" s="70">
        <v>198443</v>
      </c>
      <c r="J654" s="70" t="s">
        <v>798</v>
      </c>
      <c r="K654" s="70" t="s">
        <v>798</v>
      </c>
      <c r="L654" s="70" t="s">
        <v>798</v>
      </c>
      <c r="M654" s="70" t="s">
        <v>795</v>
      </c>
      <c r="N654" s="70">
        <v>20.686819079999999</v>
      </c>
      <c r="O654" s="70">
        <v>92.57855988</v>
      </c>
      <c r="P654" s="70" t="s">
        <v>799</v>
      </c>
      <c r="Q654" s="70" t="s">
        <v>780</v>
      </c>
      <c r="R654" s="421"/>
      <c r="S654" s="99"/>
      <c r="T654" s="104"/>
      <c r="U654" s="100"/>
      <c r="V654" s="70" t="s">
        <v>544</v>
      </c>
      <c r="X654" s="539"/>
      <c r="Y654" s="539"/>
      <c r="Z654" s="539"/>
    </row>
    <row r="655" spans="1:26" s="70" customFormat="1" ht="14.25" customHeight="1">
      <c r="A655" s="418" t="s">
        <v>2705</v>
      </c>
      <c r="B655" s="418" t="s">
        <v>323</v>
      </c>
      <c r="C655" s="418" t="s">
        <v>2750</v>
      </c>
      <c r="D655" s="470" t="s">
        <v>1654</v>
      </c>
      <c r="E655" s="70">
        <v>198185</v>
      </c>
      <c r="J655" s="70" t="s">
        <v>798</v>
      </c>
      <c r="K655" s="70" t="s">
        <v>798</v>
      </c>
      <c r="L655" s="70" t="s">
        <v>798</v>
      </c>
      <c r="M655" s="70" t="s">
        <v>795</v>
      </c>
      <c r="N655" s="418">
        <v>20.961650850000002</v>
      </c>
      <c r="O655" s="418">
        <v>92.502937320000001</v>
      </c>
      <c r="P655" s="70" t="s">
        <v>799</v>
      </c>
      <c r="Q655" s="70" t="s">
        <v>780</v>
      </c>
      <c r="R655" s="98"/>
      <c r="S655" s="99"/>
      <c r="T655" s="104"/>
      <c r="U655" s="100"/>
      <c r="V655" s="70" t="s">
        <v>665</v>
      </c>
      <c r="X655" s="539"/>
      <c r="Y655" s="539"/>
      <c r="Z655" s="539"/>
    </row>
    <row r="656" spans="1:26" s="70" customFormat="1" ht="14.25" customHeight="1">
      <c r="A656" s="546" t="s">
        <v>2705</v>
      </c>
      <c r="B656" s="549" t="s">
        <v>323</v>
      </c>
      <c r="C656" s="550" t="s">
        <v>2890</v>
      </c>
      <c r="D656" s="544"/>
      <c r="E656" s="70">
        <v>198357</v>
      </c>
      <c r="J656" s="70" t="s">
        <v>798</v>
      </c>
      <c r="K656" s="70" t="s">
        <v>798</v>
      </c>
      <c r="L656" s="70" t="s">
        <v>798</v>
      </c>
      <c r="N656" s="539">
        <v>20.813840866088899</v>
      </c>
      <c r="O656" s="539">
        <v>92.599952697753906</v>
      </c>
      <c r="R656" s="553"/>
      <c r="S656" s="99"/>
      <c r="T656" s="104"/>
      <c r="U656" s="553"/>
      <c r="W656" s="545"/>
      <c r="X656" s="539"/>
      <c r="Y656" s="539"/>
      <c r="Z656" s="539"/>
    </row>
    <row r="657" spans="1:26" s="70" customFormat="1" ht="14.25" customHeight="1">
      <c r="A657" s="418" t="s">
        <v>2705</v>
      </c>
      <c r="B657" s="419" t="s">
        <v>323</v>
      </c>
      <c r="C657" s="419" t="s">
        <v>583</v>
      </c>
      <c r="D657" s="470" t="s">
        <v>1654</v>
      </c>
      <c r="E657" s="70">
        <v>198427</v>
      </c>
      <c r="J657" s="70" t="s">
        <v>798</v>
      </c>
      <c r="K657" s="70" t="s">
        <v>798</v>
      </c>
      <c r="L657" s="70" t="s">
        <v>798</v>
      </c>
      <c r="M657" s="70" t="s">
        <v>889</v>
      </c>
      <c r="N657" s="557">
        <v>20.742059709999999</v>
      </c>
      <c r="O657" s="557">
        <v>92.630676269999995</v>
      </c>
      <c r="P657" s="70" t="s">
        <v>799</v>
      </c>
      <c r="Q657" s="70" t="s">
        <v>780</v>
      </c>
      <c r="R657" s="98"/>
      <c r="S657" s="99"/>
      <c r="T657" s="104"/>
      <c r="U657" s="100"/>
      <c r="V657" s="70" t="s">
        <v>583</v>
      </c>
      <c r="X657" s="539"/>
      <c r="Y657" s="539"/>
      <c r="Z657" s="539"/>
    </row>
    <row r="658" spans="1:26" s="70" customFormat="1" ht="14.25" customHeight="1">
      <c r="A658" s="418" t="s">
        <v>2705</v>
      </c>
      <c r="B658" s="543" t="s">
        <v>323</v>
      </c>
      <c r="C658" s="543" t="s">
        <v>2563</v>
      </c>
      <c r="D658" s="470"/>
      <c r="E658" s="70">
        <v>198427</v>
      </c>
      <c r="F658" s="70" t="s">
        <v>2684</v>
      </c>
      <c r="J658" s="70" t="s">
        <v>798</v>
      </c>
      <c r="K658" s="418" t="s">
        <v>798</v>
      </c>
      <c r="L658" s="418" t="s">
        <v>798</v>
      </c>
      <c r="M658" s="70" t="s">
        <v>795</v>
      </c>
      <c r="Q658" s="70" t="s">
        <v>2681</v>
      </c>
      <c r="R658" s="98"/>
      <c r="S658" s="99"/>
      <c r="T658" s="104"/>
      <c r="U658" s="100"/>
      <c r="X658" s="539"/>
      <c r="Y658" s="539"/>
      <c r="Z658" s="539"/>
    </row>
    <row r="659" spans="1:26" s="70" customFormat="1" ht="14.25" customHeight="1">
      <c r="A659" s="539" t="s">
        <v>2705</v>
      </c>
      <c r="B659" s="539" t="s">
        <v>323</v>
      </c>
      <c r="C659" s="539" t="s">
        <v>2562</v>
      </c>
      <c r="D659" s="470"/>
      <c r="E659" s="70">
        <v>198426</v>
      </c>
      <c r="F659" s="418" t="s">
        <v>2684</v>
      </c>
      <c r="J659" s="70" t="s">
        <v>798</v>
      </c>
      <c r="K659" s="70" t="s">
        <v>798</v>
      </c>
      <c r="L659" s="70" t="s">
        <v>798</v>
      </c>
      <c r="M659" s="70" t="s">
        <v>298</v>
      </c>
      <c r="O659" s="418"/>
      <c r="Q659" s="70" t="s">
        <v>2681</v>
      </c>
      <c r="R659" s="545"/>
      <c r="S659" s="422"/>
      <c r="T659" s="104"/>
      <c r="U659" s="547"/>
      <c r="W659" s="539"/>
      <c r="X659" s="539"/>
      <c r="Y659" s="539"/>
      <c r="Z659" s="539"/>
    </row>
    <row r="660" spans="1:26" s="70" customFormat="1" ht="14.25" customHeight="1">
      <c r="A660" s="549" t="s">
        <v>2705</v>
      </c>
      <c r="B660" s="549" t="s">
        <v>323</v>
      </c>
      <c r="C660" s="550" t="s">
        <v>2859</v>
      </c>
      <c r="D660" s="544"/>
      <c r="E660" s="70">
        <v>198415</v>
      </c>
      <c r="J660" s="70" t="s">
        <v>2714</v>
      </c>
      <c r="K660" s="70" t="s">
        <v>2676</v>
      </c>
      <c r="L660" s="70" t="s">
        <v>2676</v>
      </c>
      <c r="N660" s="70">
        <v>20.734859466552699</v>
      </c>
      <c r="O660" s="70">
        <v>92.657089233398395</v>
      </c>
      <c r="R660" s="553"/>
      <c r="S660" s="422"/>
      <c r="T660" s="104">
        <v>43591</v>
      </c>
      <c r="U660" s="553"/>
      <c r="W660" s="545"/>
      <c r="X660" s="539"/>
      <c r="Y660" s="539"/>
      <c r="Z660" s="539"/>
    </row>
    <row r="661" spans="1:26" s="70" customFormat="1" ht="14.25" customHeight="1">
      <c r="A661" s="418" t="s">
        <v>2705</v>
      </c>
      <c r="B661" s="418" t="s">
        <v>323</v>
      </c>
      <c r="C661" s="418" t="s">
        <v>605</v>
      </c>
      <c r="D661" s="470" t="s">
        <v>1654</v>
      </c>
      <c r="E661" s="418">
        <v>198367</v>
      </c>
      <c r="F661" s="418"/>
      <c r="G661" s="418"/>
      <c r="H661" s="418"/>
      <c r="I661" s="418"/>
      <c r="J661" s="418" t="s">
        <v>798</v>
      </c>
      <c r="K661" s="418" t="s">
        <v>798</v>
      </c>
      <c r="L661" s="418" t="s">
        <v>798</v>
      </c>
      <c r="M661" s="418" t="s">
        <v>795</v>
      </c>
      <c r="N661" s="539">
        <v>20.792390820000001</v>
      </c>
      <c r="O661" s="539">
        <v>92.587081909999995</v>
      </c>
      <c r="P661" s="418" t="s">
        <v>799</v>
      </c>
      <c r="Q661" s="418" t="s">
        <v>780</v>
      </c>
      <c r="R661" s="421"/>
      <c r="S661" s="422"/>
      <c r="T661" s="441"/>
      <c r="U661" s="423"/>
      <c r="V661" s="418" t="s">
        <v>605</v>
      </c>
      <c r="X661" s="539"/>
      <c r="Y661" s="539"/>
      <c r="Z661" s="539"/>
    </row>
    <row r="662" spans="1:26" s="70" customFormat="1" ht="14.25" customHeight="1">
      <c r="A662" s="539" t="s">
        <v>2705</v>
      </c>
      <c r="B662" s="539" t="s">
        <v>323</v>
      </c>
      <c r="C662" s="539" t="s">
        <v>652</v>
      </c>
      <c r="D662" s="470" t="s">
        <v>1654</v>
      </c>
      <c r="E662" s="70">
        <v>198317</v>
      </c>
      <c r="J662" s="70" t="s">
        <v>798</v>
      </c>
      <c r="K662" s="70" t="s">
        <v>798</v>
      </c>
      <c r="L662" s="70" t="s">
        <v>798</v>
      </c>
      <c r="M662" s="70" t="s">
        <v>795</v>
      </c>
      <c r="N662" s="557">
        <v>20.891330719999999</v>
      </c>
      <c r="O662" s="557">
        <v>92.491966250000004</v>
      </c>
      <c r="P662" s="70" t="s">
        <v>799</v>
      </c>
      <c r="Q662" s="70" t="s">
        <v>780</v>
      </c>
      <c r="R662" s="545"/>
      <c r="S662" s="99"/>
      <c r="T662" s="104"/>
      <c r="U662" s="547"/>
      <c r="V662" s="70" t="s">
        <v>652</v>
      </c>
      <c r="W662" s="539"/>
      <c r="X662" s="539"/>
      <c r="Y662" s="539"/>
      <c r="Z662" s="539"/>
    </row>
    <row r="663" spans="1:26" s="70" customFormat="1" ht="14.25" customHeight="1">
      <c r="A663" s="549" t="s">
        <v>2705</v>
      </c>
      <c r="B663" s="549" t="s">
        <v>323</v>
      </c>
      <c r="C663" s="550" t="s">
        <v>621</v>
      </c>
      <c r="D663" s="544"/>
      <c r="E663" s="70">
        <v>217876</v>
      </c>
      <c r="J663" s="70" t="s">
        <v>2714</v>
      </c>
      <c r="K663" s="70" t="s">
        <v>2676</v>
      </c>
      <c r="L663" s="70" t="s">
        <v>2676</v>
      </c>
      <c r="M663" s="70" t="s">
        <v>298</v>
      </c>
      <c r="N663" s="70">
        <v>20.818290709999999</v>
      </c>
      <c r="O663" s="70">
        <v>92.594978330000004</v>
      </c>
      <c r="P663" s="70" t="s">
        <v>799</v>
      </c>
      <c r="R663" s="553"/>
      <c r="S663" s="99"/>
      <c r="T663" s="104">
        <v>43591</v>
      </c>
      <c r="U663" s="553"/>
      <c r="W663" s="545"/>
      <c r="X663" s="539"/>
      <c r="Y663" s="539"/>
      <c r="Z663" s="539"/>
    </row>
    <row r="664" spans="1:26" s="70" customFormat="1" ht="14.25" customHeight="1">
      <c r="A664" s="418" t="s">
        <v>2705</v>
      </c>
      <c r="B664" s="418" t="s">
        <v>323</v>
      </c>
      <c r="C664" s="418" t="s">
        <v>324</v>
      </c>
      <c r="D664" s="470" t="s">
        <v>1654</v>
      </c>
      <c r="E664" s="418"/>
      <c r="F664" s="418"/>
      <c r="G664" s="418"/>
      <c r="H664" s="418"/>
      <c r="I664" s="418"/>
      <c r="J664" s="418" t="s">
        <v>804</v>
      </c>
      <c r="K664" s="418" t="s">
        <v>798</v>
      </c>
      <c r="L664" s="418" t="s">
        <v>804</v>
      </c>
      <c r="M664" s="70" t="s">
        <v>795</v>
      </c>
      <c r="N664" s="418"/>
      <c r="P664" s="70" t="s">
        <v>923</v>
      </c>
      <c r="Q664" s="418" t="s">
        <v>802</v>
      </c>
      <c r="R664" s="421"/>
      <c r="S664" s="422"/>
      <c r="T664" s="441">
        <v>42926</v>
      </c>
      <c r="U664" s="423" t="s">
        <v>933</v>
      </c>
      <c r="W664" s="418"/>
      <c r="X664" s="539"/>
      <c r="Y664" s="539"/>
      <c r="Z664" s="539"/>
    </row>
    <row r="665" spans="1:26" s="70" customFormat="1" ht="14.25" customHeight="1">
      <c r="A665" s="418" t="s">
        <v>2705</v>
      </c>
      <c r="B665" s="418" t="s">
        <v>323</v>
      </c>
      <c r="C665" s="418" t="s">
        <v>542</v>
      </c>
      <c r="D665" s="470" t="s">
        <v>1654</v>
      </c>
      <c r="E665" s="418">
        <v>220754</v>
      </c>
      <c r="F665" s="418"/>
      <c r="G665" s="418"/>
      <c r="H665" s="418"/>
      <c r="I665" s="418"/>
      <c r="J665" s="418" t="s">
        <v>798</v>
      </c>
      <c r="K665" s="418" t="s">
        <v>798</v>
      </c>
      <c r="L665" s="418" t="s">
        <v>798</v>
      </c>
      <c r="M665" s="70" t="s">
        <v>298</v>
      </c>
      <c r="N665" s="418">
        <v>20.685689929999999</v>
      </c>
      <c r="O665" s="70">
        <v>92.572860719999994</v>
      </c>
      <c r="P665" s="70" t="s">
        <v>799</v>
      </c>
      <c r="Q665" s="418" t="s">
        <v>780</v>
      </c>
      <c r="R665" s="421"/>
      <c r="S665" s="422"/>
      <c r="T665" s="441"/>
      <c r="U665" s="423"/>
      <c r="V665" s="70" t="s">
        <v>542</v>
      </c>
      <c r="W665" s="418"/>
      <c r="X665" s="539"/>
      <c r="Y665" s="539"/>
      <c r="Z665" s="539"/>
    </row>
    <row r="666" spans="1:26" s="70" customFormat="1" ht="14.25" customHeight="1">
      <c r="A666" s="418" t="s">
        <v>2705</v>
      </c>
      <c r="B666" s="418" t="s">
        <v>323</v>
      </c>
      <c r="C666" s="418" t="s">
        <v>571</v>
      </c>
      <c r="D666" s="470" t="s">
        <v>1654</v>
      </c>
      <c r="E666" s="70">
        <v>198429</v>
      </c>
      <c r="J666" s="70" t="s">
        <v>798</v>
      </c>
      <c r="K666" s="70" t="s">
        <v>798</v>
      </c>
      <c r="L666" s="418" t="s">
        <v>798</v>
      </c>
      <c r="M666" s="70" t="s">
        <v>795</v>
      </c>
      <c r="N666" s="70">
        <v>20.721019739999999</v>
      </c>
      <c r="O666" s="70">
        <v>92.626197809999994</v>
      </c>
      <c r="P666" s="70" t="s">
        <v>799</v>
      </c>
      <c r="Q666" s="70" t="s">
        <v>780</v>
      </c>
      <c r="R666" s="421"/>
      <c r="S666" s="99"/>
      <c r="T666" s="104"/>
      <c r="U666" s="100"/>
      <c r="V666" s="70" t="s">
        <v>571</v>
      </c>
      <c r="W666" s="418"/>
      <c r="X666" s="539"/>
      <c r="Y666" s="539"/>
      <c r="Z666" s="539"/>
    </row>
    <row r="667" spans="1:26" s="70" customFormat="1" ht="14.25" customHeight="1">
      <c r="A667" s="418" t="s">
        <v>2705</v>
      </c>
      <c r="B667" s="418" t="s">
        <v>323</v>
      </c>
      <c r="C667" s="418" t="s">
        <v>651</v>
      </c>
      <c r="D667" s="470"/>
      <c r="E667" s="70">
        <v>198435</v>
      </c>
      <c r="F667" s="70" t="s">
        <v>2686</v>
      </c>
      <c r="J667" s="70" t="s">
        <v>798</v>
      </c>
      <c r="K667" s="70" t="s">
        <v>798</v>
      </c>
      <c r="L667" s="70" t="s">
        <v>798</v>
      </c>
      <c r="M667" s="70" t="s">
        <v>795</v>
      </c>
      <c r="Q667" s="70" t="s">
        <v>2681</v>
      </c>
      <c r="R667" s="421"/>
      <c r="S667" s="99"/>
      <c r="T667" s="104"/>
      <c r="U667" s="100"/>
      <c r="X667" s="539"/>
      <c r="Y667" s="539"/>
      <c r="Z667" s="539"/>
    </row>
    <row r="668" spans="1:26" s="70" customFormat="1" ht="14.25" customHeight="1">
      <c r="A668" s="418" t="s">
        <v>2705</v>
      </c>
      <c r="B668" s="539" t="s">
        <v>323</v>
      </c>
      <c r="C668" s="539" t="s">
        <v>585</v>
      </c>
      <c r="D668" s="470" t="s">
        <v>1654</v>
      </c>
      <c r="E668" s="70">
        <v>198390</v>
      </c>
      <c r="J668" s="70" t="s">
        <v>798</v>
      </c>
      <c r="K668" s="70" t="s">
        <v>798</v>
      </c>
      <c r="L668" s="70" t="s">
        <v>798</v>
      </c>
      <c r="M668" s="70" t="s">
        <v>795</v>
      </c>
      <c r="N668" s="70">
        <v>20.753370289999999</v>
      </c>
      <c r="O668" s="70">
        <v>92.545188899999999</v>
      </c>
      <c r="P668" s="70" t="s">
        <v>799</v>
      </c>
      <c r="Q668" s="70" t="s">
        <v>780</v>
      </c>
      <c r="R668" s="421"/>
      <c r="S668" s="99"/>
      <c r="T668" s="104"/>
      <c r="U668" s="100"/>
      <c r="V668" s="70" t="s">
        <v>585</v>
      </c>
      <c r="X668" s="539"/>
      <c r="Y668" s="539"/>
      <c r="Z668" s="539"/>
    </row>
    <row r="669" spans="1:26" s="70" customFormat="1" ht="14.25" customHeight="1">
      <c r="A669" s="418" t="s">
        <v>2705</v>
      </c>
      <c r="B669" s="419" t="s">
        <v>323</v>
      </c>
      <c r="C669" s="419" t="s">
        <v>2564</v>
      </c>
      <c r="D669" s="470" t="s">
        <v>1654</v>
      </c>
      <c r="E669" s="70">
        <v>198431</v>
      </c>
      <c r="F669" s="70" t="s">
        <v>2685</v>
      </c>
      <c r="J669" s="70" t="s">
        <v>798</v>
      </c>
      <c r="K669" s="70" t="s">
        <v>798</v>
      </c>
      <c r="L669" s="70" t="s">
        <v>798</v>
      </c>
      <c r="M669" s="70" t="s">
        <v>795</v>
      </c>
      <c r="N669" s="70">
        <v>20.703790659999999</v>
      </c>
      <c r="O669" s="70">
        <v>92.628463749999995</v>
      </c>
      <c r="P669" s="70" t="s">
        <v>799</v>
      </c>
      <c r="Q669" s="70" t="s">
        <v>780</v>
      </c>
      <c r="R669" s="98"/>
      <c r="S669" s="99"/>
      <c r="T669" s="104"/>
      <c r="U669" s="100"/>
      <c r="V669" s="70" t="s">
        <v>554</v>
      </c>
      <c r="X669" s="539"/>
      <c r="Y669" s="539"/>
      <c r="Z669" s="539"/>
    </row>
    <row r="670" spans="1:26" s="70" customFormat="1" ht="14.25" customHeight="1">
      <c r="A670" s="418" t="s">
        <v>2705</v>
      </c>
      <c r="B670" s="543" t="s">
        <v>323</v>
      </c>
      <c r="C670" s="543" t="s">
        <v>2565</v>
      </c>
      <c r="D670" s="470" t="s">
        <v>1654</v>
      </c>
      <c r="E670" s="70">
        <v>198428</v>
      </c>
      <c r="J670" s="70" t="s">
        <v>798</v>
      </c>
      <c r="K670" s="70" t="s">
        <v>798</v>
      </c>
      <c r="L670" s="70" t="s">
        <v>798</v>
      </c>
      <c r="M670" s="70" t="s">
        <v>298</v>
      </c>
      <c r="N670" s="70">
        <v>20.703920360000001</v>
      </c>
      <c r="O670" s="70">
        <v>92.631500239999994</v>
      </c>
      <c r="P670" s="70" t="s">
        <v>799</v>
      </c>
      <c r="Q670" s="70" t="s">
        <v>780</v>
      </c>
      <c r="R670" s="421"/>
      <c r="S670" s="99"/>
      <c r="T670" s="104"/>
      <c r="U670" s="100"/>
      <c r="V670" s="70" t="s">
        <v>555</v>
      </c>
      <c r="X670" s="539"/>
      <c r="Y670" s="539"/>
      <c r="Z670" s="539"/>
    </row>
    <row r="671" spans="1:26" s="70" customFormat="1" ht="14.25" customHeight="1">
      <c r="A671" s="418" t="s">
        <v>2705</v>
      </c>
      <c r="B671" s="418" t="s">
        <v>323</v>
      </c>
      <c r="C671" s="418" t="s">
        <v>533</v>
      </c>
      <c r="D671" s="470" t="s">
        <v>1654</v>
      </c>
      <c r="E671" s="70">
        <v>217884</v>
      </c>
      <c r="J671" s="70" t="s">
        <v>798</v>
      </c>
      <c r="K671" s="70" t="s">
        <v>798</v>
      </c>
      <c r="L671" s="70" t="s">
        <v>798</v>
      </c>
      <c r="M671" s="70" t="s">
        <v>795</v>
      </c>
      <c r="N671" s="70">
        <v>20.673639300000001</v>
      </c>
      <c r="O671" s="70">
        <v>92.596298219999994</v>
      </c>
      <c r="P671" s="70" t="s">
        <v>799</v>
      </c>
      <c r="Q671" s="70" t="s">
        <v>780</v>
      </c>
      <c r="R671" s="421"/>
      <c r="S671" s="99"/>
      <c r="T671" s="104"/>
      <c r="U671" s="100"/>
      <c r="V671" s="70" t="s">
        <v>533</v>
      </c>
      <c r="X671" s="539"/>
      <c r="Y671" s="539"/>
      <c r="Z671" s="539"/>
    </row>
    <row r="672" spans="1:26" s="70" customFormat="1" ht="14.25" customHeight="1">
      <c r="A672" s="539" t="s">
        <v>2705</v>
      </c>
      <c r="B672" s="539" t="s">
        <v>323</v>
      </c>
      <c r="C672" s="539" t="s">
        <v>2737</v>
      </c>
      <c r="D672" s="470"/>
      <c r="E672" s="539"/>
      <c r="F672" s="539"/>
      <c r="G672" s="539"/>
      <c r="H672" s="539"/>
      <c r="I672" s="539"/>
      <c r="J672" s="70" t="s">
        <v>798</v>
      </c>
      <c r="K672" s="70" t="s">
        <v>879</v>
      </c>
      <c r="L672" s="70" t="s">
        <v>879</v>
      </c>
      <c r="M672" s="539"/>
      <c r="N672" s="539"/>
      <c r="O672" s="539"/>
      <c r="P672" s="539"/>
      <c r="Q672" s="539"/>
      <c r="R672" s="545"/>
      <c r="S672" s="546"/>
      <c r="T672" s="565"/>
      <c r="U672" s="547"/>
      <c r="V672" s="539" t="s">
        <v>2892</v>
      </c>
      <c r="W672" s="539"/>
      <c r="X672" s="539"/>
      <c r="Y672" s="539"/>
      <c r="Z672" s="539"/>
    </row>
    <row r="673" spans="1:26" s="70" customFormat="1" ht="14.25" customHeight="1">
      <c r="A673" s="478" t="s">
        <v>2705</v>
      </c>
      <c r="B673" s="486" t="s">
        <v>323</v>
      </c>
      <c r="C673" s="490" t="s">
        <v>1101</v>
      </c>
      <c r="D673" s="544" t="s">
        <v>1654</v>
      </c>
      <c r="E673" s="480">
        <v>198232</v>
      </c>
      <c r="F673" s="571"/>
      <c r="G673" s="480"/>
      <c r="H673" s="480"/>
      <c r="I673" s="480"/>
      <c r="J673" s="70" t="s">
        <v>798</v>
      </c>
      <c r="K673" s="70" t="s">
        <v>798</v>
      </c>
      <c r="L673" s="70" t="s">
        <v>798</v>
      </c>
      <c r="M673" s="480" t="s">
        <v>298</v>
      </c>
      <c r="N673" s="480"/>
      <c r="O673" s="480"/>
      <c r="P673" s="480" t="s">
        <v>799</v>
      </c>
      <c r="Q673" s="480" t="s">
        <v>802</v>
      </c>
      <c r="R673" s="481"/>
      <c r="S673" s="478"/>
      <c r="T673" s="482">
        <v>42926</v>
      </c>
      <c r="U673" s="483" t="s">
        <v>803</v>
      </c>
      <c r="V673" s="484"/>
      <c r="W673" s="545"/>
      <c r="X673" s="539"/>
      <c r="Y673" s="539"/>
      <c r="Z673" s="539"/>
    </row>
    <row r="674" spans="1:26" s="70" customFormat="1" ht="14.25" customHeight="1">
      <c r="A674" s="418" t="s">
        <v>2705</v>
      </c>
      <c r="B674" s="418" t="s">
        <v>323</v>
      </c>
      <c r="C674" s="418" t="s">
        <v>2682</v>
      </c>
      <c r="D674" s="470"/>
      <c r="E674" s="70">
        <v>198370</v>
      </c>
      <c r="F674" s="70" t="s">
        <v>2682</v>
      </c>
      <c r="J674" s="70" t="s">
        <v>798</v>
      </c>
      <c r="K674" s="70" t="s">
        <v>798</v>
      </c>
      <c r="L674" s="70" t="s">
        <v>798</v>
      </c>
      <c r="N674" s="70">
        <v>20.793779373168899</v>
      </c>
      <c r="O674" s="70">
        <v>92.597961425781307</v>
      </c>
      <c r="Q674" s="70" t="s">
        <v>2681</v>
      </c>
      <c r="R674" s="421"/>
      <c r="S674" s="99"/>
      <c r="T674" s="104">
        <v>43580</v>
      </c>
      <c r="U674" s="100" t="s">
        <v>2735</v>
      </c>
      <c r="X674" s="539"/>
      <c r="Y674" s="539"/>
      <c r="Z674" s="539"/>
    </row>
    <row r="675" spans="1:26" s="70" customFormat="1" ht="14.25" customHeight="1">
      <c r="A675" s="418" t="s">
        <v>2705</v>
      </c>
      <c r="B675" s="418" t="s">
        <v>323</v>
      </c>
      <c r="C675" s="418" t="s">
        <v>2555</v>
      </c>
      <c r="D675" s="470"/>
      <c r="E675" s="70">
        <v>198350</v>
      </c>
      <c r="F675" s="70" t="s">
        <v>2556</v>
      </c>
      <c r="J675" s="70" t="s">
        <v>798</v>
      </c>
      <c r="K675" s="70" t="s">
        <v>798</v>
      </c>
      <c r="L675" s="70" t="s">
        <v>798</v>
      </c>
      <c r="M675" s="70" t="s">
        <v>795</v>
      </c>
      <c r="Q675" s="70" t="s">
        <v>2681</v>
      </c>
      <c r="R675" s="98"/>
      <c r="S675" s="99"/>
      <c r="T675" s="104"/>
      <c r="U675" s="100"/>
      <c r="X675" s="539"/>
      <c r="Y675" s="539"/>
      <c r="Z675" s="539"/>
    </row>
    <row r="676" spans="1:26" s="70" customFormat="1" ht="14.25" customHeight="1">
      <c r="A676" s="418" t="s">
        <v>2705</v>
      </c>
      <c r="B676" s="418" t="s">
        <v>323</v>
      </c>
      <c r="C676" s="418" t="s">
        <v>668</v>
      </c>
      <c r="D676" s="470" t="s">
        <v>1654</v>
      </c>
      <c r="E676" s="418">
        <v>198183</v>
      </c>
      <c r="F676" s="418"/>
      <c r="G676" s="418"/>
      <c r="H676" s="418"/>
      <c r="I676" s="418"/>
      <c r="J676" s="418" t="s">
        <v>798</v>
      </c>
      <c r="K676" s="418" t="s">
        <v>798</v>
      </c>
      <c r="L676" s="418" t="s">
        <v>798</v>
      </c>
      <c r="M676" s="418" t="s">
        <v>951</v>
      </c>
      <c r="N676" s="418">
        <v>20.977460860000001</v>
      </c>
      <c r="O676" s="418">
        <v>92.484466549999993</v>
      </c>
      <c r="P676" s="418" t="s">
        <v>799</v>
      </c>
      <c r="Q676" s="418" t="s">
        <v>780</v>
      </c>
      <c r="R676" s="421"/>
      <c r="S676" s="422"/>
      <c r="T676" s="441"/>
      <c r="U676" s="423"/>
      <c r="V676" s="418" t="s">
        <v>668</v>
      </c>
      <c r="W676" s="418"/>
      <c r="X676" s="539"/>
      <c r="Y676" s="539"/>
      <c r="Z676" s="539"/>
    </row>
    <row r="677" spans="1:26" s="70" customFormat="1" ht="14.25" customHeight="1">
      <c r="A677" s="418" t="s">
        <v>2705</v>
      </c>
      <c r="B677" s="418" t="s">
        <v>323</v>
      </c>
      <c r="C677" s="418" t="s">
        <v>667</v>
      </c>
      <c r="D677" s="470" t="s">
        <v>1654</v>
      </c>
      <c r="E677" s="70">
        <v>198187</v>
      </c>
      <c r="J677" s="70" t="s">
        <v>798</v>
      </c>
      <c r="K677" s="70" t="s">
        <v>798</v>
      </c>
      <c r="L677" s="70" t="s">
        <v>798</v>
      </c>
      <c r="M677" s="70" t="s">
        <v>795</v>
      </c>
      <c r="N677" s="70">
        <v>20.974870679999999</v>
      </c>
      <c r="O677" s="70">
        <v>92.483711240000005</v>
      </c>
      <c r="P677" s="70" t="s">
        <v>799</v>
      </c>
      <c r="Q677" s="70" t="s">
        <v>780</v>
      </c>
      <c r="R677" s="98"/>
      <c r="S677" s="99"/>
      <c r="T677" s="104"/>
      <c r="U677" s="100"/>
      <c r="V677" s="70" t="s">
        <v>667</v>
      </c>
      <c r="X677" s="539"/>
      <c r="Y677" s="539"/>
      <c r="Z677" s="539"/>
    </row>
    <row r="678" spans="1:26" s="70" customFormat="1" ht="14.25" customHeight="1">
      <c r="A678" s="418" t="s">
        <v>2705</v>
      </c>
      <c r="B678" s="418" t="s">
        <v>323</v>
      </c>
      <c r="C678" s="418" t="s">
        <v>638</v>
      </c>
      <c r="D678" s="470" t="s">
        <v>1654</v>
      </c>
      <c r="E678" s="70">
        <v>198313</v>
      </c>
      <c r="J678" s="70" t="s">
        <v>798</v>
      </c>
      <c r="K678" s="70" t="s">
        <v>798</v>
      </c>
      <c r="L678" s="70" t="s">
        <v>798</v>
      </c>
      <c r="M678" s="70" t="s">
        <v>298</v>
      </c>
      <c r="N678" s="70">
        <v>20.849060059999999</v>
      </c>
      <c r="O678" s="70">
        <v>92.497413640000005</v>
      </c>
      <c r="P678" s="70" t="s">
        <v>799</v>
      </c>
      <c r="Q678" s="70" t="s">
        <v>802</v>
      </c>
      <c r="R678" s="421"/>
      <c r="S678" s="99"/>
      <c r="T678" s="104">
        <v>42926</v>
      </c>
      <c r="U678" s="100" t="s">
        <v>933</v>
      </c>
      <c r="W678" s="418"/>
      <c r="X678" s="539"/>
      <c r="Y678" s="539"/>
      <c r="Z678" s="539"/>
    </row>
    <row r="679" spans="1:26" s="70" customFormat="1" ht="14.25" customHeight="1">
      <c r="A679" s="418" t="s">
        <v>2705</v>
      </c>
      <c r="B679" s="418" t="s">
        <v>323</v>
      </c>
      <c r="C679" s="418" t="s">
        <v>644</v>
      </c>
      <c r="D679" s="470" t="s">
        <v>1654</v>
      </c>
      <c r="E679" s="70">
        <v>198301</v>
      </c>
      <c r="J679" s="70" t="s">
        <v>798</v>
      </c>
      <c r="K679" s="70" t="s">
        <v>798</v>
      </c>
      <c r="L679" s="70" t="s">
        <v>798</v>
      </c>
      <c r="M679" s="70" t="s">
        <v>795</v>
      </c>
      <c r="N679" s="70">
        <v>20.876710889999998</v>
      </c>
      <c r="O679" s="70">
        <v>92.537406919999995</v>
      </c>
      <c r="P679" s="70" t="s">
        <v>799</v>
      </c>
      <c r="Q679" s="70" t="s">
        <v>780</v>
      </c>
      <c r="R679" s="421"/>
      <c r="S679" s="99"/>
      <c r="T679" s="104"/>
      <c r="U679" s="423"/>
      <c r="V679" s="70" t="s">
        <v>644</v>
      </c>
      <c r="W679" s="418"/>
      <c r="X679" s="539"/>
      <c r="Y679" s="539"/>
      <c r="Z679" s="539"/>
    </row>
    <row r="680" spans="1:26" s="70" customFormat="1" ht="14.25" customHeight="1">
      <c r="A680" s="418" t="s">
        <v>2705</v>
      </c>
      <c r="B680" s="418" t="s">
        <v>323</v>
      </c>
      <c r="C680" s="418" t="s">
        <v>545</v>
      </c>
      <c r="D680" s="470" t="s">
        <v>1654</v>
      </c>
      <c r="E680" s="70">
        <v>198444</v>
      </c>
      <c r="J680" s="70" t="s">
        <v>798</v>
      </c>
      <c r="K680" s="418" t="s">
        <v>798</v>
      </c>
      <c r="L680" s="418" t="s">
        <v>798</v>
      </c>
      <c r="M680" s="70" t="s">
        <v>795</v>
      </c>
      <c r="N680" s="70">
        <v>20.687610630000002</v>
      </c>
      <c r="O680" s="70">
        <v>92.617988589999996</v>
      </c>
      <c r="P680" s="70" t="s">
        <v>799</v>
      </c>
      <c r="Q680" s="70" t="s">
        <v>780</v>
      </c>
      <c r="R680" s="421"/>
      <c r="S680" s="422"/>
      <c r="T680" s="104"/>
      <c r="U680" s="100"/>
      <c r="V680" s="70" t="s">
        <v>545</v>
      </c>
      <c r="W680" s="418"/>
      <c r="X680" s="539"/>
      <c r="Y680" s="539"/>
      <c r="Z680" s="539"/>
    </row>
    <row r="681" spans="1:26" s="70" customFormat="1" ht="14.25" customHeight="1">
      <c r="A681" s="539" t="s">
        <v>2705</v>
      </c>
      <c r="B681" s="539" t="s">
        <v>323</v>
      </c>
      <c r="C681" s="539" t="s">
        <v>663</v>
      </c>
      <c r="D681" s="470" t="s">
        <v>1654</v>
      </c>
      <c r="E681" s="539">
        <v>217866</v>
      </c>
      <c r="F681" s="539"/>
      <c r="G681" s="539"/>
      <c r="H681" s="539"/>
      <c r="I681" s="539"/>
      <c r="J681" s="70" t="s">
        <v>798</v>
      </c>
      <c r="K681" s="70" t="s">
        <v>798</v>
      </c>
      <c r="L681" s="70" t="s">
        <v>798</v>
      </c>
      <c r="M681" s="539" t="s">
        <v>795</v>
      </c>
      <c r="N681" s="539">
        <v>20.936349870000001</v>
      </c>
      <c r="O681" s="539">
        <v>92.468246460000003</v>
      </c>
      <c r="P681" s="539" t="s">
        <v>799</v>
      </c>
      <c r="Q681" s="539" t="s">
        <v>780</v>
      </c>
      <c r="R681" s="545"/>
      <c r="S681" s="546"/>
      <c r="T681" s="565"/>
      <c r="U681" s="547"/>
      <c r="V681" s="539" t="s">
        <v>663</v>
      </c>
      <c r="W681" s="539"/>
      <c r="X681" s="539"/>
      <c r="Y681" s="539"/>
      <c r="Z681" s="539"/>
    </row>
    <row r="682" spans="1:26" s="70" customFormat="1" ht="14.25" customHeight="1">
      <c r="A682" s="478" t="s">
        <v>2705</v>
      </c>
      <c r="B682" s="486" t="s">
        <v>323</v>
      </c>
      <c r="C682" s="490" t="s">
        <v>613</v>
      </c>
      <c r="D682" s="544" t="s">
        <v>1655</v>
      </c>
      <c r="E682" s="480">
        <v>198336</v>
      </c>
      <c r="F682" s="480" t="s">
        <v>1664</v>
      </c>
      <c r="G682" s="480" t="s">
        <v>1665</v>
      </c>
      <c r="H682" s="480"/>
      <c r="I682" s="480"/>
      <c r="J682" s="418" t="s">
        <v>798</v>
      </c>
      <c r="K682" s="418" t="s">
        <v>798</v>
      </c>
      <c r="L682" s="418" t="s">
        <v>798</v>
      </c>
      <c r="M682" s="480" t="s">
        <v>298</v>
      </c>
      <c r="N682" s="480">
        <v>20.80558014</v>
      </c>
      <c r="O682" s="480">
        <v>92.549842830000003</v>
      </c>
      <c r="P682" s="480" t="s">
        <v>799</v>
      </c>
      <c r="Q682" s="480" t="s">
        <v>802</v>
      </c>
      <c r="R682" s="481"/>
      <c r="S682" s="478"/>
      <c r="T682" s="482">
        <v>42926</v>
      </c>
      <c r="U682" s="483" t="s">
        <v>803</v>
      </c>
      <c r="V682" s="484"/>
      <c r="W682" s="545"/>
      <c r="X682" s="539"/>
      <c r="Y682" s="539"/>
      <c r="Z682" s="539"/>
    </row>
    <row r="683" spans="1:26" s="70" customFormat="1" ht="14.25" customHeight="1">
      <c r="A683" s="418" t="s">
        <v>2705</v>
      </c>
      <c r="B683" s="419" t="s">
        <v>323</v>
      </c>
      <c r="C683" s="419" t="s">
        <v>2733</v>
      </c>
      <c r="D683" s="470"/>
      <c r="E683" s="418">
        <v>198356</v>
      </c>
      <c r="F683" s="418" t="s">
        <v>2741</v>
      </c>
      <c r="G683" s="418"/>
      <c r="H683" s="418"/>
      <c r="I683" s="418"/>
      <c r="J683" s="418" t="s">
        <v>798</v>
      </c>
      <c r="K683" s="418" t="s">
        <v>798</v>
      </c>
      <c r="L683" s="418" t="s">
        <v>798</v>
      </c>
      <c r="M683" s="418"/>
      <c r="N683" s="418">
        <v>20.821479797363299</v>
      </c>
      <c r="O683" s="418">
        <v>92.603950500488295</v>
      </c>
      <c r="P683" s="418"/>
      <c r="Q683" s="418" t="s">
        <v>2681</v>
      </c>
      <c r="R683" s="421"/>
      <c r="S683" s="422"/>
      <c r="T683" s="441">
        <v>43580</v>
      </c>
      <c r="U683" s="423" t="s">
        <v>2735</v>
      </c>
      <c r="V683" s="418"/>
      <c r="W683" s="418"/>
      <c r="X683" s="539"/>
      <c r="Y683" s="539"/>
      <c r="Z683" s="539"/>
    </row>
    <row r="684" spans="1:26" s="70" customFormat="1" ht="14.25" customHeight="1">
      <c r="A684" s="418" t="s">
        <v>2705</v>
      </c>
      <c r="B684" s="419" t="s">
        <v>323</v>
      </c>
      <c r="C684" s="419" t="s">
        <v>624</v>
      </c>
      <c r="D684" s="470" t="s">
        <v>1654</v>
      </c>
      <c r="E684" s="539">
        <v>198356</v>
      </c>
      <c r="F684" s="418"/>
      <c r="G684" s="418"/>
      <c r="H684" s="418"/>
      <c r="I684" s="418"/>
      <c r="J684" s="418" t="s">
        <v>798</v>
      </c>
      <c r="K684" s="418" t="s">
        <v>798</v>
      </c>
      <c r="L684" s="418" t="s">
        <v>798</v>
      </c>
      <c r="M684" s="418" t="s">
        <v>795</v>
      </c>
      <c r="N684" s="418">
        <v>20.821479799999999</v>
      </c>
      <c r="O684" s="418">
        <v>92.603950499999996</v>
      </c>
      <c r="P684" s="418" t="s">
        <v>799</v>
      </c>
      <c r="Q684" s="418" t="s">
        <v>780</v>
      </c>
      <c r="R684" s="421"/>
      <c r="S684" s="422"/>
      <c r="T684" s="441"/>
      <c r="U684" s="423"/>
      <c r="V684" s="418" t="s">
        <v>624</v>
      </c>
      <c r="W684" s="418"/>
      <c r="X684" s="539"/>
      <c r="Y684" s="539"/>
      <c r="Z684" s="539"/>
    </row>
    <row r="685" spans="1:26" s="70" customFormat="1" ht="14.25" customHeight="1">
      <c r="A685" s="418" t="s">
        <v>2705</v>
      </c>
      <c r="B685" s="543" t="s">
        <v>323</v>
      </c>
      <c r="C685" s="543" t="s">
        <v>2677</v>
      </c>
      <c r="D685" s="470"/>
      <c r="E685" s="543">
        <v>198369</v>
      </c>
      <c r="H685" s="418"/>
      <c r="J685" s="70" t="s">
        <v>2714</v>
      </c>
      <c r="K685" s="70" t="s">
        <v>2676</v>
      </c>
      <c r="L685" s="70" t="s">
        <v>2676</v>
      </c>
      <c r="Q685" s="418"/>
      <c r="R685" s="421"/>
      <c r="S685" s="422"/>
      <c r="T685" s="441"/>
      <c r="U685" s="100"/>
      <c r="V685" s="539"/>
      <c r="X685" s="539"/>
      <c r="Y685" s="539"/>
      <c r="Z685" s="539"/>
    </row>
    <row r="686" spans="1:26" s="70" customFormat="1" ht="14.25" customHeight="1">
      <c r="A686" s="418" t="s">
        <v>2705</v>
      </c>
      <c r="B686" s="418" t="s">
        <v>323</v>
      </c>
      <c r="C686" s="412" t="s">
        <v>617</v>
      </c>
      <c r="D686" s="470" t="s">
        <v>1654</v>
      </c>
      <c r="E686" s="70">
        <v>198369</v>
      </c>
      <c r="J686" s="70" t="s">
        <v>798</v>
      </c>
      <c r="K686" s="70" t="s">
        <v>798</v>
      </c>
      <c r="L686" s="70" t="s">
        <v>798</v>
      </c>
      <c r="M686" s="70" t="s">
        <v>795</v>
      </c>
      <c r="N686" s="70">
        <v>20.806030270000001</v>
      </c>
      <c r="O686" s="70">
        <v>92.601951600000007</v>
      </c>
      <c r="P686" s="70" t="s">
        <v>799</v>
      </c>
      <c r="Q686" s="70" t="s">
        <v>780</v>
      </c>
      <c r="R686" s="98"/>
      <c r="S686" s="99"/>
      <c r="T686" s="104"/>
      <c r="U686" s="100"/>
      <c r="V686" s="412" t="s">
        <v>617</v>
      </c>
      <c r="X686" s="539"/>
      <c r="Y686" s="539"/>
      <c r="Z686" s="539"/>
    </row>
    <row r="687" spans="1:26" s="70" customFormat="1" ht="14.25" customHeight="1">
      <c r="A687" s="418" t="s">
        <v>2705</v>
      </c>
      <c r="B687" s="539" t="s">
        <v>323</v>
      </c>
      <c r="C687" s="539" t="s">
        <v>608</v>
      </c>
      <c r="D687" s="470" t="s">
        <v>1654</v>
      </c>
      <c r="E687" s="70">
        <v>198368</v>
      </c>
      <c r="F687" s="539"/>
      <c r="J687" s="70" t="s">
        <v>798</v>
      </c>
      <c r="K687" s="70" t="s">
        <v>798</v>
      </c>
      <c r="L687" s="70" t="s">
        <v>798</v>
      </c>
      <c r="M687" s="70" t="s">
        <v>298</v>
      </c>
      <c r="N687" s="70">
        <v>20.80282021</v>
      </c>
      <c r="O687" s="70">
        <v>92.599418639999996</v>
      </c>
      <c r="P687" s="70" t="s">
        <v>799</v>
      </c>
      <c r="Q687" s="70" t="s">
        <v>780</v>
      </c>
      <c r="R687" s="98"/>
      <c r="S687" s="99"/>
      <c r="T687" s="104"/>
      <c r="U687" s="100"/>
      <c r="V687" s="70" t="s">
        <v>608</v>
      </c>
      <c r="X687" s="539"/>
      <c r="Y687" s="539"/>
      <c r="Z687" s="539"/>
    </row>
    <row r="688" spans="1:26" s="70" customFormat="1" ht="14.25" customHeight="1">
      <c r="A688" s="418" t="s">
        <v>2705</v>
      </c>
      <c r="B688" s="419" t="s">
        <v>323</v>
      </c>
      <c r="C688" s="419" t="s">
        <v>584</v>
      </c>
      <c r="D688" s="470" t="s">
        <v>1654</v>
      </c>
      <c r="E688" s="70">
        <v>217879</v>
      </c>
      <c r="F688" s="543"/>
      <c r="J688" s="70" t="s">
        <v>798</v>
      </c>
      <c r="K688" s="70" t="s">
        <v>798</v>
      </c>
      <c r="L688" s="70" t="s">
        <v>798</v>
      </c>
      <c r="M688" s="70" t="s">
        <v>298</v>
      </c>
      <c r="N688" s="70">
        <v>20.7494297</v>
      </c>
      <c r="O688" s="70">
        <v>92.528648380000007</v>
      </c>
      <c r="P688" s="70" t="s">
        <v>799</v>
      </c>
      <c r="Q688" s="70" t="s">
        <v>780</v>
      </c>
      <c r="R688" s="98"/>
      <c r="S688" s="422"/>
      <c r="T688" s="104"/>
      <c r="U688" s="100"/>
      <c r="V688" s="70" t="s">
        <v>584</v>
      </c>
      <c r="W688" s="418"/>
      <c r="X688" s="539"/>
      <c r="Y688" s="539"/>
      <c r="Z688" s="539"/>
    </row>
    <row r="689" spans="1:26" s="70" customFormat="1" ht="14.25" customHeight="1">
      <c r="A689" s="418" t="s">
        <v>2705</v>
      </c>
      <c r="B689" s="419" t="s">
        <v>323</v>
      </c>
      <c r="C689" s="419" t="s">
        <v>2569</v>
      </c>
      <c r="D689" s="470"/>
      <c r="E689" s="70">
        <v>198404</v>
      </c>
      <c r="F689" s="418" t="s">
        <v>2687</v>
      </c>
      <c r="J689" s="418" t="s">
        <v>2714</v>
      </c>
      <c r="K689" s="418" t="s">
        <v>2676</v>
      </c>
      <c r="L689" s="70" t="s">
        <v>2676</v>
      </c>
      <c r="M689" s="70" t="s">
        <v>298</v>
      </c>
      <c r="N689" s="70">
        <v>20.769779209999999</v>
      </c>
      <c r="O689" s="70">
        <v>92.604240419999996</v>
      </c>
      <c r="P689" s="70" t="s">
        <v>799</v>
      </c>
      <c r="Q689" s="70" t="s">
        <v>2681</v>
      </c>
      <c r="R689" s="98"/>
      <c r="S689" s="99"/>
      <c r="T689" s="104"/>
      <c r="U689" s="100"/>
      <c r="W689" s="418"/>
      <c r="X689" s="539"/>
      <c r="Y689" s="539"/>
      <c r="Z689" s="539"/>
    </row>
    <row r="690" spans="1:26" s="70" customFormat="1" ht="14.25" customHeight="1">
      <c r="A690" s="418" t="s">
        <v>2705</v>
      </c>
      <c r="B690" s="543" t="s">
        <v>323</v>
      </c>
      <c r="C690" s="543" t="s">
        <v>2571</v>
      </c>
      <c r="D690" s="470"/>
      <c r="E690" s="70">
        <v>198303</v>
      </c>
      <c r="F690" s="70" t="s">
        <v>2688</v>
      </c>
      <c r="J690" s="418" t="s">
        <v>798</v>
      </c>
      <c r="K690" s="418" t="s">
        <v>798</v>
      </c>
      <c r="L690" s="418" t="s">
        <v>798</v>
      </c>
      <c r="M690" s="70" t="s">
        <v>298</v>
      </c>
      <c r="N690" s="70">
        <v>20.892290119999998</v>
      </c>
      <c r="O690" s="70">
        <v>92.550079350000004</v>
      </c>
      <c r="Q690" s="70" t="s">
        <v>2681</v>
      </c>
      <c r="R690" s="421"/>
      <c r="S690" s="99"/>
      <c r="T690" s="104"/>
      <c r="U690" s="100"/>
      <c r="X690" s="539"/>
      <c r="Y690" s="539"/>
      <c r="Z690" s="539"/>
    </row>
    <row r="691" spans="1:26" s="70" customFormat="1" ht="14.25" customHeight="1">
      <c r="A691" s="418" t="s">
        <v>2705</v>
      </c>
      <c r="B691" s="539" t="s">
        <v>323</v>
      </c>
      <c r="C691" s="539" t="s">
        <v>653</v>
      </c>
      <c r="D691" s="470" t="s">
        <v>1654</v>
      </c>
      <c r="E691" s="70">
        <v>198303</v>
      </c>
      <c r="F691" s="70" t="s">
        <v>2688</v>
      </c>
      <c r="J691" s="70" t="s">
        <v>798</v>
      </c>
      <c r="K691" s="70" t="s">
        <v>798</v>
      </c>
      <c r="L691" s="70" t="s">
        <v>798</v>
      </c>
      <c r="M691" s="70" t="s">
        <v>795</v>
      </c>
      <c r="N691" s="70">
        <v>20.892290119999998</v>
      </c>
      <c r="O691" s="70">
        <v>92.550079350000004</v>
      </c>
      <c r="P691" s="70" t="s">
        <v>799</v>
      </c>
      <c r="Q691" s="70" t="s">
        <v>780</v>
      </c>
      <c r="R691" s="545"/>
      <c r="S691" s="546"/>
      <c r="T691" s="104"/>
      <c r="U691" s="100"/>
      <c r="V691" s="70" t="s">
        <v>653</v>
      </c>
      <c r="X691" s="539"/>
      <c r="Y691" s="539"/>
      <c r="Z691" s="539"/>
    </row>
    <row r="692" spans="1:26" s="70" customFormat="1" ht="14.25" customHeight="1">
      <c r="A692" s="418" t="s">
        <v>2705</v>
      </c>
      <c r="B692" s="419" t="s">
        <v>323</v>
      </c>
      <c r="C692" s="419" t="s">
        <v>682</v>
      </c>
      <c r="D692" s="470" t="s">
        <v>1654</v>
      </c>
      <c r="E692" s="70">
        <v>198196</v>
      </c>
      <c r="F692" s="418"/>
      <c r="J692" s="70" t="s">
        <v>798</v>
      </c>
      <c r="K692" s="70" t="s">
        <v>798</v>
      </c>
      <c r="L692" s="70" t="s">
        <v>798</v>
      </c>
      <c r="M692" s="70" t="s">
        <v>298</v>
      </c>
      <c r="N692" s="70">
        <v>21.02563095</v>
      </c>
      <c r="O692" s="70">
        <v>92.524818420000003</v>
      </c>
      <c r="P692" s="70" t="s">
        <v>799</v>
      </c>
      <c r="Q692" s="70" t="s">
        <v>802</v>
      </c>
      <c r="R692" s="425"/>
      <c r="S692" s="426"/>
      <c r="T692" s="104">
        <v>42926</v>
      </c>
      <c r="U692" s="100" t="s">
        <v>803</v>
      </c>
      <c r="W692" s="418"/>
      <c r="X692" s="539"/>
      <c r="Y692" s="539"/>
      <c r="Z692" s="539"/>
    </row>
    <row r="693" spans="1:26" s="70" customFormat="1" ht="14.25" customHeight="1">
      <c r="A693" s="418" t="s">
        <v>2705</v>
      </c>
      <c r="B693" s="543" t="s">
        <v>323</v>
      </c>
      <c r="C693" s="543" t="s">
        <v>646</v>
      </c>
      <c r="D693" s="470" t="s">
        <v>1654</v>
      </c>
      <c r="E693" s="418">
        <v>198292</v>
      </c>
      <c r="F693" s="418"/>
      <c r="J693" s="418" t="s">
        <v>798</v>
      </c>
      <c r="K693" s="418" t="s">
        <v>798</v>
      </c>
      <c r="L693" s="418" t="s">
        <v>798</v>
      </c>
      <c r="M693" s="70" t="s">
        <v>795</v>
      </c>
      <c r="N693" s="70">
        <v>20.883680340000002</v>
      </c>
      <c r="O693" s="70">
        <v>92.569938660000005</v>
      </c>
      <c r="P693" s="70" t="s">
        <v>799</v>
      </c>
      <c r="Q693" s="70" t="s">
        <v>780</v>
      </c>
      <c r="R693" s="549"/>
      <c r="S693" s="550"/>
      <c r="T693" s="104"/>
      <c r="U693" s="423"/>
      <c r="V693" s="70" t="s">
        <v>946</v>
      </c>
      <c r="W693" s="418"/>
      <c r="X693" s="539"/>
      <c r="Y693" s="539"/>
      <c r="Z693" s="539"/>
    </row>
    <row r="694" spans="1:26" s="70" customFormat="1" ht="14.25" customHeight="1">
      <c r="A694" s="418" t="s">
        <v>2705</v>
      </c>
      <c r="B694" s="418" t="s">
        <v>323</v>
      </c>
      <c r="C694" s="418" t="s">
        <v>647</v>
      </c>
      <c r="D694" s="470" t="s">
        <v>1654</v>
      </c>
      <c r="E694" s="418">
        <v>198292</v>
      </c>
      <c r="F694" s="418"/>
      <c r="G694" s="418"/>
      <c r="H694" s="418"/>
      <c r="I694" s="418"/>
      <c r="J694" s="418" t="s">
        <v>798</v>
      </c>
      <c r="K694" s="418" t="s">
        <v>798</v>
      </c>
      <c r="L694" s="418" t="s">
        <v>798</v>
      </c>
      <c r="M694" s="70" t="s">
        <v>795</v>
      </c>
      <c r="N694" s="418">
        <v>20.883680340000002</v>
      </c>
      <c r="O694" s="418">
        <v>92.569938660000005</v>
      </c>
      <c r="P694" s="70" t="s">
        <v>799</v>
      </c>
      <c r="Q694" s="418" t="s">
        <v>780</v>
      </c>
      <c r="R694" s="421"/>
      <c r="S694" s="422"/>
      <c r="T694" s="441">
        <v>42745</v>
      </c>
      <c r="U694" s="423"/>
      <c r="V694" s="418"/>
      <c r="W694" s="418"/>
      <c r="X694" s="539"/>
      <c r="Y694" s="539"/>
      <c r="Z694" s="539"/>
    </row>
    <row r="695" spans="1:26" s="70" customFormat="1" ht="14.25" customHeight="1">
      <c r="A695" s="418" t="s">
        <v>2705</v>
      </c>
      <c r="B695" s="418" t="s">
        <v>323</v>
      </c>
      <c r="C695" s="418" t="s">
        <v>689</v>
      </c>
      <c r="D695" s="470" t="s">
        <v>1654</v>
      </c>
      <c r="E695" s="418">
        <v>198146</v>
      </c>
      <c r="F695" s="418"/>
      <c r="G695" s="418"/>
      <c r="H695" s="418"/>
      <c r="I695" s="418"/>
      <c r="J695" s="418" t="s">
        <v>804</v>
      </c>
      <c r="K695" s="418" t="s">
        <v>798</v>
      </c>
      <c r="L695" s="418" t="s">
        <v>804</v>
      </c>
      <c r="M695" s="418" t="s">
        <v>795</v>
      </c>
      <c r="N695" s="418">
        <v>21.098579409999999</v>
      </c>
      <c r="O695" s="418">
        <v>92.445549009999993</v>
      </c>
      <c r="P695" s="418" t="s">
        <v>923</v>
      </c>
      <c r="Q695" s="418" t="s">
        <v>802</v>
      </c>
      <c r="R695" s="421"/>
      <c r="S695" s="422"/>
      <c r="T695" s="441">
        <v>42926</v>
      </c>
      <c r="U695" s="423" t="s">
        <v>933</v>
      </c>
      <c r="V695" s="418"/>
      <c r="W695" s="418"/>
      <c r="X695" s="539"/>
      <c r="Y695" s="539"/>
      <c r="Z695" s="539"/>
    </row>
    <row r="696" spans="1:26" s="70" customFormat="1" ht="14.25" customHeight="1">
      <c r="A696" s="418" t="s">
        <v>2705</v>
      </c>
      <c r="B696" s="418" t="s">
        <v>323</v>
      </c>
      <c r="C696" s="418" t="s">
        <v>535</v>
      </c>
      <c r="D696" s="470" t="s">
        <v>1654</v>
      </c>
      <c r="E696" s="418">
        <v>217885</v>
      </c>
      <c r="F696" s="418"/>
      <c r="G696" s="418"/>
      <c r="H696" s="418"/>
      <c r="I696" s="418"/>
      <c r="J696" s="418" t="s">
        <v>798</v>
      </c>
      <c r="K696" s="418" t="s">
        <v>798</v>
      </c>
      <c r="L696" s="418" t="s">
        <v>798</v>
      </c>
      <c r="M696" s="70" t="s">
        <v>795</v>
      </c>
      <c r="N696" s="418">
        <v>20.676519389999999</v>
      </c>
      <c r="O696" s="418">
        <v>92.591667180000002</v>
      </c>
      <c r="P696" s="70" t="s">
        <v>799</v>
      </c>
      <c r="Q696" s="418" t="s">
        <v>780</v>
      </c>
      <c r="R696" s="421"/>
      <c r="S696" s="422"/>
      <c r="T696" s="441"/>
      <c r="U696" s="423"/>
      <c r="V696" s="418" t="s">
        <v>535</v>
      </c>
      <c r="W696" s="418"/>
      <c r="X696" s="539"/>
      <c r="Y696" s="539"/>
      <c r="Z696" s="539"/>
    </row>
    <row r="697" spans="1:26" s="70" customFormat="1" ht="14.25" customHeight="1">
      <c r="A697" s="418" t="s">
        <v>2705</v>
      </c>
      <c r="B697" s="418" t="s">
        <v>323</v>
      </c>
      <c r="C697" s="418" t="s">
        <v>664</v>
      </c>
      <c r="D697" s="470" t="s">
        <v>1654</v>
      </c>
      <c r="E697" s="418">
        <v>198164</v>
      </c>
      <c r="F697" s="418"/>
      <c r="G697" s="418"/>
      <c r="H697" s="418"/>
      <c r="I697" s="418"/>
      <c r="J697" s="418" t="s">
        <v>798</v>
      </c>
      <c r="K697" s="418" t="s">
        <v>798</v>
      </c>
      <c r="L697" s="418" t="s">
        <v>798</v>
      </c>
      <c r="M697" s="418" t="s">
        <v>951</v>
      </c>
      <c r="N697" s="418">
        <v>20.945800779999999</v>
      </c>
      <c r="O697" s="418">
        <v>92.471672060000003</v>
      </c>
      <c r="P697" s="418" t="s">
        <v>799</v>
      </c>
      <c r="Q697" s="418" t="s">
        <v>780</v>
      </c>
      <c r="R697" s="421"/>
      <c r="S697" s="422"/>
      <c r="T697" s="441"/>
      <c r="U697" s="423"/>
      <c r="V697" s="418" t="s">
        <v>664</v>
      </c>
      <c r="W697" s="418"/>
      <c r="X697" s="539"/>
      <c r="Y697" s="539"/>
      <c r="Z697" s="539"/>
    </row>
    <row r="698" spans="1:26" s="74" customFormat="1" ht="14.25" customHeight="1">
      <c r="A698" s="418" t="s">
        <v>2705</v>
      </c>
      <c r="B698" s="418" t="s">
        <v>323</v>
      </c>
      <c r="C698" s="418" t="s">
        <v>622</v>
      </c>
      <c r="D698" s="470" t="s">
        <v>1654</v>
      </c>
      <c r="E698" s="70">
        <v>198335</v>
      </c>
      <c r="F698" s="70"/>
      <c r="G698" s="70"/>
      <c r="H698" s="70"/>
      <c r="I698" s="70"/>
      <c r="J698" s="418" t="s">
        <v>798</v>
      </c>
      <c r="K698" s="418" t="s">
        <v>798</v>
      </c>
      <c r="L698" s="418" t="s">
        <v>798</v>
      </c>
      <c r="M698" s="70" t="s">
        <v>298</v>
      </c>
      <c r="N698" s="70">
        <v>20.818910599999999</v>
      </c>
      <c r="O698" s="70">
        <v>92.541358950000003</v>
      </c>
      <c r="P698" s="70" t="s">
        <v>799</v>
      </c>
      <c r="Q698" s="70" t="s">
        <v>780</v>
      </c>
      <c r="R698" s="98"/>
      <c r="S698" s="422"/>
      <c r="T698" s="104"/>
      <c r="U698" s="423"/>
      <c r="V698" s="70" t="s">
        <v>622</v>
      </c>
      <c r="W698" s="70"/>
      <c r="X698" s="543"/>
      <c r="Y698" s="543"/>
      <c r="Z698" s="543"/>
    </row>
    <row r="699" spans="1:26" s="70" customFormat="1" ht="14.25" customHeight="1">
      <c r="A699" s="418" t="s">
        <v>2705</v>
      </c>
      <c r="B699" s="418" t="s">
        <v>323</v>
      </c>
      <c r="C699" s="418" t="s">
        <v>656</v>
      </c>
      <c r="D699" s="470" t="s">
        <v>1654</v>
      </c>
      <c r="E699" s="418">
        <v>198316</v>
      </c>
      <c r="F699" s="418"/>
      <c r="G699" s="418"/>
      <c r="H699" s="418"/>
      <c r="I699" s="418"/>
      <c r="J699" s="70" t="s">
        <v>798</v>
      </c>
      <c r="K699" s="70" t="s">
        <v>798</v>
      </c>
      <c r="L699" s="70" t="s">
        <v>798</v>
      </c>
      <c r="M699" s="418" t="s">
        <v>795</v>
      </c>
      <c r="N699" s="418">
        <v>20.89318085</v>
      </c>
      <c r="O699" s="418">
        <v>92.493637079999999</v>
      </c>
      <c r="P699" s="70" t="s">
        <v>799</v>
      </c>
      <c r="Q699" s="418" t="s">
        <v>780</v>
      </c>
      <c r="R699" s="421"/>
      <c r="S699" s="422"/>
      <c r="T699" s="441"/>
      <c r="U699" s="423"/>
      <c r="V699" s="418" t="s">
        <v>656</v>
      </c>
      <c r="W699" s="418"/>
      <c r="X699" s="539"/>
      <c r="Y699" s="539"/>
      <c r="Z699" s="539"/>
    </row>
    <row r="700" spans="1:26" s="70" customFormat="1" ht="14.25" customHeight="1">
      <c r="A700" s="418" t="s">
        <v>2705</v>
      </c>
      <c r="B700" s="418" t="s">
        <v>323</v>
      </c>
      <c r="C700" s="418" t="s">
        <v>641</v>
      </c>
      <c r="D700" s="470" t="s">
        <v>1654</v>
      </c>
      <c r="E700" s="70">
        <v>198308</v>
      </c>
      <c r="J700" s="70" t="s">
        <v>804</v>
      </c>
      <c r="K700" s="70" t="s">
        <v>798</v>
      </c>
      <c r="L700" s="70" t="s">
        <v>804</v>
      </c>
      <c r="M700" s="70" t="s">
        <v>795</v>
      </c>
      <c r="N700" s="418">
        <v>20.863079070000001</v>
      </c>
      <c r="O700" s="418">
        <v>92.497192380000001</v>
      </c>
      <c r="P700" s="70" t="s">
        <v>923</v>
      </c>
      <c r="Q700" s="70" t="s">
        <v>802</v>
      </c>
      <c r="R700" s="421"/>
      <c r="S700" s="422"/>
      <c r="T700" s="104">
        <v>42926</v>
      </c>
      <c r="U700" s="100" t="s">
        <v>933</v>
      </c>
      <c r="X700" s="539"/>
      <c r="Y700" s="539"/>
      <c r="Z700" s="539"/>
    </row>
    <row r="701" spans="1:26" s="70" customFormat="1" ht="14.25" customHeight="1">
      <c r="A701" s="418" t="s">
        <v>2705</v>
      </c>
      <c r="B701" s="418" t="s">
        <v>323</v>
      </c>
      <c r="C701" s="418" t="s">
        <v>596</v>
      </c>
      <c r="D701" s="470" t="s">
        <v>1654</v>
      </c>
      <c r="E701" s="70">
        <v>220753</v>
      </c>
      <c r="J701" s="418" t="s">
        <v>804</v>
      </c>
      <c r="K701" s="418" t="s">
        <v>798</v>
      </c>
      <c r="L701" s="70" t="s">
        <v>804</v>
      </c>
      <c r="M701" s="70" t="s">
        <v>298</v>
      </c>
      <c r="N701" s="70">
        <v>20.782770159999998</v>
      </c>
      <c r="O701" s="70">
        <v>92.551826480000003</v>
      </c>
      <c r="P701" s="70" t="s">
        <v>923</v>
      </c>
      <c r="Q701" s="70" t="s">
        <v>802</v>
      </c>
      <c r="R701" s="421"/>
      <c r="S701" s="99"/>
      <c r="T701" s="104">
        <v>42926</v>
      </c>
      <c r="U701" s="100" t="s">
        <v>933</v>
      </c>
      <c r="X701" s="539"/>
      <c r="Y701" s="539"/>
      <c r="Z701" s="539"/>
    </row>
    <row r="702" spans="1:26" s="70" customFormat="1" ht="14.25" customHeight="1">
      <c r="A702" s="418" t="s">
        <v>2705</v>
      </c>
      <c r="B702" s="539" t="s">
        <v>323</v>
      </c>
      <c r="C702" s="539" t="s">
        <v>637</v>
      </c>
      <c r="D702" s="470" t="s">
        <v>1654</v>
      </c>
      <c r="E702" s="539">
        <v>198325</v>
      </c>
      <c r="F702" s="539"/>
      <c r="G702" s="539"/>
      <c r="H702" s="539"/>
      <c r="I702" s="539"/>
      <c r="J702" s="418" t="s">
        <v>804</v>
      </c>
      <c r="K702" s="418" t="s">
        <v>798</v>
      </c>
      <c r="L702" s="70" t="s">
        <v>804</v>
      </c>
      <c r="M702" s="539" t="s">
        <v>795</v>
      </c>
      <c r="N702" s="539">
        <v>20.839260100000001</v>
      </c>
      <c r="O702" s="539">
        <v>92.534591669999998</v>
      </c>
      <c r="P702" s="70" t="s">
        <v>923</v>
      </c>
      <c r="Q702" s="539" t="s">
        <v>802</v>
      </c>
      <c r="R702" s="545"/>
      <c r="S702" s="546"/>
      <c r="T702" s="565">
        <v>42926</v>
      </c>
      <c r="U702" s="547" t="s">
        <v>933</v>
      </c>
      <c r="V702" s="539"/>
      <c r="X702" s="539"/>
      <c r="Y702" s="539"/>
      <c r="Z702" s="539"/>
    </row>
    <row r="703" spans="1:26" s="70" customFormat="1" ht="14.25" customHeight="1">
      <c r="A703" s="418" t="s">
        <v>2705</v>
      </c>
      <c r="B703" s="543" t="s">
        <v>323</v>
      </c>
      <c r="C703" s="543" t="s">
        <v>328</v>
      </c>
      <c r="D703" s="471" t="s">
        <v>1654</v>
      </c>
      <c r="E703" s="543"/>
      <c r="F703" s="543"/>
      <c r="G703" s="543"/>
      <c r="H703" s="550"/>
      <c r="I703" s="543"/>
      <c r="J703" s="418" t="s">
        <v>804</v>
      </c>
      <c r="K703" s="418" t="s">
        <v>798</v>
      </c>
      <c r="L703" s="418" t="s">
        <v>804</v>
      </c>
      <c r="M703" s="543" t="s">
        <v>795</v>
      </c>
      <c r="N703" s="543"/>
      <c r="O703" s="543"/>
      <c r="P703" s="70" t="s">
        <v>923</v>
      </c>
      <c r="Q703" s="543" t="s">
        <v>802</v>
      </c>
      <c r="R703" s="549"/>
      <c r="S703" s="550"/>
      <c r="T703" s="566">
        <v>42926</v>
      </c>
      <c r="U703" s="551" t="s">
        <v>933</v>
      </c>
      <c r="V703" s="543"/>
      <c r="X703" s="539"/>
      <c r="Y703" s="539"/>
      <c r="Z703" s="539"/>
    </row>
    <row r="704" spans="1:26" s="70" customFormat="1" ht="14.25" customHeight="1">
      <c r="A704" s="539" t="s">
        <v>2705</v>
      </c>
      <c r="B704" s="539" t="s">
        <v>323</v>
      </c>
      <c r="C704" s="539" t="s">
        <v>572</v>
      </c>
      <c r="D704" s="470" t="s">
        <v>1654</v>
      </c>
      <c r="E704" s="418">
        <v>198432</v>
      </c>
      <c r="F704" s="418"/>
      <c r="G704" s="418"/>
      <c r="H704" s="418"/>
      <c r="I704" s="418"/>
      <c r="J704" s="418" t="s">
        <v>798</v>
      </c>
      <c r="K704" s="418" t="s">
        <v>798</v>
      </c>
      <c r="L704" s="418" t="s">
        <v>798</v>
      </c>
      <c r="M704" s="418" t="s">
        <v>795</v>
      </c>
      <c r="N704" s="418">
        <v>20.721290589999999</v>
      </c>
      <c r="O704" s="418">
        <v>92.605140689999999</v>
      </c>
      <c r="P704" s="418" t="s">
        <v>799</v>
      </c>
      <c r="Q704" s="418" t="s">
        <v>780</v>
      </c>
      <c r="R704" s="545"/>
      <c r="S704" s="422"/>
      <c r="T704" s="441"/>
      <c r="U704" s="547"/>
      <c r="V704" s="418" t="s">
        <v>572</v>
      </c>
      <c r="W704" s="539"/>
      <c r="X704" s="539"/>
      <c r="Y704" s="539"/>
      <c r="Z704" s="539"/>
    </row>
    <row r="705" spans="1:26" s="70" customFormat="1" ht="14.25" customHeight="1">
      <c r="A705" s="549" t="s">
        <v>2705</v>
      </c>
      <c r="B705" s="549" t="s">
        <v>323</v>
      </c>
      <c r="C705" s="550" t="s">
        <v>666</v>
      </c>
      <c r="D705" s="544" t="s">
        <v>1654</v>
      </c>
      <c r="E705" s="70">
        <v>198222</v>
      </c>
      <c r="J705" s="418" t="s">
        <v>804</v>
      </c>
      <c r="K705" s="418" t="s">
        <v>798</v>
      </c>
      <c r="L705" s="70" t="s">
        <v>804</v>
      </c>
      <c r="M705" s="70" t="s">
        <v>795</v>
      </c>
      <c r="N705" s="70">
        <v>20.962799069999999</v>
      </c>
      <c r="O705" s="70">
        <v>92.527702329999997</v>
      </c>
      <c r="P705" s="70" t="s">
        <v>923</v>
      </c>
      <c r="Q705" s="70" t="s">
        <v>802</v>
      </c>
      <c r="R705" s="553"/>
      <c r="S705" s="99"/>
      <c r="T705" s="104">
        <v>42926</v>
      </c>
      <c r="U705" s="553" t="s">
        <v>933</v>
      </c>
      <c r="W705" s="545"/>
      <c r="X705" s="539"/>
      <c r="Y705" s="539"/>
      <c r="Z705" s="539"/>
    </row>
    <row r="706" spans="1:26" s="70" customFormat="1" ht="14.25" customHeight="1">
      <c r="A706" s="418" t="s">
        <v>2705</v>
      </c>
      <c r="B706" s="418" t="s">
        <v>323</v>
      </c>
      <c r="C706" s="418" t="s">
        <v>2839</v>
      </c>
      <c r="D706" s="470"/>
      <c r="E706" s="418">
        <v>198289</v>
      </c>
      <c r="F706" s="418"/>
      <c r="G706" s="418"/>
      <c r="H706" s="418"/>
      <c r="I706" s="418"/>
      <c r="J706" s="418" t="s">
        <v>2714</v>
      </c>
      <c r="K706" s="418" t="s">
        <v>2676</v>
      </c>
      <c r="L706" s="418" t="s">
        <v>2676</v>
      </c>
      <c r="M706" s="418"/>
      <c r="N706" s="418">
        <v>20.838279724121101</v>
      </c>
      <c r="O706" s="418">
        <v>92.610900878906307</v>
      </c>
      <c r="P706" s="418"/>
      <c r="Q706" s="418"/>
      <c r="R706" s="421"/>
      <c r="S706" s="422"/>
      <c r="T706" s="441">
        <v>43591</v>
      </c>
      <c r="U706" s="423"/>
      <c r="V706" s="418"/>
      <c r="W706" s="418"/>
      <c r="X706" s="539"/>
      <c r="Y706" s="539"/>
      <c r="Z706" s="539"/>
    </row>
    <row r="707" spans="1:26" s="70" customFormat="1" ht="14.25" customHeight="1">
      <c r="A707" s="418" t="s">
        <v>2705</v>
      </c>
      <c r="B707" s="539" t="s">
        <v>323</v>
      </c>
      <c r="C707" s="539" t="s">
        <v>606</v>
      </c>
      <c r="D707" s="470" t="s">
        <v>1654</v>
      </c>
      <c r="E707" s="539">
        <v>198379</v>
      </c>
      <c r="F707" s="539"/>
      <c r="G707" s="539"/>
      <c r="H707" s="539"/>
      <c r="I707" s="539"/>
      <c r="J707" s="539" t="s">
        <v>798</v>
      </c>
      <c r="K707" s="539" t="s">
        <v>798</v>
      </c>
      <c r="L707" s="539" t="s">
        <v>798</v>
      </c>
      <c r="M707" s="539" t="s">
        <v>795</v>
      </c>
      <c r="N707" s="539">
        <v>20.79891014</v>
      </c>
      <c r="O707" s="539">
        <v>92.553680420000006</v>
      </c>
      <c r="P707" s="539" t="s">
        <v>799</v>
      </c>
      <c r="Q707" s="539" t="s">
        <v>780</v>
      </c>
      <c r="R707" s="545"/>
      <c r="S707" s="546"/>
      <c r="T707" s="565"/>
      <c r="U707" s="547"/>
      <c r="V707" s="539" t="s">
        <v>606</v>
      </c>
      <c r="W707" s="539"/>
      <c r="X707" s="539"/>
      <c r="Y707" s="539"/>
      <c r="Z707" s="539"/>
    </row>
    <row r="708" spans="1:26" s="70" customFormat="1" ht="14.25" customHeight="1">
      <c r="A708" s="418" t="s">
        <v>2705</v>
      </c>
      <c r="B708" s="205" t="s">
        <v>323</v>
      </c>
      <c r="C708" s="206" t="s">
        <v>635</v>
      </c>
      <c r="D708" s="544" t="s">
        <v>1654</v>
      </c>
      <c r="E708" s="587">
        <v>198332</v>
      </c>
      <c r="F708" s="201"/>
      <c r="G708" s="201"/>
      <c r="H708" s="201"/>
      <c r="I708" s="201"/>
      <c r="J708" s="201" t="s">
        <v>798</v>
      </c>
      <c r="K708" s="201" t="s">
        <v>798</v>
      </c>
      <c r="L708" s="201" t="s">
        <v>798</v>
      </c>
      <c r="M708" s="201" t="s">
        <v>795</v>
      </c>
      <c r="N708" s="201">
        <v>20.833719250000001</v>
      </c>
      <c r="O708" s="201">
        <v>92.534461980000003</v>
      </c>
      <c r="P708" s="201" t="s">
        <v>799</v>
      </c>
      <c r="Q708" s="201" t="s">
        <v>780</v>
      </c>
      <c r="R708" s="202"/>
      <c r="S708" s="200"/>
      <c r="T708" s="203"/>
      <c r="U708" s="204"/>
      <c r="V708" s="201" t="s">
        <v>635</v>
      </c>
      <c r="W708" s="545"/>
      <c r="X708" s="539"/>
      <c r="Y708" s="539"/>
      <c r="Z708" s="539"/>
    </row>
    <row r="709" spans="1:26" s="70" customFormat="1" ht="14.25" customHeight="1">
      <c r="A709" s="418" t="s">
        <v>2705</v>
      </c>
      <c r="B709" s="559" t="s">
        <v>323</v>
      </c>
      <c r="C709" s="558" t="s">
        <v>2568</v>
      </c>
      <c r="D709" s="470"/>
      <c r="E709" s="418">
        <v>198405</v>
      </c>
      <c r="F709" s="559" t="s">
        <v>2687</v>
      </c>
      <c r="G709" s="418"/>
      <c r="H709" s="418"/>
      <c r="I709" s="418"/>
      <c r="J709" s="418" t="s">
        <v>798</v>
      </c>
      <c r="K709" s="418" t="s">
        <v>798</v>
      </c>
      <c r="L709" s="418" t="s">
        <v>798</v>
      </c>
      <c r="M709" s="70" t="s">
        <v>795</v>
      </c>
      <c r="Q709" s="418" t="s">
        <v>2681</v>
      </c>
      <c r="R709" s="560"/>
      <c r="S709" s="561"/>
      <c r="T709" s="441"/>
      <c r="U709" s="423"/>
      <c r="W709" s="418"/>
      <c r="X709" s="539"/>
      <c r="Y709" s="539"/>
      <c r="Z709" s="539"/>
    </row>
    <row r="710" spans="1:26" s="70" customFormat="1" ht="14.25" customHeight="1">
      <c r="A710" s="418" t="s">
        <v>2705</v>
      </c>
      <c r="B710" s="436" t="s">
        <v>323</v>
      </c>
      <c r="C710" s="435" t="s">
        <v>650</v>
      </c>
      <c r="D710" s="470" t="s">
        <v>1654</v>
      </c>
      <c r="E710" s="418">
        <v>217871</v>
      </c>
      <c r="F710" s="543"/>
      <c r="G710" s="418"/>
      <c r="H710" s="418"/>
      <c r="I710" s="418"/>
      <c r="J710" s="418" t="s">
        <v>798</v>
      </c>
      <c r="K710" s="418" t="s">
        <v>798</v>
      </c>
      <c r="L710" s="70" t="s">
        <v>798</v>
      </c>
      <c r="M710" s="418" t="s">
        <v>795</v>
      </c>
      <c r="N710" s="418">
        <v>20.887029649999999</v>
      </c>
      <c r="O710" s="418">
        <v>92.556823730000005</v>
      </c>
      <c r="P710" s="70" t="s">
        <v>799</v>
      </c>
      <c r="Q710" s="418" t="s">
        <v>780</v>
      </c>
      <c r="R710" s="437"/>
      <c r="S710" s="438"/>
      <c r="T710" s="441"/>
      <c r="U710" s="423"/>
      <c r="V710" s="418" t="s">
        <v>650</v>
      </c>
      <c r="X710" s="539"/>
      <c r="Y710" s="539"/>
      <c r="Z710" s="539"/>
    </row>
    <row r="711" spans="1:26" s="70" customFormat="1" ht="14.25" customHeight="1">
      <c r="A711" s="418" t="s">
        <v>2705</v>
      </c>
      <c r="B711" s="436" t="s">
        <v>323</v>
      </c>
      <c r="C711" s="435" t="s">
        <v>1903</v>
      </c>
      <c r="D711" s="470"/>
      <c r="E711" s="70">
        <v>198177</v>
      </c>
      <c r="J711" s="70" t="s">
        <v>798</v>
      </c>
      <c r="K711" s="70" t="s">
        <v>798</v>
      </c>
      <c r="L711" s="70" t="s">
        <v>798</v>
      </c>
      <c r="M711" s="70" t="s">
        <v>951</v>
      </c>
      <c r="N711" s="70">
        <v>20.93604088</v>
      </c>
      <c r="O711" s="70">
        <v>92.475830079999994</v>
      </c>
      <c r="P711" s="70" t="s">
        <v>799</v>
      </c>
      <c r="Q711" s="70" t="s">
        <v>1908</v>
      </c>
      <c r="R711" s="437"/>
      <c r="S711" s="438"/>
      <c r="T711" s="104">
        <v>43245</v>
      </c>
      <c r="U711" s="100"/>
      <c r="X711" s="539"/>
      <c r="Y711" s="539"/>
      <c r="Z711" s="539"/>
    </row>
    <row r="712" spans="1:26" s="70" customFormat="1" ht="14.25" customHeight="1">
      <c r="A712" s="418" t="s">
        <v>2705</v>
      </c>
      <c r="B712" s="436" t="s">
        <v>323</v>
      </c>
      <c r="C712" s="435" t="s">
        <v>2590</v>
      </c>
      <c r="D712" s="470"/>
      <c r="F712" s="418"/>
      <c r="J712" s="70" t="s">
        <v>2714</v>
      </c>
      <c r="K712" s="70" t="s">
        <v>2676</v>
      </c>
      <c r="L712" s="70" t="s">
        <v>2676</v>
      </c>
      <c r="N712" s="418"/>
      <c r="O712" s="418"/>
      <c r="Q712" s="418"/>
      <c r="R712" s="437"/>
      <c r="S712" s="438"/>
      <c r="T712" s="441"/>
      <c r="U712" s="100"/>
      <c r="W712" s="418"/>
      <c r="X712" s="539"/>
      <c r="Y712" s="539"/>
      <c r="Z712" s="539"/>
    </row>
    <row r="713" spans="1:26" s="70" customFormat="1" ht="14.25" customHeight="1">
      <c r="A713" s="418" t="s">
        <v>2705</v>
      </c>
      <c r="B713" s="436" t="s">
        <v>323</v>
      </c>
      <c r="C713" s="435" t="s">
        <v>586</v>
      </c>
      <c r="D713" s="470" t="s">
        <v>1654</v>
      </c>
      <c r="E713" s="70">
        <v>198413</v>
      </c>
      <c r="F713" s="418"/>
      <c r="J713" s="70" t="s">
        <v>798</v>
      </c>
      <c r="K713" s="70" t="s">
        <v>798</v>
      </c>
      <c r="L713" s="70" t="s">
        <v>798</v>
      </c>
      <c r="M713" s="70" t="s">
        <v>298</v>
      </c>
      <c r="N713" s="70">
        <v>20.756410599999999</v>
      </c>
      <c r="O713" s="70">
        <v>92.63580322</v>
      </c>
      <c r="P713" s="70" t="s">
        <v>799</v>
      </c>
      <c r="Q713" s="70" t="s">
        <v>780</v>
      </c>
      <c r="R713" s="437"/>
      <c r="S713" s="438"/>
      <c r="T713" s="104"/>
      <c r="U713" s="100"/>
      <c r="V713" s="70" t="s">
        <v>586</v>
      </c>
      <c r="W713" s="418"/>
      <c r="X713" s="539"/>
      <c r="Y713" s="539"/>
      <c r="Z713" s="539"/>
    </row>
    <row r="714" spans="1:26" s="70" customFormat="1" ht="14.25" customHeight="1">
      <c r="A714" s="418" t="s">
        <v>2705</v>
      </c>
      <c r="B714" s="436" t="s">
        <v>323</v>
      </c>
      <c r="C714" s="435" t="s">
        <v>548</v>
      </c>
      <c r="D714" s="470" t="s">
        <v>1654</v>
      </c>
      <c r="E714" s="70">
        <v>198446</v>
      </c>
      <c r="J714" s="70" t="s">
        <v>798</v>
      </c>
      <c r="K714" s="418" t="s">
        <v>798</v>
      </c>
      <c r="L714" s="418" t="s">
        <v>798</v>
      </c>
      <c r="M714" s="70" t="s">
        <v>298</v>
      </c>
      <c r="N714" s="418">
        <v>20.691099170000001</v>
      </c>
      <c r="O714" s="418">
        <v>92.590652469999995</v>
      </c>
      <c r="P714" s="70" t="s">
        <v>799</v>
      </c>
      <c r="Q714" s="70" t="s">
        <v>780</v>
      </c>
      <c r="R714" s="437"/>
      <c r="S714" s="438"/>
      <c r="T714" s="104"/>
      <c r="U714" s="100"/>
      <c r="V714" s="70" t="s">
        <v>548</v>
      </c>
      <c r="W714" s="418"/>
      <c r="X714" s="539"/>
      <c r="Y714" s="539"/>
      <c r="Z714" s="539"/>
    </row>
    <row r="715" spans="1:26" s="70" customFormat="1" ht="14.25" customHeight="1">
      <c r="A715" s="418" t="s">
        <v>2705</v>
      </c>
      <c r="B715" s="436" t="s">
        <v>323</v>
      </c>
      <c r="C715" s="435" t="s">
        <v>655</v>
      </c>
      <c r="D715" s="470" t="s">
        <v>1654</v>
      </c>
      <c r="E715" s="418">
        <v>198297</v>
      </c>
      <c r="F715" s="418"/>
      <c r="G715" s="418"/>
      <c r="H715" s="418"/>
      <c r="I715" s="418"/>
      <c r="J715" s="418" t="s">
        <v>798</v>
      </c>
      <c r="K715" s="418" t="s">
        <v>798</v>
      </c>
      <c r="L715" s="418" t="s">
        <v>798</v>
      </c>
      <c r="M715" s="418" t="s">
        <v>795</v>
      </c>
      <c r="N715" s="418">
        <v>20.89270973</v>
      </c>
      <c r="O715" s="418">
        <v>92.562187190000003</v>
      </c>
      <c r="P715" s="418" t="s">
        <v>799</v>
      </c>
      <c r="Q715" s="418" t="s">
        <v>780</v>
      </c>
      <c r="R715" s="549"/>
      <c r="S715" s="550"/>
      <c r="T715" s="441"/>
      <c r="U715" s="423"/>
      <c r="V715" s="418" t="s">
        <v>655</v>
      </c>
      <c r="W715" s="418"/>
      <c r="X715" s="539"/>
      <c r="Y715" s="539"/>
      <c r="Z715" s="539"/>
    </row>
    <row r="716" spans="1:26" s="70" customFormat="1" ht="14.25" customHeight="1">
      <c r="A716" s="418" t="s">
        <v>2705</v>
      </c>
      <c r="B716" s="436" t="s">
        <v>323</v>
      </c>
      <c r="C716" s="435" t="s">
        <v>662</v>
      </c>
      <c r="D716" s="470" t="s">
        <v>1654</v>
      </c>
      <c r="E716" s="70">
        <v>198234</v>
      </c>
      <c r="F716" s="418"/>
      <c r="J716" s="70" t="s">
        <v>798</v>
      </c>
      <c r="K716" s="70" t="s">
        <v>798</v>
      </c>
      <c r="L716" s="70" t="s">
        <v>798</v>
      </c>
      <c r="M716" s="70" t="s">
        <v>298</v>
      </c>
      <c r="N716" s="70">
        <v>20.926780699999998</v>
      </c>
      <c r="O716" s="70">
        <v>92.539916989999995</v>
      </c>
      <c r="P716" s="70" t="s">
        <v>799</v>
      </c>
      <c r="Q716" s="70" t="s">
        <v>802</v>
      </c>
      <c r="R716" s="560"/>
      <c r="S716" s="561"/>
      <c r="T716" s="104">
        <v>42926</v>
      </c>
      <c r="U716" s="100" t="s">
        <v>803</v>
      </c>
      <c r="W716" s="418"/>
      <c r="X716" s="539"/>
      <c r="Y716" s="539"/>
      <c r="Z716" s="539"/>
    </row>
    <row r="717" spans="1:26" s="70" customFormat="1" ht="14.25" customHeight="1">
      <c r="A717" s="418" t="s">
        <v>2705</v>
      </c>
      <c r="B717" s="436" t="s">
        <v>323</v>
      </c>
      <c r="C717" s="435" t="s">
        <v>549</v>
      </c>
      <c r="D717" s="470" t="s">
        <v>1654</v>
      </c>
      <c r="E717" s="418">
        <v>198442</v>
      </c>
      <c r="F717" s="418"/>
      <c r="G717" s="418"/>
      <c r="H717" s="418"/>
      <c r="I717" s="418"/>
      <c r="J717" s="418" t="s">
        <v>798</v>
      </c>
      <c r="K717" s="418" t="s">
        <v>798</v>
      </c>
      <c r="L717" s="418" t="s">
        <v>798</v>
      </c>
      <c r="M717" s="418" t="s">
        <v>795</v>
      </c>
      <c r="N717" s="418">
        <v>20.692510599999999</v>
      </c>
      <c r="O717" s="418">
        <v>92.579689029999997</v>
      </c>
      <c r="P717" s="418" t="s">
        <v>799</v>
      </c>
      <c r="Q717" s="418" t="s">
        <v>780</v>
      </c>
      <c r="R717" s="437"/>
      <c r="S717" s="438"/>
      <c r="T717" s="441"/>
      <c r="U717" s="423"/>
      <c r="V717" s="418" t="s">
        <v>549</v>
      </c>
      <c r="W717" s="418"/>
      <c r="X717" s="539"/>
      <c r="Y717" s="539"/>
      <c r="Z717" s="539"/>
    </row>
    <row r="718" spans="1:26" s="70" customFormat="1" ht="14.25" customHeight="1">
      <c r="A718" s="418" t="s">
        <v>2705</v>
      </c>
      <c r="B718" s="436" t="s">
        <v>323</v>
      </c>
      <c r="C718" s="435" t="s">
        <v>648</v>
      </c>
      <c r="D718" s="470" t="s">
        <v>1654</v>
      </c>
      <c r="E718" s="70">
        <v>198302</v>
      </c>
      <c r="J718" s="70" t="s">
        <v>798</v>
      </c>
      <c r="K718" s="70" t="s">
        <v>798</v>
      </c>
      <c r="L718" s="70" t="s">
        <v>798</v>
      </c>
      <c r="M718" s="70" t="s">
        <v>795</v>
      </c>
      <c r="N718" s="70">
        <v>20.884159090000001</v>
      </c>
      <c r="O718" s="70">
        <v>92.551063540000001</v>
      </c>
      <c r="P718" s="70" t="s">
        <v>799</v>
      </c>
      <c r="Q718" s="70" t="s">
        <v>780</v>
      </c>
      <c r="R718" s="549"/>
      <c r="S718" s="550"/>
      <c r="T718" s="104"/>
      <c r="U718" s="100"/>
      <c r="V718" s="70" t="s">
        <v>648</v>
      </c>
      <c r="W718" s="418"/>
      <c r="X718" s="539"/>
      <c r="Y718" s="539"/>
      <c r="Z718" s="539"/>
    </row>
    <row r="719" spans="1:26" s="70" customFormat="1" ht="14.25" customHeight="1">
      <c r="A719" s="418" t="s">
        <v>2705</v>
      </c>
      <c r="B719" s="563" t="s">
        <v>323</v>
      </c>
      <c r="C719" s="562" t="s">
        <v>525</v>
      </c>
      <c r="D719" s="470" t="s">
        <v>1654</v>
      </c>
      <c r="E719" s="418">
        <v>198449</v>
      </c>
      <c r="F719" s="418"/>
      <c r="J719" s="70" t="s">
        <v>798</v>
      </c>
      <c r="K719" s="70" t="s">
        <v>798</v>
      </c>
      <c r="L719" s="70" t="s">
        <v>798</v>
      </c>
      <c r="M719" s="70" t="s">
        <v>795</v>
      </c>
      <c r="N719" s="70">
        <v>20.663370130000001</v>
      </c>
      <c r="O719" s="70">
        <v>92.613876340000004</v>
      </c>
      <c r="P719" s="418" t="s">
        <v>799</v>
      </c>
      <c r="Q719" s="70" t="s">
        <v>780</v>
      </c>
      <c r="R719" s="421"/>
      <c r="S719" s="422"/>
      <c r="T719" s="104"/>
      <c r="U719" s="100"/>
      <c r="V719" s="70" t="s">
        <v>922</v>
      </c>
      <c r="X719" s="539"/>
      <c r="Y719" s="539"/>
      <c r="Z719" s="539"/>
    </row>
    <row r="720" spans="1:26" s="70" customFormat="1" ht="14.25" customHeight="1">
      <c r="A720" s="418" t="s">
        <v>2705</v>
      </c>
      <c r="B720" s="440" t="s">
        <v>323</v>
      </c>
      <c r="C720" s="558" t="s">
        <v>2557</v>
      </c>
      <c r="D720" s="470"/>
      <c r="E720" s="70">
        <v>198351</v>
      </c>
      <c r="F720" s="418" t="s">
        <v>2556</v>
      </c>
      <c r="J720" s="70" t="s">
        <v>798</v>
      </c>
      <c r="K720" s="70" t="s">
        <v>798</v>
      </c>
      <c r="L720" s="70" t="s">
        <v>798</v>
      </c>
      <c r="M720" s="70" t="s">
        <v>795</v>
      </c>
      <c r="Q720" s="70" t="s">
        <v>2681</v>
      </c>
      <c r="R720" s="421"/>
      <c r="S720" s="422"/>
      <c r="T720" s="104"/>
      <c r="U720" s="100"/>
      <c r="X720" s="539"/>
      <c r="Y720" s="539"/>
      <c r="Z720" s="539"/>
    </row>
    <row r="721" spans="1:26" s="70" customFormat="1" ht="14.25" customHeight="1">
      <c r="A721" s="539" t="s">
        <v>2705</v>
      </c>
      <c r="B721" s="563" t="s">
        <v>323</v>
      </c>
      <c r="C721" s="562" t="s">
        <v>578</v>
      </c>
      <c r="D721" s="470" t="s">
        <v>1654</v>
      </c>
      <c r="E721" s="418">
        <v>198400</v>
      </c>
      <c r="F721" s="418"/>
      <c r="J721" s="70" t="s">
        <v>804</v>
      </c>
      <c r="K721" s="70" t="s">
        <v>798</v>
      </c>
      <c r="L721" s="70" t="s">
        <v>804</v>
      </c>
      <c r="M721" s="70" t="s">
        <v>795</v>
      </c>
      <c r="N721" s="418">
        <v>20.733280180000001</v>
      </c>
      <c r="O721" s="418">
        <v>92.601409910000001</v>
      </c>
      <c r="P721" s="70" t="s">
        <v>923</v>
      </c>
      <c r="Q721" s="70" t="s">
        <v>802</v>
      </c>
      <c r="R721" s="545"/>
      <c r="S721" s="422"/>
      <c r="T721" s="441">
        <v>42926</v>
      </c>
      <c r="U721" s="547" t="s">
        <v>933</v>
      </c>
      <c r="W721" s="539"/>
      <c r="X721" s="539"/>
      <c r="Y721" s="539"/>
      <c r="Z721" s="539"/>
    </row>
    <row r="722" spans="1:26" s="70" customFormat="1" ht="14.25" customHeight="1">
      <c r="A722" s="549" t="s">
        <v>2705</v>
      </c>
      <c r="B722" s="560" t="s">
        <v>323</v>
      </c>
      <c r="C722" s="451" t="s">
        <v>588</v>
      </c>
      <c r="D722" s="420" t="s">
        <v>1654</v>
      </c>
      <c r="E722" s="539">
        <v>198408</v>
      </c>
      <c r="F722" s="539"/>
      <c r="G722" s="539"/>
      <c r="H722" s="539"/>
      <c r="I722" s="539"/>
      <c r="J722" s="418" t="s">
        <v>798</v>
      </c>
      <c r="K722" s="418" t="s">
        <v>798</v>
      </c>
      <c r="L722" s="70" t="s">
        <v>798</v>
      </c>
      <c r="M722" s="70" t="s">
        <v>298</v>
      </c>
      <c r="N722" s="539">
        <v>20.76407051</v>
      </c>
      <c r="O722" s="418">
        <v>92.631126399999999</v>
      </c>
      <c r="P722" s="70" t="s">
        <v>799</v>
      </c>
      <c r="Q722" s="539" t="s">
        <v>780</v>
      </c>
      <c r="R722" s="553"/>
      <c r="S722" s="546"/>
      <c r="T722" s="565"/>
      <c r="U722" s="553"/>
      <c r="V722" s="70" t="s">
        <v>588</v>
      </c>
      <c r="W722" s="421"/>
      <c r="X722" s="539"/>
      <c r="Y722" s="539"/>
      <c r="Z722" s="539"/>
    </row>
    <row r="723" spans="1:26" s="70" customFormat="1" ht="14.25" customHeight="1">
      <c r="A723" s="478" t="s">
        <v>2705</v>
      </c>
      <c r="B723" s="487" t="s">
        <v>323</v>
      </c>
      <c r="C723" s="491" t="s">
        <v>2796</v>
      </c>
      <c r="D723" s="544"/>
      <c r="E723" s="480">
        <v>198401</v>
      </c>
      <c r="F723" s="480"/>
      <c r="G723" s="480"/>
      <c r="H723" s="480"/>
      <c r="I723" s="480"/>
      <c r="J723" s="70" t="s">
        <v>2714</v>
      </c>
      <c r="K723" s="70" t="s">
        <v>2676</v>
      </c>
      <c r="L723" s="70" t="s">
        <v>2676</v>
      </c>
      <c r="N723" s="480">
        <v>20.765670776367202</v>
      </c>
      <c r="O723" s="70">
        <v>92.577812194824205</v>
      </c>
      <c r="Q723" s="480"/>
      <c r="R723" s="481"/>
      <c r="S723" s="478"/>
      <c r="T723" s="482">
        <v>43591</v>
      </c>
      <c r="U723" s="483"/>
      <c r="W723" s="545"/>
      <c r="X723" s="539"/>
      <c r="Y723" s="539"/>
      <c r="Z723" s="539"/>
    </row>
    <row r="724" spans="1:26" s="70" customFormat="1" ht="14.25" customHeight="1">
      <c r="A724" s="418" t="s">
        <v>2705</v>
      </c>
      <c r="B724" s="563" t="s">
        <v>323</v>
      </c>
      <c r="C724" s="562" t="s">
        <v>576</v>
      </c>
      <c r="D724" s="470"/>
      <c r="E724" s="418">
        <v>198418</v>
      </c>
      <c r="F724" s="70" t="s">
        <v>576</v>
      </c>
      <c r="J724" s="418" t="s">
        <v>798</v>
      </c>
      <c r="K724" s="418" t="s">
        <v>798</v>
      </c>
      <c r="L724" s="70" t="s">
        <v>798</v>
      </c>
      <c r="M724" s="70" t="s">
        <v>298</v>
      </c>
      <c r="N724" s="418">
        <v>20.7264194488525</v>
      </c>
      <c r="O724" s="418">
        <v>92.671180730000003</v>
      </c>
      <c r="P724" s="70" t="s">
        <v>799</v>
      </c>
      <c r="Q724" s="70" t="s">
        <v>2681</v>
      </c>
      <c r="R724" s="421"/>
      <c r="S724" s="422"/>
      <c r="T724" s="104">
        <v>43580</v>
      </c>
      <c r="U724" s="100" t="s">
        <v>2735</v>
      </c>
      <c r="V724" s="70" t="s">
        <v>576</v>
      </c>
      <c r="X724" s="539"/>
      <c r="Y724" s="539"/>
      <c r="Z724" s="539"/>
    </row>
    <row r="725" spans="1:26" s="70" customFormat="1" ht="14.25" customHeight="1">
      <c r="A725" s="418" t="s">
        <v>2705</v>
      </c>
      <c r="B725" s="559" t="s">
        <v>323</v>
      </c>
      <c r="C725" s="558" t="s">
        <v>537</v>
      </c>
      <c r="D725" s="470" t="s">
        <v>1654</v>
      </c>
      <c r="E725" s="70">
        <v>217886</v>
      </c>
      <c r="J725" s="70" t="s">
        <v>798</v>
      </c>
      <c r="K725" s="418" t="s">
        <v>798</v>
      </c>
      <c r="L725" s="418" t="s">
        <v>798</v>
      </c>
      <c r="M725" s="70" t="s">
        <v>795</v>
      </c>
      <c r="N725" s="418">
        <v>20.678150179999999</v>
      </c>
      <c r="O725" s="418">
        <v>92.587867739999993</v>
      </c>
      <c r="P725" s="70" t="s">
        <v>799</v>
      </c>
      <c r="Q725" s="70" t="s">
        <v>780</v>
      </c>
      <c r="R725" s="421"/>
      <c r="S725" s="422"/>
      <c r="T725" s="104"/>
      <c r="U725" s="100"/>
      <c r="V725" s="70" t="s">
        <v>537</v>
      </c>
      <c r="W725" s="418"/>
      <c r="X725" s="539"/>
      <c r="Y725" s="539"/>
      <c r="Z725" s="539"/>
    </row>
    <row r="726" spans="1:26" s="70" customFormat="1" ht="14.25" customHeight="1">
      <c r="A726" s="418" t="s">
        <v>2705</v>
      </c>
      <c r="B726" s="563" t="s">
        <v>323</v>
      </c>
      <c r="C726" s="562" t="s">
        <v>595</v>
      </c>
      <c r="D726" s="470" t="s">
        <v>1654</v>
      </c>
      <c r="E726" s="70">
        <v>198388</v>
      </c>
      <c r="J726" s="70" t="s">
        <v>798</v>
      </c>
      <c r="K726" s="418" t="s">
        <v>798</v>
      </c>
      <c r="L726" s="418" t="s">
        <v>798</v>
      </c>
      <c r="M726" s="70" t="s">
        <v>298</v>
      </c>
      <c r="N726" s="70">
        <v>20.782770159999998</v>
      </c>
      <c r="O726" s="70">
        <v>92.551826480000003</v>
      </c>
      <c r="P726" s="70" t="s">
        <v>799</v>
      </c>
      <c r="Q726" s="70" t="s">
        <v>802</v>
      </c>
      <c r="R726" s="421"/>
      <c r="S726" s="422"/>
      <c r="T726" s="104">
        <v>42926</v>
      </c>
      <c r="U726" s="100" t="s">
        <v>803</v>
      </c>
      <c r="X726" s="539"/>
      <c r="Y726" s="539"/>
      <c r="Z726" s="539"/>
    </row>
    <row r="727" spans="1:26" s="70" customFormat="1" ht="14.25" customHeight="1">
      <c r="A727" s="418" t="s">
        <v>2705</v>
      </c>
      <c r="B727" s="559" t="s">
        <v>323</v>
      </c>
      <c r="C727" s="558" t="s">
        <v>2559</v>
      </c>
      <c r="D727" s="470"/>
      <c r="F727" s="70" t="s">
        <v>2683</v>
      </c>
      <c r="J727" s="70" t="s">
        <v>798</v>
      </c>
      <c r="K727" s="418" t="s">
        <v>798</v>
      </c>
      <c r="L727" s="418" t="s">
        <v>798</v>
      </c>
      <c r="M727" s="70" t="s">
        <v>795</v>
      </c>
      <c r="Q727" s="70" t="s">
        <v>2681</v>
      </c>
      <c r="R727" s="421"/>
      <c r="S727" s="422"/>
      <c r="T727" s="104"/>
      <c r="U727" s="100"/>
      <c r="X727" s="539"/>
      <c r="Y727" s="539"/>
      <c r="Z727" s="539"/>
    </row>
    <row r="728" spans="1:26" s="70" customFormat="1" ht="14.25" customHeight="1">
      <c r="A728" s="418" t="s">
        <v>2705</v>
      </c>
      <c r="B728" s="436" t="s">
        <v>323</v>
      </c>
      <c r="C728" s="435" t="s">
        <v>590</v>
      </c>
      <c r="D728" s="470" t="s">
        <v>1654</v>
      </c>
      <c r="E728" s="70">
        <v>198409</v>
      </c>
      <c r="F728" s="70" t="s">
        <v>2689</v>
      </c>
      <c r="J728" s="70" t="s">
        <v>798</v>
      </c>
      <c r="K728" s="70" t="s">
        <v>798</v>
      </c>
      <c r="L728" s="70" t="s">
        <v>798</v>
      </c>
      <c r="M728" s="70" t="s">
        <v>298</v>
      </c>
      <c r="N728" s="70">
        <v>20.767719270000001</v>
      </c>
      <c r="O728" s="70">
        <v>92.631736759999995</v>
      </c>
      <c r="P728" s="70" t="s">
        <v>799</v>
      </c>
      <c r="Q728" s="70" t="s">
        <v>2681</v>
      </c>
      <c r="R728" s="421"/>
      <c r="S728" s="422"/>
      <c r="T728" s="104"/>
      <c r="U728" s="100"/>
      <c r="V728" s="70" t="s">
        <v>590</v>
      </c>
      <c r="X728" s="539"/>
      <c r="Y728" s="539"/>
      <c r="Z728" s="539"/>
    </row>
    <row r="729" spans="1:26" s="70" customFormat="1" ht="14.25" customHeight="1">
      <c r="A729" s="418" t="s">
        <v>2705</v>
      </c>
      <c r="B729" s="436" t="s">
        <v>323</v>
      </c>
      <c r="C729" s="435" t="s">
        <v>2858</v>
      </c>
      <c r="D729" s="470"/>
      <c r="E729" s="70">
        <v>198362</v>
      </c>
      <c r="J729" s="70" t="s">
        <v>2714</v>
      </c>
      <c r="K729" s="70" t="s">
        <v>2676</v>
      </c>
      <c r="L729" s="70" t="s">
        <v>2676</v>
      </c>
      <c r="R729" s="421"/>
      <c r="S729" s="422"/>
      <c r="T729" s="104"/>
      <c r="U729" s="100"/>
      <c r="W729" s="418"/>
      <c r="X729" s="539"/>
      <c r="Y729" s="539"/>
      <c r="Z729" s="539"/>
    </row>
    <row r="730" spans="1:26" s="70" customFormat="1" ht="14.25" customHeight="1">
      <c r="A730" s="418" t="s">
        <v>2705</v>
      </c>
      <c r="B730" s="436" t="s">
        <v>323</v>
      </c>
      <c r="C730" s="435" t="s">
        <v>659</v>
      </c>
      <c r="D730" s="470" t="s">
        <v>1654</v>
      </c>
      <c r="E730" s="70">
        <v>198318</v>
      </c>
      <c r="J730" s="70" t="s">
        <v>798</v>
      </c>
      <c r="K730" s="70" t="s">
        <v>798</v>
      </c>
      <c r="L730" s="70" t="s">
        <v>798</v>
      </c>
      <c r="M730" s="70" t="s">
        <v>795</v>
      </c>
      <c r="N730" s="70">
        <v>20.895900730000001</v>
      </c>
      <c r="O730" s="70">
        <v>92.497329710000002</v>
      </c>
      <c r="P730" s="70" t="s">
        <v>799</v>
      </c>
      <c r="Q730" s="70" t="s">
        <v>780</v>
      </c>
      <c r="R730" s="421"/>
      <c r="S730" s="422"/>
      <c r="T730" s="104"/>
      <c r="U730" s="100"/>
      <c r="V730" s="70" t="s">
        <v>659</v>
      </c>
      <c r="X730" s="539"/>
      <c r="Y730" s="539"/>
      <c r="Z730" s="539"/>
    </row>
    <row r="731" spans="1:26" s="70" customFormat="1" ht="14.25" customHeight="1">
      <c r="A731" s="418" t="s">
        <v>2705</v>
      </c>
      <c r="B731" s="436" t="s">
        <v>323</v>
      </c>
      <c r="C731" s="435" t="s">
        <v>645</v>
      </c>
      <c r="D731" s="470" t="s">
        <v>1654</v>
      </c>
      <c r="E731" s="70">
        <v>198299</v>
      </c>
      <c r="J731" s="70" t="s">
        <v>798</v>
      </c>
      <c r="K731" s="70" t="s">
        <v>798</v>
      </c>
      <c r="L731" s="70" t="s">
        <v>798</v>
      </c>
      <c r="M731" s="70" t="s">
        <v>795</v>
      </c>
      <c r="N731" s="70">
        <v>20.88254929</v>
      </c>
      <c r="O731" s="70">
        <v>92.551338200000004</v>
      </c>
      <c r="P731" s="70" t="s">
        <v>799</v>
      </c>
      <c r="Q731" s="70" t="s">
        <v>780</v>
      </c>
      <c r="R731" s="421"/>
      <c r="S731" s="422"/>
      <c r="T731" s="104"/>
      <c r="U731" s="100"/>
      <c r="V731" s="70" t="s">
        <v>945</v>
      </c>
      <c r="W731" s="418"/>
      <c r="X731" s="539"/>
      <c r="Y731" s="539"/>
      <c r="Z731" s="539"/>
    </row>
    <row r="732" spans="1:26" s="70" customFormat="1" ht="14.25" customHeight="1">
      <c r="A732" s="418" t="s">
        <v>2705</v>
      </c>
      <c r="B732" s="436" t="s">
        <v>323</v>
      </c>
      <c r="C732" s="435" t="s">
        <v>526</v>
      </c>
      <c r="D732" s="470" t="s">
        <v>1654</v>
      </c>
      <c r="E732" s="70">
        <v>198451</v>
      </c>
      <c r="J732" s="70" t="s">
        <v>798</v>
      </c>
      <c r="K732" s="70" t="s">
        <v>798</v>
      </c>
      <c r="L732" s="70" t="s">
        <v>798</v>
      </c>
      <c r="M732" s="70" t="s">
        <v>795</v>
      </c>
      <c r="N732" s="70">
        <v>20.663879390000002</v>
      </c>
      <c r="O732" s="70">
        <v>92.609306340000003</v>
      </c>
      <c r="P732" s="70" t="s">
        <v>799</v>
      </c>
      <c r="Q732" s="70" t="s">
        <v>780</v>
      </c>
      <c r="R732" s="421"/>
      <c r="S732" s="422"/>
      <c r="T732" s="104"/>
      <c r="U732" s="100"/>
      <c r="V732" s="70" t="s">
        <v>526</v>
      </c>
      <c r="W732" s="418"/>
      <c r="X732" s="539"/>
      <c r="Y732" s="539"/>
      <c r="Z732" s="539"/>
    </row>
    <row r="733" spans="1:26" s="70" customFormat="1" ht="14.25" customHeight="1">
      <c r="A733" s="418" t="s">
        <v>2705</v>
      </c>
      <c r="B733" s="436" t="s">
        <v>323</v>
      </c>
      <c r="C733" s="435" t="s">
        <v>528</v>
      </c>
      <c r="D733" s="470" t="s">
        <v>1654</v>
      </c>
      <c r="E733" s="418">
        <v>198452</v>
      </c>
      <c r="J733" s="70" t="s">
        <v>798</v>
      </c>
      <c r="K733" s="418" t="s">
        <v>798</v>
      </c>
      <c r="L733" s="418" t="s">
        <v>798</v>
      </c>
      <c r="M733" s="70" t="s">
        <v>298</v>
      </c>
      <c r="N733" s="70">
        <v>20.667749400000002</v>
      </c>
      <c r="O733" s="70">
        <v>92.608650209999993</v>
      </c>
      <c r="P733" s="70" t="s">
        <v>799</v>
      </c>
      <c r="Q733" s="70" t="s">
        <v>780</v>
      </c>
      <c r="R733" s="421"/>
      <c r="S733" s="99"/>
      <c r="T733" s="441"/>
      <c r="U733" s="100"/>
      <c r="V733" s="70" t="s">
        <v>528</v>
      </c>
      <c r="W733" s="418"/>
      <c r="X733" s="539"/>
      <c r="Y733" s="539"/>
      <c r="Z733" s="539"/>
    </row>
    <row r="734" spans="1:26" s="70" customFormat="1" ht="14.25" customHeight="1">
      <c r="A734" s="418" t="s">
        <v>2705</v>
      </c>
      <c r="B734" s="436" t="s">
        <v>323</v>
      </c>
      <c r="C734" s="435" t="s">
        <v>602</v>
      </c>
      <c r="D734" s="470" t="s">
        <v>1654</v>
      </c>
      <c r="E734" s="418">
        <v>198380</v>
      </c>
      <c r="F734" s="418"/>
      <c r="G734" s="418"/>
      <c r="H734" s="418"/>
      <c r="I734" s="418"/>
      <c r="J734" s="70" t="s">
        <v>798</v>
      </c>
      <c r="K734" s="418" t="s">
        <v>798</v>
      </c>
      <c r="L734" s="418" t="s">
        <v>798</v>
      </c>
      <c r="M734" s="70" t="s">
        <v>795</v>
      </c>
      <c r="N734" s="70">
        <v>20.787410739999999</v>
      </c>
      <c r="O734" s="70">
        <v>92.55155182</v>
      </c>
      <c r="P734" s="70" t="s">
        <v>799</v>
      </c>
      <c r="Q734" s="70" t="s">
        <v>780</v>
      </c>
      <c r="R734" s="421"/>
      <c r="S734" s="422"/>
      <c r="T734" s="441"/>
      <c r="U734" s="100"/>
      <c r="V734" s="70" t="s">
        <v>602</v>
      </c>
      <c r="X734" s="539"/>
      <c r="Y734" s="539"/>
      <c r="Z734" s="539"/>
    </row>
    <row r="735" spans="1:26" s="70" customFormat="1" ht="14.25" customHeight="1">
      <c r="A735" s="546" t="s">
        <v>2705</v>
      </c>
      <c r="B735" s="560" t="s">
        <v>323</v>
      </c>
      <c r="C735" s="451" t="s">
        <v>604</v>
      </c>
      <c r="D735" s="544" t="s">
        <v>1654</v>
      </c>
      <c r="E735" s="70">
        <v>198378</v>
      </c>
      <c r="J735" s="70" t="s">
        <v>798</v>
      </c>
      <c r="K735" s="70" t="s">
        <v>798</v>
      </c>
      <c r="L735" s="70" t="s">
        <v>798</v>
      </c>
      <c r="M735" s="70" t="s">
        <v>795</v>
      </c>
      <c r="N735" s="70">
        <v>20.791679380000001</v>
      </c>
      <c r="O735" s="70">
        <v>92.550903320000003</v>
      </c>
      <c r="P735" s="70" t="s">
        <v>799</v>
      </c>
      <c r="Q735" s="418" t="s">
        <v>780</v>
      </c>
      <c r="R735" s="553"/>
      <c r="S735" s="422"/>
      <c r="T735" s="441"/>
      <c r="U735" s="553"/>
      <c r="V735" s="70" t="s">
        <v>604</v>
      </c>
      <c r="W735" s="545"/>
      <c r="X735" s="539"/>
      <c r="Y735" s="539"/>
      <c r="Z735" s="539"/>
    </row>
    <row r="736" spans="1:26" s="70" customFormat="1" ht="14.25" customHeight="1">
      <c r="A736" s="418" t="s">
        <v>2705</v>
      </c>
      <c r="B736" s="436" t="s">
        <v>323</v>
      </c>
      <c r="C736" s="435" t="s">
        <v>2884</v>
      </c>
      <c r="D736" s="470"/>
      <c r="E736" s="418">
        <v>198407</v>
      </c>
      <c r="F736" s="418"/>
      <c r="G736" s="418"/>
      <c r="H736" s="418"/>
      <c r="I736" s="418"/>
      <c r="J736" s="418" t="s">
        <v>798</v>
      </c>
      <c r="K736" s="418" t="s">
        <v>798</v>
      </c>
      <c r="L736" s="418" t="s">
        <v>798</v>
      </c>
      <c r="M736" s="418" t="s">
        <v>795</v>
      </c>
      <c r="N736" s="418">
        <v>20.775840759277301</v>
      </c>
      <c r="O736" s="418">
        <v>92.613082885742202</v>
      </c>
      <c r="P736" s="418" t="s">
        <v>799</v>
      </c>
      <c r="Q736" s="418"/>
      <c r="R736" s="421"/>
      <c r="S736" s="422"/>
      <c r="T736" s="441"/>
      <c r="U736" s="423"/>
      <c r="V736" s="418" t="s">
        <v>593</v>
      </c>
      <c r="W736" s="418"/>
      <c r="X736" s="539"/>
      <c r="Y736" s="539"/>
      <c r="Z736" s="539"/>
    </row>
    <row r="737" spans="1:26" s="70" customFormat="1" ht="14.25" customHeight="1">
      <c r="A737" s="418" t="s">
        <v>2705</v>
      </c>
      <c r="B737" s="436" t="s">
        <v>323</v>
      </c>
      <c r="C737" s="435" t="s">
        <v>2561</v>
      </c>
      <c r="D737" s="470"/>
      <c r="E737" s="70">
        <v>198337</v>
      </c>
      <c r="F737" s="70" t="s">
        <v>613</v>
      </c>
      <c r="J737" s="70" t="s">
        <v>798</v>
      </c>
      <c r="K737" s="70" t="s">
        <v>798</v>
      </c>
      <c r="L737" s="70" t="s">
        <v>798</v>
      </c>
      <c r="M737" s="70" t="s">
        <v>298</v>
      </c>
      <c r="Q737" s="70" t="s">
        <v>2681</v>
      </c>
      <c r="R737" s="421"/>
      <c r="S737" s="422"/>
      <c r="T737" s="104"/>
      <c r="U737" s="100"/>
      <c r="X737" s="539"/>
      <c r="Y737" s="539"/>
      <c r="Z737" s="539"/>
    </row>
    <row r="738" spans="1:26" s="70" customFormat="1" ht="14.25" customHeight="1">
      <c r="A738" s="418" t="s">
        <v>2705</v>
      </c>
      <c r="B738" s="436" t="s">
        <v>323</v>
      </c>
      <c r="C738" s="435" t="s">
        <v>557</v>
      </c>
      <c r="D738" s="470" t="s">
        <v>1654</v>
      </c>
      <c r="E738" s="418">
        <v>198423</v>
      </c>
      <c r="F738" s="418"/>
      <c r="G738" s="418"/>
      <c r="H738" s="418"/>
      <c r="I738" s="418"/>
      <c r="J738" s="418" t="s">
        <v>798</v>
      </c>
      <c r="K738" s="418" t="s">
        <v>798</v>
      </c>
      <c r="L738" s="418" t="s">
        <v>798</v>
      </c>
      <c r="M738" s="418" t="s">
        <v>298</v>
      </c>
      <c r="N738" s="418">
        <v>20.707460399999999</v>
      </c>
      <c r="O738" s="418">
        <v>92.680862430000005</v>
      </c>
      <c r="P738" s="418" t="s">
        <v>799</v>
      </c>
      <c r="Q738" s="418" t="s">
        <v>780</v>
      </c>
      <c r="R738" s="421"/>
      <c r="S738" s="422"/>
      <c r="T738" s="441"/>
      <c r="U738" s="423"/>
      <c r="V738" s="418" t="s">
        <v>557</v>
      </c>
      <c r="W738" s="418"/>
      <c r="X738" s="539"/>
      <c r="Y738" s="539"/>
      <c r="Z738" s="539"/>
    </row>
    <row r="739" spans="1:26" s="70" customFormat="1" ht="14.25" customHeight="1">
      <c r="A739" s="418" t="s">
        <v>2705</v>
      </c>
      <c r="B739" s="563" t="s">
        <v>323</v>
      </c>
      <c r="C739" s="562" t="s">
        <v>2560</v>
      </c>
      <c r="D739" s="470"/>
      <c r="E739" s="70">
        <v>198363</v>
      </c>
      <c r="F739" s="70" t="s">
        <v>2683</v>
      </c>
      <c r="J739" s="70" t="s">
        <v>798</v>
      </c>
      <c r="K739" s="70" t="s">
        <v>798</v>
      </c>
      <c r="L739" s="70" t="s">
        <v>798</v>
      </c>
      <c r="M739" s="70" t="s">
        <v>298</v>
      </c>
      <c r="Q739" s="70" t="s">
        <v>2681</v>
      </c>
      <c r="R739" s="421"/>
      <c r="S739" s="422"/>
      <c r="T739" s="104"/>
      <c r="U739" s="100"/>
      <c r="X739" s="539"/>
      <c r="Y739" s="539"/>
      <c r="Z739" s="539"/>
    </row>
    <row r="740" spans="1:26" s="70" customFormat="1" ht="14.25" customHeight="1">
      <c r="A740" s="418" t="s">
        <v>2705</v>
      </c>
      <c r="B740" s="436" t="s">
        <v>323</v>
      </c>
      <c r="C740" s="435" t="s">
        <v>587</v>
      </c>
      <c r="D740" s="470" t="s">
        <v>1654</v>
      </c>
      <c r="E740" s="70">
        <v>198391</v>
      </c>
      <c r="J740" s="70" t="s">
        <v>798</v>
      </c>
      <c r="K740" s="418" t="s">
        <v>798</v>
      </c>
      <c r="L740" s="418" t="s">
        <v>798</v>
      </c>
      <c r="M740" s="70" t="s">
        <v>795</v>
      </c>
      <c r="N740" s="70">
        <v>20.761529920000001</v>
      </c>
      <c r="O740" s="70">
        <v>92.544082639999999</v>
      </c>
      <c r="P740" s="70" t="s">
        <v>799</v>
      </c>
      <c r="Q740" s="70" t="s">
        <v>780</v>
      </c>
      <c r="R740" s="98"/>
      <c r="S740" s="422"/>
      <c r="T740" s="104"/>
      <c r="U740" s="100"/>
      <c r="V740" s="70" t="s">
        <v>587</v>
      </c>
      <c r="W740" s="418"/>
      <c r="X740" s="539"/>
      <c r="Y740" s="539"/>
      <c r="Z740" s="539"/>
    </row>
    <row r="741" spans="1:26" s="70" customFormat="1" ht="14.25" customHeight="1">
      <c r="A741" s="418" t="s">
        <v>2705</v>
      </c>
      <c r="B741" s="559" t="s">
        <v>323</v>
      </c>
      <c r="C741" s="558" t="s">
        <v>546</v>
      </c>
      <c r="D741" s="470" t="s">
        <v>1654</v>
      </c>
      <c r="E741" s="539">
        <v>198421</v>
      </c>
      <c r="F741" s="539"/>
      <c r="G741" s="539"/>
      <c r="H741" s="539"/>
      <c r="I741" s="539"/>
      <c r="J741" s="539" t="s">
        <v>798</v>
      </c>
      <c r="K741" s="539" t="s">
        <v>798</v>
      </c>
      <c r="L741" s="539" t="s">
        <v>798</v>
      </c>
      <c r="M741" s="539" t="s">
        <v>298</v>
      </c>
      <c r="N741" s="539">
        <v>20.688310619999999</v>
      </c>
      <c r="O741" s="539">
        <v>92.696960450000006</v>
      </c>
      <c r="P741" s="539" t="s">
        <v>799</v>
      </c>
      <c r="Q741" s="539" t="s">
        <v>780</v>
      </c>
      <c r="R741" s="545"/>
      <c r="S741" s="546"/>
      <c r="T741" s="565"/>
      <c r="U741" s="547"/>
      <c r="V741" s="539" t="s">
        <v>546</v>
      </c>
      <c r="W741" s="539"/>
      <c r="X741" s="539"/>
      <c r="Y741" s="539"/>
      <c r="Z741" s="539"/>
    </row>
    <row r="742" spans="1:26" s="70" customFormat="1" ht="14.25" customHeight="1">
      <c r="A742" s="539" t="s">
        <v>2705</v>
      </c>
      <c r="B742" s="559" t="s">
        <v>323</v>
      </c>
      <c r="C742" s="558" t="s">
        <v>2570</v>
      </c>
      <c r="D742" s="470" t="s">
        <v>1654</v>
      </c>
      <c r="E742" s="70">
        <v>198300</v>
      </c>
      <c r="F742" s="418" t="s">
        <v>2688</v>
      </c>
      <c r="J742" s="70" t="s">
        <v>798</v>
      </c>
      <c r="K742" s="418" t="s">
        <v>798</v>
      </c>
      <c r="L742" s="418" t="s">
        <v>798</v>
      </c>
      <c r="M742" s="70" t="s">
        <v>298</v>
      </c>
      <c r="N742" s="70">
        <v>20.887420649999999</v>
      </c>
      <c r="O742" s="70">
        <v>92.545410160000003</v>
      </c>
      <c r="P742" s="70" t="s">
        <v>799</v>
      </c>
      <c r="Q742" s="70" t="s">
        <v>780</v>
      </c>
      <c r="R742" s="545"/>
      <c r="S742" s="99"/>
      <c r="T742" s="104"/>
      <c r="U742" s="547"/>
      <c r="V742" s="70" t="s">
        <v>947</v>
      </c>
      <c r="W742" s="539"/>
      <c r="X742" s="539"/>
      <c r="Y742" s="539"/>
      <c r="Z742" s="539"/>
    </row>
    <row r="743" spans="1:26" s="70" customFormat="1" ht="14.25" customHeight="1">
      <c r="A743" s="418" t="s">
        <v>2705</v>
      </c>
      <c r="B743" s="512" t="s">
        <v>323</v>
      </c>
      <c r="C743" s="514" t="s">
        <v>2566</v>
      </c>
      <c r="D743" s="544"/>
      <c r="E743" s="201">
        <v>198434</v>
      </c>
      <c r="F743" s="201" t="s">
        <v>2686</v>
      </c>
      <c r="G743" s="201"/>
      <c r="H743" s="201"/>
      <c r="I743" s="201"/>
      <c r="J743" s="201" t="s">
        <v>798</v>
      </c>
      <c r="K743" s="201" t="s">
        <v>798</v>
      </c>
      <c r="L743" s="201" t="s">
        <v>798</v>
      </c>
      <c r="M743" s="201" t="s">
        <v>795</v>
      </c>
      <c r="N743" s="201"/>
      <c r="O743" s="201"/>
      <c r="P743" s="201"/>
      <c r="Q743" s="201" t="s">
        <v>2681</v>
      </c>
      <c r="R743" s="202"/>
      <c r="S743" s="200"/>
      <c r="T743" s="203"/>
      <c r="U743" s="204"/>
      <c r="V743" s="201"/>
      <c r="W743" s="545"/>
      <c r="X743" s="539"/>
      <c r="Y743" s="539"/>
      <c r="Z743" s="539"/>
    </row>
    <row r="744" spans="1:26" s="70" customFormat="1" ht="14.25" customHeight="1">
      <c r="A744" s="549" t="s">
        <v>2705</v>
      </c>
      <c r="B744" s="560" t="s">
        <v>323</v>
      </c>
      <c r="C744" s="451" t="s">
        <v>2567</v>
      </c>
      <c r="D744" s="544"/>
      <c r="E744" s="70">
        <v>198433</v>
      </c>
      <c r="F744" s="70" t="s">
        <v>2686</v>
      </c>
      <c r="J744" s="70" t="s">
        <v>798</v>
      </c>
      <c r="K744" s="418" t="s">
        <v>798</v>
      </c>
      <c r="L744" s="418" t="s">
        <v>798</v>
      </c>
      <c r="M744" s="70" t="s">
        <v>298</v>
      </c>
      <c r="O744" s="418"/>
      <c r="Q744" s="70" t="s">
        <v>2681</v>
      </c>
      <c r="R744" s="553"/>
      <c r="S744" s="422"/>
      <c r="T744" s="104"/>
      <c r="U744" s="553"/>
      <c r="W744" s="545"/>
      <c r="X744" s="539"/>
      <c r="Y744" s="539"/>
      <c r="Z744" s="539"/>
    </row>
    <row r="745" spans="1:26" s="70" customFormat="1" ht="14.25" customHeight="1">
      <c r="A745" s="418" t="s">
        <v>2705</v>
      </c>
      <c r="B745" s="436" t="s">
        <v>323</v>
      </c>
      <c r="C745" s="491" t="s">
        <v>2797</v>
      </c>
      <c r="D745" s="470"/>
      <c r="F745" s="480"/>
      <c r="J745" s="70" t="s">
        <v>2714</v>
      </c>
      <c r="K745" s="70" t="s">
        <v>2676</v>
      </c>
      <c r="L745" s="70" t="s">
        <v>2676</v>
      </c>
      <c r="R745" s="421"/>
      <c r="S745" s="99"/>
      <c r="T745" s="482">
        <v>43591</v>
      </c>
      <c r="U745" s="483"/>
      <c r="X745" s="539"/>
      <c r="Y745" s="539"/>
      <c r="Z745" s="539"/>
    </row>
    <row r="746" spans="1:26" s="539" customFormat="1" ht="14.25" customHeight="1">
      <c r="A746" s="539" t="s">
        <v>2705</v>
      </c>
      <c r="B746" s="559" t="s">
        <v>323</v>
      </c>
      <c r="C746" s="489" t="s">
        <v>2736</v>
      </c>
      <c r="D746" s="544" t="s">
        <v>1654</v>
      </c>
      <c r="E746" s="539">
        <v>198398</v>
      </c>
      <c r="F746" s="539" t="s">
        <v>2737</v>
      </c>
      <c r="J746" s="539" t="s">
        <v>879</v>
      </c>
      <c r="K746" s="539" t="s">
        <v>879</v>
      </c>
      <c r="L746" s="539" t="s">
        <v>879</v>
      </c>
      <c r="M746" s="539" t="s">
        <v>795</v>
      </c>
      <c r="N746" s="539">
        <v>20.741249079999999</v>
      </c>
      <c r="O746" s="539">
        <v>92.610519409999995</v>
      </c>
      <c r="P746" s="539" t="s">
        <v>799</v>
      </c>
      <c r="Q746" s="539" t="s">
        <v>780</v>
      </c>
      <c r="R746" s="553"/>
      <c r="S746" s="546"/>
      <c r="T746" s="565">
        <v>43580</v>
      </c>
      <c r="U746" s="592" t="s">
        <v>2735</v>
      </c>
      <c r="V746" s="539" t="s">
        <v>581</v>
      </c>
      <c r="W746" s="545"/>
    </row>
    <row r="747" spans="1:26" s="70" customFormat="1" ht="14.25" customHeight="1">
      <c r="A747" s="418" t="s">
        <v>2705</v>
      </c>
      <c r="B747" s="436" t="s">
        <v>323</v>
      </c>
      <c r="C747" s="435" t="s">
        <v>580</v>
      </c>
      <c r="D747" s="470" t="s">
        <v>1654</v>
      </c>
      <c r="E747" s="418">
        <v>198399</v>
      </c>
      <c r="F747" s="418"/>
      <c r="G747" s="418"/>
      <c r="H747" s="418"/>
      <c r="I747" s="418"/>
      <c r="J747" s="418" t="s">
        <v>798</v>
      </c>
      <c r="K747" s="418" t="s">
        <v>798</v>
      </c>
      <c r="L747" s="418" t="s">
        <v>798</v>
      </c>
      <c r="M747" s="418" t="s">
        <v>298</v>
      </c>
      <c r="N747" s="418">
        <v>20.739839549999999</v>
      </c>
      <c r="O747" s="418">
        <v>92.613456729999996</v>
      </c>
      <c r="P747" s="418" t="s">
        <v>799</v>
      </c>
      <c r="Q747" s="418" t="s">
        <v>780</v>
      </c>
      <c r="R747" s="421"/>
      <c r="S747" s="422"/>
      <c r="T747" s="441"/>
      <c r="U747" s="423"/>
      <c r="V747" s="418" t="s">
        <v>580</v>
      </c>
      <c r="W747" s="418"/>
      <c r="X747" s="539"/>
      <c r="Y747" s="539"/>
      <c r="Z747" s="539"/>
    </row>
    <row r="748" spans="1:26" s="70" customFormat="1" ht="14.25" customHeight="1">
      <c r="A748" s="418" t="s">
        <v>2705</v>
      </c>
      <c r="B748" s="563" t="s">
        <v>323</v>
      </c>
      <c r="C748" s="562" t="s">
        <v>529</v>
      </c>
      <c r="D748" s="470" t="s">
        <v>1654</v>
      </c>
      <c r="E748" s="70">
        <v>198448</v>
      </c>
      <c r="J748" s="70" t="s">
        <v>798</v>
      </c>
      <c r="K748" s="418" t="s">
        <v>798</v>
      </c>
      <c r="L748" s="418" t="s">
        <v>798</v>
      </c>
      <c r="M748" s="70" t="s">
        <v>298</v>
      </c>
      <c r="N748" s="70">
        <v>20.669130330000002</v>
      </c>
      <c r="O748" s="70">
        <v>92.595497129999998</v>
      </c>
      <c r="P748" s="70" t="s">
        <v>799</v>
      </c>
      <c r="Q748" s="418" t="s">
        <v>780</v>
      </c>
      <c r="R748" s="421"/>
      <c r="S748" s="422"/>
      <c r="T748" s="441"/>
      <c r="U748" s="100"/>
      <c r="V748" s="70" t="s">
        <v>529</v>
      </c>
      <c r="X748" s="539"/>
      <c r="Y748" s="539"/>
      <c r="Z748" s="539"/>
    </row>
    <row r="749" spans="1:26" s="70" customFormat="1" ht="14.25" customHeight="1">
      <c r="A749" s="418" t="s">
        <v>2705</v>
      </c>
      <c r="B749" s="563" t="s">
        <v>323</v>
      </c>
      <c r="C749" s="562" t="s">
        <v>534</v>
      </c>
      <c r="D749" s="470" t="s">
        <v>1654</v>
      </c>
      <c r="E749" s="70">
        <v>198447</v>
      </c>
      <c r="F749" s="418"/>
      <c r="J749" s="70" t="s">
        <v>798</v>
      </c>
      <c r="K749" s="418" t="s">
        <v>798</v>
      </c>
      <c r="L749" s="418" t="s">
        <v>798</v>
      </c>
      <c r="M749" s="70" t="s">
        <v>795</v>
      </c>
      <c r="N749" s="70">
        <v>20.674699780000001</v>
      </c>
      <c r="O749" s="70">
        <v>92.590393070000005</v>
      </c>
      <c r="P749" s="70" t="s">
        <v>799</v>
      </c>
      <c r="Q749" s="70" t="s">
        <v>780</v>
      </c>
      <c r="R749" s="421"/>
      <c r="S749" s="422"/>
      <c r="T749" s="104"/>
      <c r="U749" s="100"/>
      <c r="V749" s="70" t="s">
        <v>534</v>
      </c>
      <c r="X749" s="539"/>
      <c r="Y749" s="539"/>
      <c r="Z749" s="539"/>
    </row>
    <row r="750" spans="1:26" s="70" customFormat="1" ht="14.25" customHeight="1">
      <c r="A750" s="418" t="s">
        <v>2705</v>
      </c>
      <c r="B750" s="440" t="s">
        <v>323</v>
      </c>
      <c r="C750" s="439" t="s">
        <v>592</v>
      </c>
      <c r="D750" s="470" t="s">
        <v>1654</v>
      </c>
      <c r="E750" s="418">
        <v>198410</v>
      </c>
      <c r="J750" s="70" t="s">
        <v>798</v>
      </c>
      <c r="K750" s="70" t="s">
        <v>798</v>
      </c>
      <c r="L750" s="70" t="s">
        <v>798</v>
      </c>
      <c r="M750" s="70" t="s">
        <v>298</v>
      </c>
      <c r="N750" s="70">
        <v>20.772550580000001</v>
      </c>
      <c r="O750" s="70">
        <v>92.638290409999996</v>
      </c>
      <c r="P750" s="70" t="s">
        <v>799</v>
      </c>
      <c r="Q750" s="418" t="s">
        <v>780</v>
      </c>
      <c r="R750" s="421"/>
      <c r="S750" s="422"/>
      <c r="T750" s="441"/>
      <c r="U750" s="100"/>
      <c r="V750" s="70" t="s">
        <v>592</v>
      </c>
      <c r="W750" s="418"/>
      <c r="X750" s="539"/>
      <c r="Y750" s="539"/>
      <c r="Z750" s="539"/>
    </row>
    <row r="751" spans="1:26" s="70" customFormat="1" ht="14.25" customHeight="1">
      <c r="A751" s="418" t="s">
        <v>2705</v>
      </c>
      <c r="B751" s="440" t="s">
        <v>323</v>
      </c>
      <c r="C751" s="439" t="s">
        <v>354</v>
      </c>
      <c r="D751" s="470" t="s">
        <v>1654</v>
      </c>
      <c r="E751" s="418"/>
      <c r="J751" s="70" t="s">
        <v>798</v>
      </c>
      <c r="K751" s="539" t="s">
        <v>798</v>
      </c>
      <c r="L751" s="539" t="s">
        <v>798</v>
      </c>
      <c r="M751" s="70" t="s">
        <v>1149</v>
      </c>
      <c r="P751" s="70" t="s">
        <v>799</v>
      </c>
      <c r="Q751" s="70" t="s">
        <v>780</v>
      </c>
      <c r="R751" s="421"/>
      <c r="S751" s="422"/>
      <c r="T751" s="104"/>
      <c r="U751" s="100"/>
      <c r="V751" s="70" t="s">
        <v>354</v>
      </c>
      <c r="W751" s="418"/>
      <c r="X751" s="539"/>
      <c r="Y751" s="539"/>
      <c r="Z751" s="539"/>
    </row>
    <row r="752" spans="1:26" s="70" customFormat="1" ht="14.25" customHeight="1">
      <c r="A752" s="418" t="s">
        <v>2705</v>
      </c>
      <c r="B752" s="440" t="s">
        <v>323</v>
      </c>
      <c r="C752" s="439" t="s">
        <v>2591</v>
      </c>
      <c r="D752" s="470"/>
      <c r="J752" s="70" t="s">
        <v>2714</v>
      </c>
      <c r="K752" s="418" t="s">
        <v>2676</v>
      </c>
      <c r="L752" s="418" t="s">
        <v>2676</v>
      </c>
      <c r="R752" s="421"/>
      <c r="S752" s="422"/>
      <c r="T752" s="104"/>
      <c r="U752" s="100"/>
      <c r="X752" s="539"/>
      <c r="Y752" s="539"/>
      <c r="Z752" s="539"/>
    </row>
    <row r="753" spans="1:26" ht="14.25" customHeight="1">
      <c r="A753" s="418" t="s">
        <v>2705</v>
      </c>
      <c r="B753" s="440" t="s">
        <v>323</v>
      </c>
      <c r="C753" s="439" t="s">
        <v>2558</v>
      </c>
      <c r="D753" s="470"/>
      <c r="E753" s="418">
        <v>198370</v>
      </c>
      <c r="F753" s="418" t="s">
        <v>2682</v>
      </c>
      <c r="G753" s="418"/>
      <c r="H753" s="418"/>
      <c r="I753" s="418"/>
      <c r="J753" s="70" t="s">
        <v>798</v>
      </c>
      <c r="K753" s="559" t="s">
        <v>798</v>
      </c>
      <c r="L753" s="559" t="s">
        <v>798</v>
      </c>
      <c r="M753" s="70" t="s">
        <v>795</v>
      </c>
      <c r="N753" s="70"/>
      <c r="O753" s="70"/>
      <c r="P753" s="418"/>
      <c r="Q753" s="70" t="s">
        <v>2681</v>
      </c>
      <c r="R753" s="421"/>
      <c r="S753" s="422"/>
      <c r="T753" s="104"/>
      <c r="U753" s="100"/>
      <c r="V753" s="70"/>
      <c r="W753" s="418"/>
      <c r="X753" s="539"/>
      <c r="Y753" s="539"/>
      <c r="Z753" s="539"/>
    </row>
    <row r="754" spans="1:26" ht="14.25" customHeight="1">
      <c r="A754" s="418" t="s">
        <v>2705</v>
      </c>
      <c r="B754" s="543" t="s">
        <v>323</v>
      </c>
      <c r="C754" s="568" t="s">
        <v>574</v>
      </c>
      <c r="D754" s="470" t="s">
        <v>1654</v>
      </c>
      <c r="E754" s="70">
        <v>198430</v>
      </c>
      <c r="F754" s="70"/>
      <c r="G754" s="70"/>
      <c r="H754" s="70"/>
      <c r="I754" s="70"/>
      <c r="J754" s="70" t="s">
        <v>798</v>
      </c>
      <c r="K754" s="559" t="s">
        <v>798</v>
      </c>
      <c r="L754" s="559" t="s">
        <v>798</v>
      </c>
      <c r="M754" s="70" t="s">
        <v>795</v>
      </c>
      <c r="N754" s="70">
        <v>20.724700930000001</v>
      </c>
      <c r="O754" s="70">
        <v>92.628196720000005</v>
      </c>
      <c r="P754" s="70" t="s">
        <v>799</v>
      </c>
      <c r="Q754" s="70" t="s">
        <v>780</v>
      </c>
      <c r="R754" s="421"/>
      <c r="S754" s="422"/>
      <c r="T754" s="104"/>
      <c r="U754" s="100"/>
      <c r="V754" s="70" t="s">
        <v>574</v>
      </c>
      <c r="W754" s="70"/>
      <c r="X754" s="539"/>
      <c r="Y754" s="539"/>
      <c r="Z754" s="539"/>
    </row>
    <row r="755" spans="1:26" ht="14.25" customHeight="1">
      <c r="A755" s="539" t="s">
        <v>2705</v>
      </c>
      <c r="B755" s="559" t="s">
        <v>323</v>
      </c>
      <c r="C755" s="568" t="s">
        <v>643</v>
      </c>
      <c r="D755" s="470" t="s">
        <v>1654</v>
      </c>
      <c r="E755" s="539">
        <v>198291</v>
      </c>
      <c r="F755" s="539"/>
      <c r="G755" s="539"/>
      <c r="H755" s="539"/>
      <c r="I755" s="539"/>
      <c r="J755" s="70" t="s">
        <v>798</v>
      </c>
      <c r="K755" s="436" t="s">
        <v>798</v>
      </c>
      <c r="L755" s="436" t="s">
        <v>798</v>
      </c>
      <c r="M755" s="418" t="s">
        <v>795</v>
      </c>
      <c r="N755" s="539">
        <v>20.871829989999998</v>
      </c>
      <c r="O755" s="539">
        <v>92.566909789999997</v>
      </c>
      <c r="P755" s="70" t="s">
        <v>799</v>
      </c>
      <c r="Q755" s="539" t="s">
        <v>780</v>
      </c>
      <c r="R755" s="545"/>
      <c r="S755" s="546"/>
      <c r="T755" s="565"/>
      <c r="U755" s="547"/>
      <c r="V755" s="539" t="s">
        <v>643</v>
      </c>
      <c r="W755" s="539"/>
      <c r="X755" s="539"/>
      <c r="Y755" s="539"/>
      <c r="Z755" s="539"/>
    </row>
    <row r="756" spans="1:26" ht="14.25" customHeight="1">
      <c r="A756" s="546" t="s">
        <v>2705</v>
      </c>
      <c r="B756" s="549" t="s">
        <v>323</v>
      </c>
      <c r="C756" s="586" t="s">
        <v>942</v>
      </c>
      <c r="D756" s="420"/>
      <c r="E756" s="539"/>
      <c r="F756" s="539"/>
      <c r="G756" s="539"/>
      <c r="H756" s="539"/>
      <c r="I756" s="539"/>
      <c r="J756" s="70" t="s">
        <v>798</v>
      </c>
      <c r="K756" s="559" t="s">
        <v>798</v>
      </c>
      <c r="L756" s="559" t="s">
        <v>798</v>
      </c>
      <c r="M756" s="539"/>
      <c r="N756" s="539"/>
      <c r="O756" s="539"/>
      <c r="P756" s="539"/>
      <c r="Q756" s="539"/>
      <c r="R756" s="553"/>
      <c r="S756" s="546"/>
      <c r="T756" s="565"/>
      <c r="U756" s="553"/>
      <c r="V756" s="539"/>
      <c r="W756" s="421"/>
      <c r="X756" s="539"/>
      <c r="Y756" s="539"/>
      <c r="Z756" s="539"/>
    </row>
    <row r="757" spans="1:26" ht="14.25" customHeight="1">
      <c r="A757" s="546" t="s">
        <v>2705</v>
      </c>
      <c r="B757" s="549" t="s">
        <v>323</v>
      </c>
      <c r="C757" s="586" t="s">
        <v>2883</v>
      </c>
      <c r="D757" s="420"/>
      <c r="E757" s="418"/>
      <c r="F757" s="418"/>
      <c r="G757" s="418"/>
      <c r="H757" s="418"/>
      <c r="I757" s="418"/>
      <c r="J757" s="418" t="s">
        <v>798</v>
      </c>
      <c r="K757" s="563" t="s">
        <v>798</v>
      </c>
      <c r="L757" s="563" t="s">
        <v>798</v>
      </c>
      <c r="M757" s="418"/>
      <c r="N757" s="418"/>
      <c r="O757" s="418"/>
      <c r="P757" s="418"/>
      <c r="Q757" s="418"/>
      <c r="R757" s="429"/>
      <c r="S757" s="422"/>
      <c r="T757" s="441"/>
      <c r="U757" s="429"/>
      <c r="V757" s="418"/>
      <c r="W757" s="421"/>
      <c r="X757" s="539"/>
      <c r="Y757" s="539"/>
      <c r="Z757" s="539"/>
    </row>
    <row r="758" spans="1:26" ht="14.25" customHeight="1">
      <c r="A758" s="418" t="s">
        <v>2705</v>
      </c>
      <c r="B758" s="563" t="s">
        <v>323</v>
      </c>
      <c r="C758" s="443" t="s">
        <v>673</v>
      </c>
      <c r="D758" s="470" t="s">
        <v>1654</v>
      </c>
      <c r="E758" s="70">
        <v>198163</v>
      </c>
      <c r="F758" s="418"/>
      <c r="G758" s="70"/>
      <c r="H758" s="70"/>
      <c r="I758" s="70"/>
      <c r="J758" s="70" t="s">
        <v>804</v>
      </c>
      <c r="K758" s="543" t="s">
        <v>798</v>
      </c>
      <c r="L758" s="543" t="s">
        <v>804</v>
      </c>
      <c r="M758" s="70" t="s">
        <v>953</v>
      </c>
      <c r="N758" s="70">
        <v>20.99898911</v>
      </c>
      <c r="O758" s="70">
        <v>92.46325684</v>
      </c>
      <c r="P758" s="70" t="s">
        <v>923</v>
      </c>
      <c r="Q758" s="70" t="s">
        <v>802</v>
      </c>
      <c r="R758" s="421"/>
      <c r="S758" s="422"/>
      <c r="T758" s="104">
        <v>42926</v>
      </c>
      <c r="U758" s="100" t="s">
        <v>933</v>
      </c>
      <c r="V758" s="70"/>
      <c r="W758" s="418"/>
      <c r="X758" s="539"/>
      <c r="Y758" s="539"/>
      <c r="Z758" s="539"/>
    </row>
    <row r="759" spans="1:26" ht="14.25" customHeight="1">
      <c r="A759" s="478" t="s">
        <v>2705</v>
      </c>
      <c r="B759" s="479" t="s">
        <v>323</v>
      </c>
      <c r="C759" s="562" t="s">
        <v>1907</v>
      </c>
      <c r="D759" s="544"/>
      <c r="E759" s="480">
        <v>198348</v>
      </c>
      <c r="F759" s="480" t="s">
        <v>2082</v>
      </c>
      <c r="G759" s="480"/>
      <c r="H759" s="480"/>
      <c r="I759" s="480"/>
      <c r="J759" s="70" t="s">
        <v>879</v>
      </c>
      <c r="K759" s="543" t="s">
        <v>879</v>
      </c>
      <c r="L759" s="543" t="s">
        <v>879</v>
      </c>
      <c r="M759" s="70" t="s">
        <v>298</v>
      </c>
      <c r="N759" s="480">
        <v>20.847490310668899</v>
      </c>
      <c r="O759" s="480">
        <v>92.556472778320298</v>
      </c>
      <c r="P759" s="70" t="s">
        <v>799</v>
      </c>
      <c r="Q759" s="480" t="s">
        <v>2681</v>
      </c>
      <c r="R759" s="481"/>
      <c r="S759" s="478"/>
      <c r="T759" s="482">
        <v>43580</v>
      </c>
      <c r="U759" s="483" t="s">
        <v>2735</v>
      </c>
      <c r="V759" s="484"/>
      <c r="W759" s="545"/>
      <c r="X759" s="539"/>
      <c r="Y759" s="539"/>
      <c r="Z759" s="539"/>
    </row>
    <row r="760" spans="1:26" ht="14.25" customHeight="1">
      <c r="A760" s="478" t="s">
        <v>2705</v>
      </c>
      <c r="B760" s="486" t="s">
        <v>323</v>
      </c>
      <c r="C760" s="513" t="s">
        <v>2739</v>
      </c>
      <c r="D760" s="544"/>
      <c r="E760" s="480">
        <v>198326</v>
      </c>
      <c r="F760" s="480" t="s">
        <v>2740</v>
      </c>
      <c r="G760" s="480"/>
      <c r="H760" s="480"/>
      <c r="I760" s="480"/>
      <c r="J760" s="70" t="s">
        <v>798</v>
      </c>
      <c r="K760" s="543" t="s">
        <v>798</v>
      </c>
      <c r="L760" s="543" t="s">
        <v>798</v>
      </c>
      <c r="M760" s="480"/>
      <c r="N760" s="480">
        <v>20.8608493804932</v>
      </c>
      <c r="O760" s="480">
        <v>92.539390563964801</v>
      </c>
      <c r="P760" s="480"/>
      <c r="Q760" s="480" t="s">
        <v>2681</v>
      </c>
      <c r="R760" s="481"/>
      <c r="S760" s="478"/>
      <c r="T760" s="482">
        <v>43580</v>
      </c>
      <c r="U760" s="483" t="s">
        <v>2735</v>
      </c>
      <c r="V760" s="484"/>
      <c r="W760" s="545"/>
      <c r="X760" s="539"/>
      <c r="Y760" s="539"/>
      <c r="Z760" s="539"/>
    </row>
    <row r="761" spans="1:26" ht="14.25" customHeight="1">
      <c r="A761" s="549" t="s">
        <v>2705</v>
      </c>
      <c r="B761" s="549" t="s">
        <v>323</v>
      </c>
      <c r="C761" s="575" t="s">
        <v>2798</v>
      </c>
      <c r="D761" s="544"/>
      <c r="E761" s="70">
        <v>198326</v>
      </c>
      <c r="F761" s="418"/>
      <c r="G761" s="70"/>
      <c r="H761" s="70"/>
      <c r="I761" s="70"/>
      <c r="J761" s="70" t="s">
        <v>2714</v>
      </c>
      <c r="K761" s="543" t="s">
        <v>2676</v>
      </c>
      <c r="L761" s="543" t="s">
        <v>2676</v>
      </c>
      <c r="M761" s="70"/>
      <c r="N761" s="70">
        <v>20.8608493804932</v>
      </c>
      <c r="O761" s="70">
        <v>92.539390563964801</v>
      </c>
      <c r="P761" s="70"/>
      <c r="Q761" s="418"/>
      <c r="R761" s="553"/>
      <c r="S761" s="422"/>
      <c r="T761" s="441">
        <v>43591</v>
      </c>
      <c r="U761" s="553"/>
      <c r="V761" s="70"/>
      <c r="W761" s="545"/>
      <c r="X761" s="539"/>
      <c r="Y761" s="539"/>
      <c r="Z761" s="539"/>
    </row>
    <row r="762" spans="1:26" ht="14.25" customHeight="1">
      <c r="A762" s="546" t="s">
        <v>2705</v>
      </c>
      <c r="B762" s="445" t="s">
        <v>323</v>
      </c>
      <c r="C762" s="575" t="s">
        <v>2889</v>
      </c>
      <c r="D762" s="420"/>
      <c r="E762" s="70">
        <v>198424</v>
      </c>
      <c r="F762" s="418"/>
      <c r="G762" s="70"/>
      <c r="H762" s="70"/>
      <c r="I762" s="70"/>
      <c r="J762" s="70" t="s">
        <v>798</v>
      </c>
      <c r="K762" s="418" t="s">
        <v>798</v>
      </c>
      <c r="L762" s="418" t="s">
        <v>798</v>
      </c>
      <c r="M762" s="70"/>
      <c r="N762" s="70">
        <v>20.735639572143601</v>
      </c>
      <c r="O762" s="559">
        <v>92.638076782226605</v>
      </c>
      <c r="P762" s="70"/>
      <c r="Q762" s="70"/>
      <c r="R762" s="429"/>
      <c r="S762" s="422"/>
      <c r="T762" s="104"/>
      <c r="U762" s="553"/>
      <c r="V762" s="70"/>
      <c r="W762" s="545"/>
      <c r="X762" s="539"/>
      <c r="Y762" s="539"/>
      <c r="Z762" s="539"/>
    </row>
    <row r="763" spans="1:26" ht="14.25" customHeight="1">
      <c r="A763" s="418" t="s">
        <v>2705</v>
      </c>
      <c r="B763" s="440" t="s">
        <v>323</v>
      </c>
      <c r="C763" s="562" t="s">
        <v>671</v>
      </c>
      <c r="D763" s="470" t="s">
        <v>1654</v>
      </c>
      <c r="E763" s="70">
        <v>198184</v>
      </c>
      <c r="F763" s="548"/>
      <c r="G763" s="70"/>
      <c r="H763" s="70"/>
      <c r="I763" s="70"/>
      <c r="J763" s="70" t="s">
        <v>798</v>
      </c>
      <c r="K763" s="418" t="s">
        <v>798</v>
      </c>
      <c r="L763" s="418" t="s">
        <v>798</v>
      </c>
      <c r="M763" s="70" t="s">
        <v>795</v>
      </c>
      <c r="N763" s="418">
        <v>20.99110031</v>
      </c>
      <c r="O763" s="418">
        <v>92.493858340000003</v>
      </c>
      <c r="P763" s="418" t="s">
        <v>799</v>
      </c>
      <c r="Q763" s="70" t="s">
        <v>780</v>
      </c>
      <c r="R763" s="421"/>
      <c r="S763" s="422"/>
      <c r="T763" s="104"/>
      <c r="U763" s="100"/>
      <c r="V763" s="70" t="s">
        <v>671</v>
      </c>
      <c r="W763" s="418"/>
      <c r="X763" s="539"/>
      <c r="Y763" s="539"/>
      <c r="Z763" s="539"/>
    </row>
    <row r="764" spans="1:26" ht="14.25" customHeight="1">
      <c r="A764" s="418" t="s">
        <v>2705</v>
      </c>
      <c r="B764" s="440" t="s">
        <v>323</v>
      </c>
      <c r="C764" s="439" t="s">
        <v>579</v>
      </c>
      <c r="D764" s="470" t="s">
        <v>1654</v>
      </c>
      <c r="E764" s="539">
        <v>198425</v>
      </c>
      <c r="F764" s="548"/>
      <c r="G764" s="418"/>
      <c r="H764" s="418"/>
      <c r="I764" s="418"/>
      <c r="J764" s="70" t="s">
        <v>798</v>
      </c>
      <c r="K764" s="418" t="s">
        <v>798</v>
      </c>
      <c r="L764" s="418" t="s">
        <v>798</v>
      </c>
      <c r="M764" s="70" t="s">
        <v>795</v>
      </c>
      <c r="N764" s="70">
        <v>20.737430570000001</v>
      </c>
      <c r="O764" s="70">
        <v>92.634773249999995</v>
      </c>
      <c r="P764" s="70" t="s">
        <v>799</v>
      </c>
      <c r="Q764" s="70" t="s">
        <v>780</v>
      </c>
      <c r="R764" s="421"/>
      <c r="S764" s="422"/>
      <c r="T764" s="104"/>
      <c r="U764" s="100"/>
      <c r="V764" s="70" t="s">
        <v>579</v>
      </c>
      <c r="W764" s="70"/>
      <c r="X764" s="539"/>
      <c r="Y764" s="539"/>
      <c r="Z764" s="539"/>
    </row>
    <row r="765" spans="1:26" ht="14.25" customHeight="1">
      <c r="A765" s="418" t="s">
        <v>2705</v>
      </c>
      <c r="B765" s="563" t="s">
        <v>323</v>
      </c>
      <c r="C765" s="562" t="s">
        <v>523</v>
      </c>
      <c r="D765" s="470" t="s">
        <v>1654</v>
      </c>
      <c r="E765" s="70">
        <v>198450</v>
      </c>
      <c r="F765" s="70"/>
      <c r="G765" s="70"/>
      <c r="H765" s="70"/>
      <c r="I765" s="70"/>
      <c r="J765" s="70" t="s">
        <v>798</v>
      </c>
      <c r="K765" s="418" t="s">
        <v>798</v>
      </c>
      <c r="L765" s="418" t="s">
        <v>798</v>
      </c>
      <c r="M765" s="70" t="s">
        <v>795</v>
      </c>
      <c r="N765" s="418">
        <v>20.654249190000002</v>
      </c>
      <c r="O765" s="418">
        <v>92.619102479999995</v>
      </c>
      <c r="P765" s="70" t="s">
        <v>799</v>
      </c>
      <c r="Q765" s="70" t="s">
        <v>780</v>
      </c>
      <c r="R765" s="421"/>
      <c r="S765" s="422"/>
      <c r="T765" s="104"/>
      <c r="U765" s="100"/>
      <c r="V765" s="70" t="s">
        <v>921</v>
      </c>
      <c r="W765" s="70"/>
      <c r="X765" s="539"/>
      <c r="Y765" s="539"/>
      <c r="Z765" s="539"/>
    </row>
    <row r="766" spans="1:26" ht="14.25" customHeight="1">
      <c r="A766" s="539" t="s">
        <v>2705</v>
      </c>
      <c r="B766" s="563" t="s">
        <v>309</v>
      </c>
      <c r="C766" s="562" t="s">
        <v>2053</v>
      </c>
      <c r="D766" s="470"/>
      <c r="E766" s="539">
        <v>197857</v>
      </c>
      <c r="F766" s="539"/>
      <c r="G766" s="539"/>
      <c r="H766" s="539"/>
      <c r="I766" s="539"/>
      <c r="J766" s="539" t="s">
        <v>798</v>
      </c>
      <c r="K766" s="539" t="s">
        <v>798</v>
      </c>
      <c r="L766" s="539" t="s">
        <v>798</v>
      </c>
      <c r="M766" s="539" t="s">
        <v>683</v>
      </c>
      <c r="N766" s="539">
        <v>21.08677673</v>
      </c>
      <c r="O766" s="539">
        <v>92.337112430000005</v>
      </c>
      <c r="P766" s="539"/>
      <c r="Q766" s="539"/>
      <c r="R766" s="545"/>
      <c r="S766" s="546"/>
      <c r="T766" s="565">
        <v>43300</v>
      </c>
      <c r="U766" s="547"/>
      <c r="V766" s="539"/>
      <c r="W766" s="539"/>
      <c r="X766" s="539"/>
      <c r="Y766" s="539"/>
      <c r="Z766" s="539"/>
    </row>
    <row r="767" spans="1:26" ht="14.25" customHeight="1">
      <c r="A767" s="418" t="s">
        <v>2705</v>
      </c>
      <c r="B767" s="574" t="s">
        <v>309</v>
      </c>
      <c r="C767" s="489" t="s">
        <v>2762</v>
      </c>
      <c r="D767" s="544"/>
      <c r="E767" s="70">
        <v>197857</v>
      </c>
      <c r="F767" s="418"/>
      <c r="G767" s="70"/>
      <c r="H767" s="70"/>
      <c r="I767" s="70"/>
      <c r="J767" s="70" t="s">
        <v>798</v>
      </c>
      <c r="K767" s="418" t="s">
        <v>798</v>
      </c>
      <c r="L767" s="418" t="s">
        <v>798</v>
      </c>
      <c r="M767" s="70" t="s">
        <v>2090</v>
      </c>
      <c r="N767" s="70">
        <v>21.08677673</v>
      </c>
      <c r="O767" s="543">
        <v>92.337112430000005</v>
      </c>
      <c r="P767" s="70"/>
      <c r="Q767" s="70"/>
      <c r="R767" s="553"/>
      <c r="S767" s="99"/>
      <c r="T767" s="104">
        <v>43300</v>
      </c>
      <c r="U767" s="100"/>
      <c r="V767" s="70"/>
      <c r="W767" s="418"/>
      <c r="X767" s="539"/>
      <c r="Y767" s="539"/>
      <c r="Z767" s="539"/>
    </row>
    <row r="768" spans="1:26" ht="14.25" customHeight="1">
      <c r="A768" s="418" t="s">
        <v>2705</v>
      </c>
      <c r="B768" s="563" t="s">
        <v>309</v>
      </c>
      <c r="C768" s="562" t="s">
        <v>2761</v>
      </c>
      <c r="D768" s="470"/>
      <c r="E768" s="70">
        <v>197857</v>
      </c>
      <c r="F768" s="543"/>
      <c r="G768" s="70"/>
      <c r="H768" s="70"/>
      <c r="I768" s="70"/>
      <c r="J768" s="70" t="s">
        <v>798</v>
      </c>
      <c r="K768" s="418" t="s">
        <v>798</v>
      </c>
      <c r="L768" s="418" t="s">
        <v>798</v>
      </c>
      <c r="M768" s="70" t="s">
        <v>298</v>
      </c>
      <c r="N768" s="418">
        <v>21.08677673</v>
      </c>
      <c r="O768" s="418">
        <v>92.337112430000005</v>
      </c>
      <c r="P768" s="70"/>
      <c r="Q768" s="70"/>
      <c r="R768" s="545"/>
      <c r="S768" s="422"/>
      <c r="T768" s="104">
        <v>43300</v>
      </c>
      <c r="U768" s="100"/>
      <c r="V768" s="70"/>
      <c r="W768" s="418"/>
      <c r="X768" s="539"/>
      <c r="Y768" s="539"/>
      <c r="Z768" s="539"/>
    </row>
    <row r="769" spans="1:26" ht="14.25" customHeight="1">
      <c r="A769" s="539" t="s">
        <v>2705</v>
      </c>
      <c r="B769" s="563" t="s">
        <v>309</v>
      </c>
      <c r="C769" s="562" t="s">
        <v>2083</v>
      </c>
      <c r="D769" s="470"/>
      <c r="E769" s="543">
        <v>197920</v>
      </c>
      <c r="F769" s="543"/>
      <c r="G769" s="539"/>
      <c r="H769" s="539"/>
      <c r="I769" s="539"/>
      <c r="J769" s="539" t="s">
        <v>798</v>
      </c>
      <c r="K769" s="539" t="s">
        <v>798</v>
      </c>
      <c r="L769" s="539" t="s">
        <v>798</v>
      </c>
      <c r="M769" s="70" t="s">
        <v>795</v>
      </c>
      <c r="N769" s="70">
        <v>20.92394066</v>
      </c>
      <c r="O769" s="70">
        <v>92.322669980000001</v>
      </c>
      <c r="P769" s="70"/>
      <c r="Q769" s="539"/>
      <c r="R769" s="545"/>
      <c r="S769" s="546"/>
      <c r="T769" s="565">
        <v>43300</v>
      </c>
      <c r="U769" s="547"/>
      <c r="V769" s="418"/>
      <c r="W769" s="539"/>
      <c r="X769" s="539"/>
      <c r="Y769" s="539"/>
      <c r="Z769" s="539"/>
    </row>
    <row r="770" spans="1:26" ht="14.25" customHeight="1">
      <c r="A770" s="418" t="s">
        <v>2705</v>
      </c>
      <c r="B770" s="563" t="s">
        <v>309</v>
      </c>
      <c r="C770" s="562" t="s">
        <v>2054</v>
      </c>
      <c r="D770" s="470"/>
      <c r="E770" s="70">
        <v>197968</v>
      </c>
      <c r="F770" s="418"/>
      <c r="G770" s="70"/>
      <c r="H770" s="70"/>
      <c r="I770" s="70"/>
      <c r="J770" s="70" t="s">
        <v>798</v>
      </c>
      <c r="K770" s="418" t="s">
        <v>798</v>
      </c>
      <c r="L770" s="418" t="s">
        <v>798</v>
      </c>
      <c r="M770" s="70" t="s">
        <v>795</v>
      </c>
      <c r="N770" s="70">
        <v>20.878229139999998</v>
      </c>
      <c r="O770" s="70">
        <v>92.347267149999993</v>
      </c>
      <c r="P770" s="70"/>
      <c r="Q770" s="70"/>
      <c r="R770" s="545"/>
      <c r="S770" s="546"/>
      <c r="T770" s="104">
        <v>43300</v>
      </c>
      <c r="U770" s="100"/>
      <c r="V770" s="418"/>
      <c r="W770" s="418"/>
      <c r="X770" s="539"/>
      <c r="Y770" s="539"/>
      <c r="Z770" s="539"/>
    </row>
    <row r="771" spans="1:26" ht="14.25" customHeight="1">
      <c r="A771" s="478" t="s">
        <v>2705</v>
      </c>
      <c r="B771" s="486" t="s">
        <v>309</v>
      </c>
      <c r="C771" s="488" t="s">
        <v>2747</v>
      </c>
      <c r="D771" s="544"/>
      <c r="E771" s="480"/>
      <c r="F771" s="480"/>
      <c r="G771" s="480"/>
      <c r="H771" s="480"/>
      <c r="I771" s="480"/>
      <c r="J771" s="480" t="s">
        <v>2714</v>
      </c>
      <c r="K771" s="480" t="s">
        <v>2676</v>
      </c>
      <c r="L771" s="480" t="s">
        <v>2676</v>
      </c>
      <c r="M771" s="480"/>
      <c r="N771" s="480"/>
      <c r="O771" s="480"/>
      <c r="P771" s="480"/>
      <c r="Q771" s="480" t="s">
        <v>2681</v>
      </c>
      <c r="R771" s="481"/>
      <c r="S771" s="478"/>
      <c r="T771" s="482">
        <v>43580</v>
      </c>
      <c r="U771" s="483" t="s">
        <v>2735</v>
      </c>
      <c r="V771" s="484"/>
      <c r="W771" s="545"/>
      <c r="X771" s="539"/>
      <c r="Y771" s="539"/>
      <c r="Z771" s="539"/>
    </row>
    <row r="772" spans="1:26" ht="14.25" customHeight="1">
      <c r="A772" s="418" t="s">
        <v>2705</v>
      </c>
      <c r="B772" s="563" t="s">
        <v>309</v>
      </c>
      <c r="C772" s="562" t="s">
        <v>612</v>
      </c>
      <c r="D772" s="470" t="s">
        <v>1654</v>
      </c>
      <c r="E772" s="70">
        <v>197997</v>
      </c>
      <c r="F772" s="70"/>
      <c r="G772" s="70"/>
      <c r="H772" s="70"/>
      <c r="I772" s="70"/>
      <c r="J772" s="70" t="s">
        <v>798</v>
      </c>
      <c r="K772" s="418" t="s">
        <v>798</v>
      </c>
      <c r="L772" s="418" t="s">
        <v>798</v>
      </c>
      <c r="M772" s="70" t="s">
        <v>795</v>
      </c>
      <c r="N772" s="70">
        <v>20.803909300000001</v>
      </c>
      <c r="O772" s="418">
        <v>92.376831050000007</v>
      </c>
      <c r="P772" s="70" t="s">
        <v>799</v>
      </c>
      <c r="Q772" s="539" t="s">
        <v>780</v>
      </c>
      <c r="R772" s="545"/>
      <c r="S772" s="546"/>
      <c r="T772" s="565"/>
      <c r="U772" s="100"/>
      <c r="V772" s="70" t="s">
        <v>936</v>
      </c>
      <c r="W772" s="418"/>
      <c r="X772" s="539"/>
      <c r="Y772" s="539"/>
      <c r="Z772" s="539"/>
    </row>
    <row r="773" spans="1:26" ht="14.25" customHeight="1">
      <c r="A773" s="418" t="s">
        <v>2705</v>
      </c>
      <c r="B773" s="445" t="s">
        <v>309</v>
      </c>
      <c r="C773" s="446" t="s">
        <v>692</v>
      </c>
      <c r="D773" s="420" t="s">
        <v>1654</v>
      </c>
      <c r="E773" s="70">
        <v>197820</v>
      </c>
      <c r="F773" s="70"/>
      <c r="G773" s="70"/>
      <c r="H773" s="70"/>
      <c r="I773" s="70"/>
      <c r="J773" s="70" t="s">
        <v>798</v>
      </c>
      <c r="K773" s="418" t="s">
        <v>798</v>
      </c>
      <c r="L773" s="418" t="s">
        <v>798</v>
      </c>
      <c r="M773" s="70" t="s">
        <v>795</v>
      </c>
      <c r="N773" s="70">
        <v>21.26553917</v>
      </c>
      <c r="O773" s="418">
        <v>92.27140808</v>
      </c>
      <c r="P773" s="70" t="s">
        <v>799</v>
      </c>
      <c r="Q773" s="418" t="s">
        <v>780</v>
      </c>
      <c r="R773" s="553"/>
      <c r="S773" s="546"/>
      <c r="T773" s="441"/>
      <c r="U773" s="100"/>
      <c r="V773" s="418" t="s">
        <v>960</v>
      </c>
      <c r="W773" s="418"/>
      <c r="X773" s="539"/>
      <c r="Y773" s="539"/>
      <c r="Z773" s="539"/>
    </row>
    <row r="774" spans="1:26" ht="14.25" customHeight="1">
      <c r="A774" s="478" t="s">
        <v>2705</v>
      </c>
      <c r="B774" s="479" t="s">
        <v>309</v>
      </c>
      <c r="C774" s="488" t="s">
        <v>961</v>
      </c>
      <c r="D774" s="420" t="s">
        <v>1654</v>
      </c>
      <c r="E774" s="480">
        <v>197817</v>
      </c>
      <c r="F774" s="492" t="s">
        <v>2745</v>
      </c>
      <c r="G774" s="480"/>
      <c r="H774" s="480"/>
      <c r="I774" s="480"/>
      <c r="J774" s="480" t="s">
        <v>2714</v>
      </c>
      <c r="K774" s="480" t="s">
        <v>2676</v>
      </c>
      <c r="L774" s="480" t="s">
        <v>2676</v>
      </c>
      <c r="M774" s="70" t="s">
        <v>795</v>
      </c>
      <c r="N774" s="70">
        <v>21.2688694</v>
      </c>
      <c r="O774" s="418">
        <v>92.274917599999995</v>
      </c>
      <c r="P774" s="70" t="s">
        <v>799</v>
      </c>
      <c r="Q774" s="480" t="s">
        <v>2681</v>
      </c>
      <c r="R774" s="493"/>
      <c r="S774" s="490"/>
      <c r="T774" s="482">
        <v>43580</v>
      </c>
      <c r="U774" s="483" t="s">
        <v>2735</v>
      </c>
      <c r="V774" s="70" t="s">
        <v>960</v>
      </c>
      <c r="W774" s="545"/>
      <c r="X774" s="539"/>
      <c r="Y774" s="539"/>
      <c r="Z774" s="539"/>
    </row>
    <row r="775" spans="1:26" ht="14.25" customHeight="1">
      <c r="A775" s="418" t="s">
        <v>2705</v>
      </c>
      <c r="B775" s="445" t="s">
        <v>309</v>
      </c>
      <c r="C775" s="446" t="s">
        <v>310</v>
      </c>
      <c r="D775" s="420" t="s">
        <v>1654</v>
      </c>
      <c r="E775" s="70"/>
      <c r="F775" s="418"/>
      <c r="G775" s="70"/>
      <c r="H775" s="70"/>
      <c r="I775" s="70"/>
      <c r="J775" s="70" t="s">
        <v>798</v>
      </c>
      <c r="K775" s="70" t="s">
        <v>798</v>
      </c>
      <c r="L775" s="70" t="s">
        <v>798</v>
      </c>
      <c r="M775" s="70" t="s">
        <v>795</v>
      </c>
      <c r="N775" s="70"/>
      <c r="O775" s="418"/>
      <c r="P775" s="70" t="s">
        <v>799</v>
      </c>
      <c r="Q775" s="70" t="s">
        <v>780</v>
      </c>
      <c r="R775" s="430"/>
      <c r="S775" s="426"/>
      <c r="T775" s="104"/>
      <c r="U775" s="100"/>
      <c r="V775" s="70" t="s">
        <v>310</v>
      </c>
      <c r="W775" s="418"/>
      <c r="X775" s="539"/>
      <c r="Y775" s="539"/>
      <c r="Z775" s="539"/>
    </row>
    <row r="776" spans="1:26" ht="14.25" customHeight="1">
      <c r="A776" s="418" t="s">
        <v>2705</v>
      </c>
      <c r="B776" s="563" t="s">
        <v>309</v>
      </c>
      <c r="C776" s="562" t="s">
        <v>2574</v>
      </c>
      <c r="D776" s="470"/>
      <c r="E776" s="70">
        <v>197968</v>
      </c>
      <c r="F776" s="543" t="s">
        <v>2576</v>
      </c>
      <c r="G776" s="70"/>
      <c r="H776" s="70"/>
      <c r="I776" s="70"/>
      <c r="J776" s="70" t="s">
        <v>798</v>
      </c>
      <c r="K776" s="70" t="s">
        <v>798</v>
      </c>
      <c r="L776" s="70" t="s">
        <v>798</v>
      </c>
      <c r="M776" s="70" t="s">
        <v>795</v>
      </c>
      <c r="N776" s="70"/>
      <c r="O776" s="418"/>
      <c r="P776" s="70"/>
      <c r="Q776" s="70"/>
      <c r="R776" s="549"/>
      <c r="S776" s="426"/>
      <c r="T776" s="104"/>
      <c r="U776" s="100"/>
      <c r="V776" s="70"/>
      <c r="W776" s="418"/>
      <c r="X776" s="539"/>
      <c r="Y776" s="539"/>
      <c r="Z776" s="539"/>
    </row>
    <row r="777" spans="1:26" ht="14.25" customHeight="1">
      <c r="A777" s="539" t="s">
        <v>2705</v>
      </c>
      <c r="B777" s="574" t="s">
        <v>309</v>
      </c>
      <c r="C777" s="562" t="s">
        <v>609</v>
      </c>
      <c r="D777" s="420" t="s">
        <v>1654</v>
      </c>
      <c r="E777" s="539">
        <v>197995</v>
      </c>
      <c r="F777" s="539"/>
      <c r="G777" s="539"/>
      <c r="H777" s="539"/>
      <c r="I777" s="539"/>
      <c r="J777" s="70" t="s">
        <v>798</v>
      </c>
      <c r="K777" s="70" t="s">
        <v>798</v>
      </c>
      <c r="L777" s="70" t="s">
        <v>798</v>
      </c>
      <c r="M777" s="539" t="s">
        <v>795</v>
      </c>
      <c r="N777" s="539">
        <v>20.802850719999999</v>
      </c>
      <c r="O777" s="539">
        <v>92.392669679999997</v>
      </c>
      <c r="P777" s="539" t="s">
        <v>799</v>
      </c>
      <c r="Q777" s="543" t="s">
        <v>780</v>
      </c>
      <c r="R777" s="554"/>
      <c r="S777" s="550"/>
      <c r="T777" s="566"/>
      <c r="U777" s="547"/>
      <c r="V777" s="539" t="s">
        <v>935</v>
      </c>
      <c r="W777" s="539"/>
      <c r="X777" s="539"/>
      <c r="Y777" s="539"/>
      <c r="Z777" s="539"/>
    </row>
    <row r="778" spans="1:26" ht="14.25" customHeight="1">
      <c r="A778" s="418" t="s">
        <v>2705</v>
      </c>
      <c r="B778" s="574" t="s">
        <v>309</v>
      </c>
      <c r="C778" s="575" t="s">
        <v>610</v>
      </c>
      <c r="D778" s="544" t="s">
        <v>1654</v>
      </c>
      <c r="E778" s="70">
        <v>197995</v>
      </c>
      <c r="F778" s="418"/>
      <c r="G778" s="70"/>
      <c r="H778" s="70"/>
      <c r="I778" s="70"/>
      <c r="J778" s="70" t="s">
        <v>798</v>
      </c>
      <c r="K778" s="70" t="s">
        <v>798</v>
      </c>
      <c r="L778" s="70" t="s">
        <v>798</v>
      </c>
      <c r="M778" s="70" t="s">
        <v>795</v>
      </c>
      <c r="N778" s="70">
        <v>20.802850719999999</v>
      </c>
      <c r="O778" s="418">
        <v>92.392669679999997</v>
      </c>
      <c r="P778" s="70" t="s">
        <v>799</v>
      </c>
      <c r="Q778" s="70" t="s">
        <v>780</v>
      </c>
      <c r="R778" s="554"/>
      <c r="S778" s="426"/>
      <c r="T778" s="104"/>
      <c r="U778" s="100"/>
      <c r="V778" s="70" t="s">
        <v>935</v>
      </c>
      <c r="W778" s="418"/>
      <c r="X778" s="539"/>
      <c r="Y778" s="539"/>
      <c r="Z778" s="539"/>
    </row>
    <row r="779" spans="1:26" ht="14.25" customHeight="1">
      <c r="A779" s="418" t="s">
        <v>2705</v>
      </c>
      <c r="B779" s="445" t="s">
        <v>309</v>
      </c>
      <c r="C779" s="446" t="s">
        <v>2044</v>
      </c>
      <c r="D779" s="420"/>
      <c r="E779" s="70">
        <v>197939</v>
      </c>
      <c r="F779" s="418"/>
      <c r="G779" s="70"/>
      <c r="H779" s="70"/>
      <c r="I779" s="70"/>
      <c r="J779" s="70" t="s">
        <v>798</v>
      </c>
      <c r="K779" s="70" t="s">
        <v>798</v>
      </c>
      <c r="L779" s="70" t="s">
        <v>798</v>
      </c>
      <c r="M779" s="70" t="s">
        <v>298</v>
      </c>
      <c r="N779" s="70">
        <v>20.832990649999999</v>
      </c>
      <c r="O779" s="70">
        <v>92.353683469999993</v>
      </c>
      <c r="P779" s="70" t="s">
        <v>799</v>
      </c>
      <c r="Q779" s="70"/>
      <c r="R779" s="430"/>
      <c r="S779" s="426"/>
      <c r="T779" s="104">
        <v>43300</v>
      </c>
      <c r="U779" s="100"/>
      <c r="V779" s="70"/>
      <c r="W779" s="418"/>
      <c r="X779" s="539"/>
      <c r="Y779" s="539"/>
      <c r="Z779" s="539"/>
    </row>
    <row r="780" spans="1:26" ht="14.25" customHeight="1">
      <c r="A780" s="418" t="s">
        <v>2705</v>
      </c>
      <c r="B780" s="574" t="s">
        <v>309</v>
      </c>
      <c r="C780" s="575" t="s">
        <v>2099</v>
      </c>
      <c r="D780" s="544"/>
      <c r="E780" s="70">
        <v>220733</v>
      </c>
      <c r="F780" s="418"/>
      <c r="G780" s="70"/>
      <c r="H780" s="70"/>
      <c r="I780" s="70"/>
      <c r="J780" s="70" t="s">
        <v>798</v>
      </c>
      <c r="K780" s="70" t="s">
        <v>798</v>
      </c>
      <c r="L780" s="70" t="s">
        <v>798</v>
      </c>
      <c r="M780" s="70" t="s">
        <v>298</v>
      </c>
      <c r="N780" s="70">
        <v>20.931335449999999</v>
      </c>
      <c r="O780" s="70">
        <v>92.381462099999993</v>
      </c>
      <c r="P780" s="70"/>
      <c r="Q780" s="70"/>
      <c r="R780" s="554"/>
      <c r="S780" s="550"/>
      <c r="T780" s="104">
        <v>43300</v>
      </c>
      <c r="U780" s="100"/>
      <c r="V780" s="70"/>
      <c r="W780" s="418"/>
      <c r="X780" s="539"/>
      <c r="Y780" s="539"/>
      <c r="Z780" s="539"/>
    </row>
    <row r="781" spans="1:26" ht="14.25" customHeight="1">
      <c r="A781" s="418" t="s">
        <v>2705</v>
      </c>
      <c r="B781" s="574" t="s">
        <v>309</v>
      </c>
      <c r="C781" s="575" t="s">
        <v>2052</v>
      </c>
      <c r="D781" s="544"/>
      <c r="E781" s="539">
        <v>197862</v>
      </c>
      <c r="F781" s="539"/>
      <c r="G781" s="70"/>
      <c r="H781" s="70"/>
      <c r="I781" s="70"/>
      <c r="J781" s="70" t="s">
        <v>798</v>
      </c>
      <c r="K781" s="70" t="s">
        <v>798</v>
      </c>
      <c r="L781" s="70" t="s">
        <v>798</v>
      </c>
      <c r="M781" s="70" t="s">
        <v>298</v>
      </c>
      <c r="N781" s="70">
        <v>21.094310759999999</v>
      </c>
      <c r="O781" s="70">
        <v>92.335670469999997</v>
      </c>
      <c r="P781" s="70"/>
      <c r="Q781" s="70"/>
      <c r="R781" s="554"/>
      <c r="S781" s="426"/>
      <c r="T781" s="104">
        <v>43300</v>
      </c>
      <c r="U781" s="100"/>
      <c r="V781" s="418"/>
      <c r="W781" s="418"/>
      <c r="X781" s="539"/>
      <c r="Y781" s="539"/>
      <c r="Z781" s="539"/>
    </row>
    <row r="782" spans="1:26" ht="14.25" customHeight="1">
      <c r="A782" s="478" t="s">
        <v>2705</v>
      </c>
      <c r="B782" s="479" t="s">
        <v>309</v>
      </c>
      <c r="C782" s="488" t="s">
        <v>2742</v>
      </c>
      <c r="D782" s="544"/>
      <c r="E782" s="480">
        <v>197800</v>
      </c>
      <c r="F782" s="480" t="s">
        <v>2743</v>
      </c>
      <c r="G782" s="480"/>
      <c r="H782" s="480"/>
      <c r="I782" s="480"/>
      <c r="J782" s="418" t="s">
        <v>798</v>
      </c>
      <c r="K782" s="418" t="s">
        <v>798</v>
      </c>
      <c r="L782" s="418" t="s">
        <v>798</v>
      </c>
      <c r="M782" s="480"/>
      <c r="N782" s="480">
        <v>21.363349914550799</v>
      </c>
      <c r="O782" s="480">
        <v>92.280487060546903</v>
      </c>
      <c r="P782" s="480"/>
      <c r="Q782" s="480" t="s">
        <v>2681</v>
      </c>
      <c r="R782" s="493"/>
      <c r="S782" s="490"/>
      <c r="T782" s="482">
        <v>43580</v>
      </c>
      <c r="U782" s="483" t="s">
        <v>2735</v>
      </c>
      <c r="V782" s="484"/>
      <c r="W782" s="545"/>
      <c r="X782" s="539"/>
      <c r="Y782" s="539"/>
      <c r="Z782" s="539"/>
    </row>
    <row r="783" spans="1:26" ht="14.25" customHeight="1">
      <c r="A783" s="418" t="s">
        <v>2705</v>
      </c>
      <c r="B783" s="563" t="s">
        <v>309</v>
      </c>
      <c r="C783" s="562" t="s">
        <v>661</v>
      </c>
      <c r="D783" s="470" t="s">
        <v>1654</v>
      </c>
      <c r="E783" s="70">
        <v>220734</v>
      </c>
      <c r="F783" s="70" t="s">
        <v>2690</v>
      </c>
      <c r="G783" s="70"/>
      <c r="H783" s="70"/>
      <c r="I783" s="70"/>
      <c r="J783" s="70" t="s">
        <v>798</v>
      </c>
      <c r="K783" s="70" t="s">
        <v>798</v>
      </c>
      <c r="L783" s="70" t="s">
        <v>798</v>
      </c>
      <c r="M783" s="70" t="s">
        <v>298</v>
      </c>
      <c r="N783" s="70">
        <v>20.910375599999998</v>
      </c>
      <c r="O783" s="70">
        <v>92.400138850000005</v>
      </c>
      <c r="P783" s="70" t="s">
        <v>799</v>
      </c>
      <c r="Q783" s="70" t="s">
        <v>802</v>
      </c>
      <c r="R783" s="549"/>
      <c r="S783" s="426"/>
      <c r="T783" s="104">
        <v>42926</v>
      </c>
      <c r="U783" s="100" t="s">
        <v>803</v>
      </c>
      <c r="V783" s="418"/>
      <c r="W783" s="418"/>
      <c r="X783" s="539"/>
      <c r="Y783" s="539"/>
      <c r="Z783" s="539"/>
    </row>
    <row r="784" spans="1:26" ht="14.25" customHeight="1">
      <c r="A784" s="418" t="s">
        <v>2705</v>
      </c>
      <c r="B784" s="574" t="s">
        <v>309</v>
      </c>
      <c r="C784" s="575" t="s">
        <v>313</v>
      </c>
      <c r="D784" s="544" t="s">
        <v>1654</v>
      </c>
      <c r="E784" s="70"/>
      <c r="F784" s="70"/>
      <c r="G784" s="70"/>
      <c r="H784" s="70"/>
      <c r="I784" s="70"/>
      <c r="J784" s="70" t="s">
        <v>798</v>
      </c>
      <c r="K784" s="70" t="s">
        <v>798</v>
      </c>
      <c r="L784" s="70" t="s">
        <v>798</v>
      </c>
      <c r="M784" s="70" t="s">
        <v>298</v>
      </c>
      <c r="N784" s="539"/>
      <c r="O784" s="539"/>
      <c r="P784" s="70" t="s">
        <v>799</v>
      </c>
      <c r="Q784" s="70" t="s">
        <v>780</v>
      </c>
      <c r="R784" s="554"/>
      <c r="S784" s="426"/>
      <c r="T784" s="104"/>
      <c r="U784" s="100"/>
      <c r="V784" s="418" t="s">
        <v>313</v>
      </c>
      <c r="W784" s="418"/>
      <c r="X784" s="539"/>
      <c r="Y784" s="539"/>
      <c r="Z784" s="539"/>
    </row>
    <row r="785" spans="1:26" ht="14.25" customHeight="1">
      <c r="A785" s="418" t="s">
        <v>2705</v>
      </c>
      <c r="B785" s="440" t="s">
        <v>309</v>
      </c>
      <c r="C785" s="439" t="s">
        <v>315</v>
      </c>
      <c r="D785" s="470" t="s">
        <v>1654</v>
      </c>
      <c r="E785" s="70"/>
      <c r="F785" s="70"/>
      <c r="G785" s="70"/>
      <c r="H785" s="70"/>
      <c r="I785" s="70"/>
      <c r="J785" s="70" t="s">
        <v>798</v>
      </c>
      <c r="K785" s="70" t="s">
        <v>798</v>
      </c>
      <c r="L785" s="70" t="s">
        <v>798</v>
      </c>
      <c r="M785" s="70" t="s">
        <v>795</v>
      </c>
      <c r="N785" s="70"/>
      <c r="O785" s="70"/>
      <c r="P785" s="70" t="s">
        <v>799</v>
      </c>
      <c r="Q785" s="70" t="s">
        <v>780</v>
      </c>
      <c r="R785" s="545"/>
      <c r="S785" s="546"/>
      <c r="T785" s="104"/>
      <c r="U785" s="100"/>
      <c r="V785" s="418" t="s">
        <v>1091</v>
      </c>
      <c r="W785" s="418"/>
      <c r="X785" s="539"/>
      <c r="Y785" s="539"/>
      <c r="Z785" s="539"/>
    </row>
    <row r="786" spans="1:26" ht="14.25" customHeight="1">
      <c r="A786" s="418" t="s">
        <v>2705</v>
      </c>
      <c r="B786" s="440" t="s">
        <v>309</v>
      </c>
      <c r="C786" s="439" t="s">
        <v>2301</v>
      </c>
      <c r="D786" s="470"/>
      <c r="E786" s="587">
        <v>196937</v>
      </c>
      <c r="F786" s="543" t="s">
        <v>2690</v>
      </c>
      <c r="G786" s="70"/>
      <c r="H786" s="70"/>
      <c r="I786" s="70"/>
      <c r="J786" s="70" t="s">
        <v>798</v>
      </c>
      <c r="K786" s="70" t="s">
        <v>798</v>
      </c>
      <c r="L786" s="70" t="s">
        <v>798</v>
      </c>
      <c r="M786" s="70" t="s">
        <v>298</v>
      </c>
      <c r="N786" s="539">
        <v>20.646560668945298</v>
      </c>
      <c r="O786" s="539">
        <v>92.976043701171903</v>
      </c>
      <c r="P786" s="70"/>
      <c r="Q786" s="70"/>
      <c r="R786" s="425"/>
      <c r="S786" s="426"/>
      <c r="T786" s="104"/>
      <c r="U786" s="100"/>
      <c r="V786" s="418"/>
      <c r="W786" s="418"/>
      <c r="X786" s="539"/>
      <c r="Y786" s="539"/>
      <c r="Z786" s="539"/>
    </row>
    <row r="787" spans="1:26" ht="14.25" customHeight="1">
      <c r="A787" s="418" t="s">
        <v>2705</v>
      </c>
      <c r="B787" s="440" t="s">
        <v>309</v>
      </c>
      <c r="C787" s="439" t="s">
        <v>2049</v>
      </c>
      <c r="D787" s="470"/>
      <c r="E787" s="70">
        <v>197947</v>
      </c>
      <c r="F787" s="418" t="s">
        <v>2690</v>
      </c>
      <c r="G787" s="70"/>
      <c r="H787" s="70"/>
      <c r="I787" s="70"/>
      <c r="J787" s="70" t="s">
        <v>798</v>
      </c>
      <c r="K787" s="70" t="s">
        <v>798</v>
      </c>
      <c r="L787" s="70" t="s">
        <v>798</v>
      </c>
      <c r="M787" s="70" t="s">
        <v>298</v>
      </c>
      <c r="N787" s="70">
        <v>20.899179459999999</v>
      </c>
      <c r="O787" s="70">
        <v>92.404052730000004</v>
      </c>
      <c r="P787" s="70"/>
      <c r="Q787" s="70"/>
      <c r="R787" s="421"/>
      <c r="S787" s="99"/>
      <c r="T787" s="104">
        <v>43300</v>
      </c>
      <c r="U787" s="100"/>
      <c r="V787" s="70"/>
      <c r="W787" s="418"/>
      <c r="X787" s="539"/>
      <c r="Y787" s="539"/>
      <c r="Z787" s="539"/>
    </row>
    <row r="788" spans="1:26" ht="14.25" customHeight="1">
      <c r="A788" s="418" t="s">
        <v>2705</v>
      </c>
      <c r="B788" s="574" t="s">
        <v>309</v>
      </c>
      <c r="C788" s="575" t="s">
        <v>623</v>
      </c>
      <c r="D788" s="544" t="s">
        <v>1654</v>
      </c>
      <c r="E788" s="70" t="s">
        <v>1393</v>
      </c>
      <c r="F788" s="70"/>
      <c r="G788" s="70"/>
      <c r="H788" s="70" t="s">
        <v>42</v>
      </c>
      <c r="I788" s="70"/>
      <c r="J788" s="70" t="s">
        <v>798</v>
      </c>
      <c r="K788" s="70" t="s">
        <v>798</v>
      </c>
      <c r="L788" s="70" t="s">
        <v>1654</v>
      </c>
      <c r="M788" s="70" t="s">
        <v>795</v>
      </c>
      <c r="N788" s="70">
        <v>20.819958</v>
      </c>
      <c r="O788" s="70">
        <v>92.365793999999994</v>
      </c>
      <c r="P788" s="70" t="s">
        <v>761</v>
      </c>
      <c r="Q788" s="70" t="s">
        <v>780</v>
      </c>
      <c r="R788" s="554"/>
      <c r="S788" s="426"/>
      <c r="T788" s="104">
        <v>43248</v>
      </c>
      <c r="U788" s="100" t="s">
        <v>1901</v>
      </c>
      <c r="V788" s="70"/>
      <c r="W788" s="418"/>
      <c r="X788" s="539"/>
      <c r="Y788" s="539"/>
      <c r="Z788" s="539"/>
    </row>
    <row r="789" spans="1:26" ht="14.25" customHeight="1">
      <c r="A789" s="418" t="s">
        <v>2705</v>
      </c>
      <c r="B789" s="563" t="s">
        <v>309</v>
      </c>
      <c r="C789" s="562" t="s">
        <v>2079</v>
      </c>
      <c r="D789" s="470" t="s">
        <v>1654</v>
      </c>
      <c r="E789" s="70">
        <v>197896</v>
      </c>
      <c r="F789" s="70"/>
      <c r="G789" s="70"/>
      <c r="H789" s="418"/>
      <c r="I789" s="70"/>
      <c r="J789" s="70" t="s">
        <v>798</v>
      </c>
      <c r="K789" s="70" t="s">
        <v>798</v>
      </c>
      <c r="L789" s="70" t="s">
        <v>798</v>
      </c>
      <c r="M789" s="70" t="s">
        <v>298</v>
      </c>
      <c r="N789" s="557">
        <v>20.991559980000002</v>
      </c>
      <c r="O789" s="557">
        <v>92.290878300000003</v>
      </c>
      <c r="P789" s="70" t="s">
        <v>799</v>
      </c>
      <c r="Q789" s="418" t="s">
        <v>780</v>
      </c>
      <c r="R789" s="549"/>
      <c r="S789" s="426"/>
      <c r="T789" s="441"/>
      <c r="U789" s="100"/>
      <c r="V789" s="70" t="s">
        <v>672</v>
      </c>
      <c r="W789" s="418"/>
      <c r="X789" s="539"/>
      <c r="Y789" s="539"/>
      <c r="Z789" s="539"/>
    </row>
    <row r="790" spans="1:26" ht="14.25" customHeight="1">
      <c r="A790" s="418" t="s">
        <v>2705</v>
      </c>
      <c r="B790" s="563" t="s">
        <v>309</v>
      </c>
      <c r="C790" s="562" t="s">
        <v>2084</v>
      </c>
      <c r="D790" s="470"/>
      <c r="E790" s="418">
        <v>197921</v>
      </c>
      <c r="F790" s="418"/>
      <c r="G790" s="418"/>
      <c r="H790" s="418"/>
      <c r="I790" s="418"/>
      <c r="J790" s="70" t="s">
        <v>798</v>
      </c>
      <c r="K790" s="418" t="s">
        <v>798</v>
      </c>
      <c r="L790" s="418" t="s">
        <v>798</v>
      </c>
      <c r="M790" s="70" t="s">
        <v>795</v>
      </c>
      <c r="N790" s="70">
        <v>20.9467392</v>
      </c>
      <c r="O790" s="70">
        <v>92.330482480000001</v>
      </c>
      <c r="P790" s="70"/>
      <c r="Q790" s="70"/>
      <c r="R790" s="549"/>
      <c r="S790" s="426"/>
      <c r="T790" s="104">
        <v>43300</v>
      </c>
      <c r="U790" s="100"/>
      <c r="V790" s="70"/>
      <c r="W790" s="418"/>
      <c r="X790" s="539"/>
      <c r="Y790" s="539"/>
      <c r="Z790" s="539"/>
    </row>
    <row r="791" spans="1:26" ht="14.25" customHeight="1">
      <c r="A791" s="418" t="s">
        <v>2705</v>
      </c>
      <c r="B791" s="563" t="s">
        <v>309</v>
      </c>
      <c r="C791" s="562" t="s">
        <v>2056</v>
      </c>
      <c r="D791" s="470"/>
      <c r="E791" s="70">
        <v>197970</v>
      </c>
      <c r="F791" s="418"/>
      <c r="G791" s="70"/>
      <c r="H791" s="70"/>
      <c r="I791" s="70"/>
      <c r="J791" s="70" t="s">
        <v>798</v>
      </c>
      <c r="K791" s="70" t="s">
        <v>798</v>
      </c>
      <c r="L791" s="70" t="s">
        <v>798</v>
      </c>
      <c r="M791" s="70" t="s">
        <v>795</v>
      </c>
      <c r="N791" s="557">
        <v>20.86484909</v>
      </c>
      <c r="O791" s="557">
        <v>92.347358700000001</v>
      </c>
      <c r="P791" s="70"/>
      <c r="Q791" s="70"/>
      <c r="R791" s="549"/>
      <c r="S791" s="550"/>
      <c r="T791" s="104">
        <v>43300</v>
      </c>
      <c r="U791" s="100"/>
      <c r="V791" s="70"/>
      <c r="W791" s="418"/>
      <c r="X791" s="539"/>
      <c r="Y791" s="539"/>
      <c r="Z791" s="539"/>
    </row>
    <row r="792" spans="1:26" ht="14.25" customHeight="1">
      <c r="A792" s="418" t="s">
        <v>2705</v>
      </c>
      <c r="B792" s="440" t="s">
        <v>309</v>
      </c>
      <c r="C792" s="439" t="s">
        <v>569</v>
      </c>
      <c r="D792" s="470" t="s">
        <v>1654</v>
      </c>
      <c r="E792" s="70">
        <v>198046</v>
      </c>
      <c r="F792" s="70"/>
      <c r="G792" s="70"/>
      <c r="H792" s="70"/>
      <c r="I792" s="70"/>
      <c r="J792" s="70" t="s">
        <v>798</v>
      </c>
      <c r="K792" s="70" t="s">
        <v>798</v>
      </c>
      <c r="L792" s="70" t="s">
        <v>798</v>
      </c>
      <c r="M792" s="70" t="s">
        <v>795</v>
      </c>
      <c r="N792" s="70">
        <v>20.720169070000001</v>
      </c>
      <c r="O792" s="70">
        <v>92.432983399999998</v>
      </c>
      <c r="P792" s="70" t="s">
        <v>799</v>
      </c>
      <c r="Q792" s="70" t="s">
        <v>780</v>
      </c>
      <c r="R792" s="421"/>
      <c r="S792" s="422"/>
      <c r="T792" s="104"/>
      <c r="U792" s="100"/>
      <c r="V792" s="70" t="s">
        <v>569</v>
      </c>
      <c r="W792" s="418"/>
      <c r="X792" s="539"/>
      <c r="Y792" s="539"/>
      <c r="Z792" s="539"/>
    </row>
    <row r="793" spans="1:26" ht="14.25" customHeight="1">
      <c r="A793" s="418" t="s">
        <v>2705</v>
      </c>
      <c r="B793" s="440" t="s">
        <v>309</v>
      </c>
      <c r="C793" s="439" t="s">
        <v>319</v>
      </c>
      <c r="D793" s="470" t="s">
        <v>1654</v>
      </c>
      <c r="E793" s="70"/>
      <c r="F793" s="70"/>
      <c r="G793" s="70"/>
      <c r="H793" s="70"/>
      <c r="I793" s="70"/>
      <c r="J793" s="70" t="s">
        <v>798</v>
      </c>
      <c r="K793" s="70" t="s">
        <v>798</v>
      </c>
      <c r="L793" s="70" t="s">
        <v>798</v>
      </c>
      <c r="M793" s="70" t="s">
        <v>298</v>
      </c>
      <c r="N793" s="418"/>
      <c r="O793" s="418"/>
      <c r="P793" s="70" t="s">
        <v>799</v>
      </c>
      <c r="Q793" s="70" t="s">
        <v>780</v>
      </c>
      <c r="R793" s="549"/>
      <c r="S793" s="550"/>
      <c r="T793" s="104"/>
      <c r="U793" s="100"/>
      <c r="V793" s="70" t="s">
        <v>319</v>
      </c>
      <c r="W793" s="418"/>
      <c r="X793" s="539"/>
      <c r="Y793" s="539"/>
      <c r="Z793" s="539"/>
    </row>
    <row r="794" spans="1:26" ht="14.25" customHeight="1">
      <c r="A794" s="418" t="s">
        <v>2705</v>
      </c>
      <c r="B794" s="445" t="s">
        <v>309</v>
      </c>
      <c r="C794" s="446" t="s">
        <v>563</v>
      </c>
      <c r="D794" s="420" t="s">
        <v>1654</v>
      </c>
      <c r="E794" s="418" t="s">
        <v>1388</v>
      </c>
      <c r="F794" s="418"/>
      <c r="G794" s="418"/>
      <c r="H794" s="418" t="s">
        <v>42</v>
      </c>
      <c r="I794" s="418"/>
      <c r="J794" s="418" t="s">
        <v>798</v>
      </c>
      <c r="K794" s="418" t="s">
        <v>798</v>
      </c>
      <c r="L794" s="418" t="s">
        <v>1654</v>
      </c>
      <c r="M794" s="418" t="s">
        <v>795</v>
      </c>
      <c r="N794" s="418">
        <v>20.714846999999999</v>
      </c>
      <c r="O794" s="418">
        <v>92.443427999999997</v>
      </c>
      <c r="P794" s="418" t="s">
        <v>761</v>
      </c>
      <c r="Q794" s="418" t="s">
        <v>780</v>
      </c>
      <c r="R794" s="554"/>
      <c r="S794" s="550"/>
      <c r="T794" s="441">
        <v>43248</v>
      </c>
      <c r="U794" s="423" t="s">
        <v>1901</v>
      </c>
      <c r="V794" s="418"/>
      <c r="W794" s="418"/>
      <c r="X794" s="539"/>
      <c r="Y794" s="539"/>
      <c r="Z794" s="539"/>
    </row>
    <row r="795" spans="1:26" ht="14.25" customHeight="1">
      <c r="A795" s="418" t="s">
        <v>2705</v>
      </c>
      <c r="B795" s="445" t="s">
        <v>309</v>
      </c>
      <c r="C795" s="446" t="s">
        <v>321</v>
      </c>
      <c r="D795" s="420" t="s">
        <v>1654</v>
      </c>
      <c r="E795" s="539"/>
      <c r="F795" s="70"/>
      <c r="G795" s="70"/>
      <c r="H795" s="70"/>
      <c r="I795" s="70"/>
      <c r="J795" s="70" t="s">
        <v>798</v>
      </c>
      <c r="K795" s="418" t="s">
        <v>798</v>
      </c>
      <c r="L795" s="418" t="s">
        <v>798</v>
      </c>
      <c r="M795" s="70" t="s">
        <v>795</v>
      </c>
      <c r="N795" s="70"/>
      <c r="O795" s="70"/>
      <c r="P795" s="70" t="s">
        <v>799</v>
      </c>
      <c r="Q795" s="70" t="s">
        <v>780</v>
      </c>
      <c r="R795" s="554"/>
      <c r="S795" s="550"/>
      <c r="T795" s="565"/>
      <c r="U795" s="100"/>
      <c r="V795" s="70" t="s">
        <v>321</v>
      </c>
      <c r="W795" s="418"/>
      <c r="X795" s="539"/>
      <c r="Y795" s="539"/>
      <c r="Z795" s="539"/>
    </row>
    <row r="796" spans="1:26" ht="14.25" customHeight="1">
      <c r="A796" s="418" t="s">
        <v>2705</v>
      </c>
      <c r="B796" s="445" t="s">
        <v>309</v>
      </c>
      <c r="C796" s="446" t="s">
        <v>2096</v>
      </c>
      <c r="D796" s="420"/>
      <c r="E796" s="418">
        <v>197934</v>
      </c>
      <c r="F796" s="418"/>
      <c r="G796" s="418"/>
      <c r="H796" s="418"/>
      <c r="I796" s="418"/>
      <c r="J796" s="70" t="s">
        <v>798</v>
      </c>
      <c r="K796" s="418" t="s">
        <v>798</v>
      </c>
      <c r="L796" s="418" t="s">
        <v>798</v>
      </c>
      <c r="M796" s="418" t="s">
        <v>795</v>
      </c>
      <c r="N796" s="418">
        <v>20.857500080000001</v>
      </c>
      <c r="O796" s="418">
        <v>92.357841489999998</v>
      </c>
      <c r="P796" s="70"/>
      <c r="Q796" s="418"/>
      <c r="R796" s="429"/>
      <c r="S796" s="422"/>
      <c r="T796" s="441">
        <v>43300</v>
      </c>
      <c r="U796" s="423"/>
      <c r="V796" s="418"/>
      <c r="W796" s="418"/>
      <c r="X796" s="539"/>
      <c r="Y796" s="539"/>
      <c r="Z796" s="539"/>
    </row>
    <row r="797" spans="1:26" ht="14.25" customHeight="1">
      <c r="A797" s="418" t="s">
        <v>2705</v>
      </c>
      <c r="B797" s="440" t="s">
        <v>309</v>
      </c>
      <c r="C797" s="439" t="s">
        <v>651</v>
      </c>
      <c r="D797" s="470"/>
      <c r="E797" s="70">
        <v>197941</v>
      </c>
      <c r="F797" s="70"/>
      <c r="G797" s="70"/>
      <c r="H797" s="70"/>
      <c r="I797" s="70"/>
      <c r="J797" s="70" t="s">
        <v>798</v>
      </c>
      <c r="K797" s="418" t="s">
        <v>798</v>
      </c>
      <c r="L797" s="418" t="s">
        <v>798</v>
      </c>
      <c r="M797" s="70" t="s">
        <v>795</v>
      </c>
      <c r="N797" s="70">
        <v>20.83185005</v>
      </c>
      <c r="O797" s="418">
        <v>92.359428410000007</v>
      </c>
      <c r="P797" s="70"/>
      <c r="Q797" s="70"/>
      <c r="R797" s="421"/>
      <c r="S797" s="99"/>
      <c r="T797" s="104">
        <v>43300</v>
      </c>
      <c r="U797" s="100"/>
      <c r="V797" s="70"/>
      <c r="W797" s="418"/>
      <c r="X797" s="539"/>
      <c r="Y797" s="539"/>
      <c r="Z797" s="539"/>
    </row>
    <row r="798" spans="1:26" ht="14.25" customHeight="1">
      <c r="A798" s="418" t="s">
        <v>2705</v>
      </c>
      <c r="B798" s="563" t="s">
        <v>309</v>
      </c>
      <c r="C798" s="562" t="s">
        <v>2073</v>
      </c>
      <c r="D798" s="470"/>
      <c r="E798" s="418">
        <v>197872</v>
      </c>
      <c r="F798" s="418"/>
      <c r="G798" s="418"/>
      <c r="H798" s="418"/>
      <c r="I798" s="418"/>
      <c r="J798" s="418" t="s">
        <v>798</v>
      </c>
      <c r="K798" s="418" t="s">
        <v>798</v>
      </c>
      <c r="L798" s="418" t="s">
        <v>798</v>
      </c>
      <c r="M798" s="418" t="s">
        <v>2092</v>
      </c>
      <c r="N798" s="418">
        <v>21.07212067</v>
      </c>
      <c r="O798" s="418">
        <v>92.314163210000004</v>
      </c>
      <c r="P798" s="418"/>
      <c r="Q798" s="418"/>
      <c r="R798" s="545"/>
      <c r="S798" s="422"/>
      <c r="T798" s="441">
        <v>43300</v>
      </c>
      <c r="U798" s="423"/>
      <c r="V798" s="418"/>
      <c r="W798" s="418"/>
      <c r="X798" s="539"/>
      <c r="Y798" s="539"/>
      <c r="Z798" s="539"/>
    </row>
    <row r="799" spans="1:26" ht="14.25" customHeight="1">
      <c r="A799" s="418" t="s">
        <v>2705</v>
      </c>
      <c r="B799" s="574" t="s">
        <v>309</v>
      </c>
      <c r="C799" s="575" t="s">
        <v>562</v>
      </c>
      <c r="D799" s="544" t="s">
        <v>1654</v>
      </c>
      <c r="E799" s="70">
        <v>198049</v>
      </c>
      <c r="F799" s="70"/>
      <c r="G799" s="70"/>
      <c r="H799" s="70"/>
      <c r="I799" s="70"/>
      <c r="J799" s="70" t="s">
        <v>798</v>
      </c>
      <c r="K799" s="70" t="s">
        <v>798</v>
      </c>
      <c r="L799" s="70" t="s">
        <v>798</v>
      </c>
      <c r="M799" s="70" t="s">
        <v>795</v>
      </c>
      <c r="N799" s="70">
        <v>20.714559560000001</v>
      </c>
      <c r="O799" s="70">
        <v>92.435226439999994</v>
      </c>
      <c r="P799" s="70" t="s">
        <v>799</v>
      </c>
      <c r="Q799" s="70" t="s">
        <v>780</v>
      </c>
      <c r="R799" s="553"/>
      <c r="S799" s="422"/>
      <c r="T799" s="104"/>
      <c r="U799" s="100"/>
      <c r="V799" s="70" t="s">
        <v>562</v>
      </c>
      <c r="W799" s="418"/>
      <c r="X799" s="539"/>
      <c r="Y799" s="539"/>
      <c r="Z799" s="539"/>
    </row>
    <row r="800" spans="1:26" ht="14.25" customHeight="1">
      <c r="A800" s="418" t="s">
        <v>2705</v>
      </c>
      <c r="B800" s="445" t="s">
        <v>309</v>
      </c>
      <c r="C800" s="446" t="s">
        <v>683</v>
      </c>
      <c r="D800" s="420" t="s">
        <v>1654</v>
      </c>
      <c r="E800" s="182">
        <v>220731</v>
      </c>
      <c r="F800" s="418"/>
      <c r="G800" s="418"/>
      <c r="H800" s="418"/>
      <c r="I800" s="418"/>
      <c r="J800" s="70" t="s">
        <v>798</v>
      </c>
      <c r="K800" s="70" t="s">
        <v>798</v>
      </c>
      <c r="L800" s="70" t="s">
        <v>798</v>
      </c>
      <c r="M800" s="418" t="s">
        <v>683</v>
      </c>
      <c r="N800" s="418">
        <v>21.027990339999999</v>
      </c>
      <c r="O800" s="418">
        <v>92.298881530000003</v>
      </c>
      <c r="P800" s="70" t="s">
        <v>799</v>
      </c>
      <c r="Q800" s="418" t="s">
        <v>780</v>
      </c>
      <c r="R800" s="429"/>
      <c r="S800" s="422"/>
      <c r="T800" s="184">
        <v>43300</v>
      </c>
      <c r="U800" s="423"/>
      <c r="V800" s="418" t="s">
        <v>683</v>
      </c>
      <c r="W800" s="418"/>
      <c r="X800" s="539"/>
      <c r="Y800" s="539"/>
      <c r="Z800" s="539"/>
    </row>
    <row r="801" spans="1:26" ht="14.25" customHeight="1">
      <c r="A801" s="418" t="s">
        <v>2705</v>
      </c>
      <c r="B801" s="574" t="s">
        <v>309</v>
      </c>
      <c r="C801" s="575" t="s">
        <v>561</v>
      </c>
      <c r="D801" s="544" t="s">
        <v>1654</v>
      </c>
      <c r="E801" s="70" t="s">
        <v>1387</v>
      </c>
      <c r="F801" s="418"/>
      <c r="G801" s="70"/>
      <c r="H801" s="418" t="s">
        <v>42</v>
      </c>
      <c r="I801" s="70"/>
      <c r="J801" s="70" t="s">
        <v>798</v>
      </c>
      <c r="K801" s="418" t="s">
        <v>798</v>
      </c>
      <c r="L801" s="418" t="s">
        <v>1654</v>
      </c>
      <c r="M801" s="70" t="s">
        <v>795</v>
      </c>
      <c r="N801" s="70">
        <v>20.713882999999999</v>
      </c>
      <c r="O801" s="418">
        <v>92.435378</v>
      </c>
      <c r="P801" s="70" t="s">
        <v>761</v>
      </c>
      <c r="Q801" s="418" t="s">
        <v>780</v>
      </c>
      <c r="R801" s="553"/>
      <c r="S801" s="422"/>
      <c r="T801" s="441">
        <v>43248</v>
      </c>
      <c r="U801" s="423" t="s">
        <v>1901</v>
      </c>
      <c r="V801" s="70"/>
      <c r="W801" s="418"/>
      <c r="X801" s="539"/>
      <c r="Y801" s="539"/>
      <c r="Z801" s="539"/>
    </row>
    <row r="802" spans="1:26" ht="14.25" customHeight="1">
      <c r="A802" s="418" t="s">
        <v>2705</v>
      </c>
      <c r="B802" s="440" t="s">
        <v>309</v>
      </c>
      <c r="C802" s="439" t="s">
        <v>669</v>
      </c>
      <c r="D802" s="470" t="s">
        <v>1654</v>
      </c>
      <c r="E802" s="70">
        <v>197913</v>
      </c>
      <c r="F802" s="70"/>
      <c r="G802" s="70"/>
      <c r="H802" s="70"/>
      <c r="I802" s="70"/>
      <c r="J802" s="70" t="s">
        <v>798</v>
      </c>
      <c r="K802" s="70" t="s">
        <v>798</v>
      </c>
      <c r="L802" s="70" t="s">
        <v>798</v>
      </c>
      <c r="M802" s="70" t="s">
        <v>298</v>
      </c>
      <c r="N802" s="70">
        <v>20.987419129999999</v>
      </c>
      <c r="O802" s="70">
        <v>92.362136840000005</v>
      </c>
      <c r="P802" s="70" t="s">
        <v>799</v>
      </c>
      <c r="Q802" s="70" t="s">
        <v>802</v>
      </c>
      <c r="R802" s="421"/>
      <c r="S802" s="422"/>
      <c r="T802" s="104">
        <v>42926</v>
      </c>
      <c r="U802" s="100" t="s">
        <v>803</v>
      </c>
      <c r="V802" s="70"/>
      <c r="W802" s="418"/>
      <c r="X802" s="539"/>
      <c r="Y802" s="539"/>
      <c r="Z802" s="539"/>
    </row>
    <row r="803" spans="1:26" ht="14.25" customHeight="1">
      <c r="A803" s="418" t="s">
        <v>2705</v>
      </c>
      <c r="B803" s="574" t="s">
        <v>309</v>
      </c>
      <c r="C803" s="575" t="s">
        <v>670</v>
      </c>
      <c r="D803" s="544" t="s">
        <v>1654</v>
      </c>
      <c r="E803" s="418">
        <v>197913</v>
      </c>
      <c r="F803" s="418"/>
      <c r="G803" s="418"/>
      <c r="H803" s="418"/>
      <c r="I803" s="418"/>
      <c r="J803" s="418" t="s">
        <v>798</v>
      </c>
      <c r="K803" s="418" t="s">
        <v>798</v>
      </c>
      <c r="L803" s="418" t="s">
        <v>798</v>
      </c>
      <c r="M803" s="418" t="s">
        <v>795</v>
      </c>
      <c r="N803" s="418">
        <v>20.987419129999999</v>
      </c>
      <c r="O803" s="418">
        <v>92.362136840000005</v>
      </c>
      <c r="P803" s="418" t="s">
        <v>799</v>
      </c>
      <c r="Q803" s="418" t="s">
        <v>780</v>
      </c>
      <c r="R803" s="553"/>
      <c r="S803" s="422"/>
      <c r="T803" s="441">
        <v>42745</v>
      </c>
      <c r="U803" s="423"/>
      <c r="V803" s="418" t="s">
        <v>952</v>
      </c>
      <c r="W803" s="418"/>
      <c r="X803" s="539"/>
      <c r="Y803" s="539"/>
      <c r="Z803" s="539"/>
    </row>
    <row r="804" spans="1:26" ht="14.25" customHeight="1">
      <c r="A804" s="418" t="s">
        <v>2705</v>
      </c>
      <c r="B804" s="440" t="s">
        <v>309</v>
      </c>
      <c r="C804" s="439" t="s">
        <v>2100</v>
      </c>
      <c r="D804" s="470"/>
      <c r="E804" s="70">
        <v>197913</v>
      </c>
      <c r="F804" s="418"/>
      <c r="G804" s="70"/>
      <c r="H804" s="70"/>
      <c r="I804" s="70"/>
      <c r="J804" s="70" t="s">
        <v>798</v>
      </c>
      <c r="K804" s="418" t="s">
        <v>798</v>
      </c>
      <c r="L804" s="418" t="s">
        <v>798</v>
      </c>
      <c r="M804" s="70" t="s">
        <v>298</v>
      </c>
      <c r="N804" s="70">
        <v>20.987419129999999</v>
      </c>
      <c r="O804" s="70">
        <v>92.362136840000005</v>
      </c>
      <c r="P804" s="70"/>
      <c r="Q804" s="70"/>
      <c r="R804" s="421"/>
      <c r="S804" s="422"/>
      <c r="T804" s="104">
        <v>43300</v>
      </c>
      <c r="U804" s="100"/>
      <c r="V804" s="70"/>
      <c r="W804" s="418"/>
      <c r="X804" s="539"/>
      <c r="Y804" s="539"/>
      <c r="Z804" s="539"/>
    </row>
    <row r="805" spans="1:26" ht="14.25" customHeight="1">
      <c r="A805" s="418" t="s">
        <v>2705</v>
      </c>
      <c r="B805" s="445" t="s">
        <v>309</v>
      </c>
      <c r="C805" s="446" t="s">
        <v>2087</v>
      </c>
      <c r="D805" s="420"/>
      <c r="E805" s="418">
        <v>198084</v>
      </c>
      <c r="F805" s="70"/>
      <c r="G805" s="70"/>
      <c r="H805" s="70"/>
      <c r="I805" s="418"/>
      <c r="J805" s="70" t="s">
        <v>798</v>
      </c>
      <c r="K805" s="70" t="s">
        <v>798</v>
      </c>
      <c r="L805" s="418" t="s">
        <v>798</v>
      </c>
      <c r="M805" s="70" t="s">
        <v>298</v>
      </c>
      <c r="N805" s="70">
        <v>20.51251984</v>
      </c>
      <c r="O805" s="70">
        <v>92.582893369999994</v>
      </c>
      <c r="P805" s="70"/>
      <c r="Q805" s="70"/>
      <c r="R805" s="429"/>
      <c r="S805" s="422"/>
      <c r="T805" s="104">
        <v>43300</v>
      </c>
      <c r="U805" s="100"/>
      <c r="V805" s="70"/>
      <c r="W805" s="418"/>
      <c r="X805" s="539"/>
      <c r="Y805" s="539"/>
      <c r="Z805" s="539"/>
    </row>
    <row r="806" spans="1:26" ht="14.25" customHeight="1">
      <c r="A806" s="418" t="s">
        <v>2705</v>
      </c>
      <c r="B806" s="440" t="s">
        <v>309</v>
      </c>
      <c r="C806" s="439" t="s">
        <v>2115</v>
      </c>
      <c r="D806" s="470"/>
      <c r="E806" s="418"/>
      <c r="F806" s="418"/>
      <c r="G806" s="418"/>
      <c r="H806" s="418"/>
      <c r="I806" s="418"/>
      <c r="J806" s="418" t="s">
        <v>798</v>
      </c>
      <c r="K806" s="418" t="s">
        <v>798</v>
      </c>
      <c r="L806" s="418" t="s">
        <v>798</v>
      </c>
      <c r="M806" s="418" t="s">
        <v>298</v>
      </c>
      <c r="N806" s="418"/>
      <c r="O806" s="418"/>
      <c r="P806" s="418"/>
      <c r="Q806" s="418"/>
      <c r="R806" s="421"/>
      <c r="S806" s="422"/>
      <c r="T806" s="441">
        <v>43300</v>
      </c>
      <c r="U806" s="423"/>
      <c r="V806" s="418"/>
      <c r="W806" s="418"/>
      <c r="X806" s="539"/>
      <c r="Y806" s="539"/>
      <c r="Z806" s="539"/>
    </row>
    <row r="807" spans="1:26" ht="14.25" customHeight="1">
      <c r="A807" s="418" t="s">
        <v>2705</v>
      </c>
      <c r="B807" s="563" t="s">
        <v>309</v>
      </c>
      <c r="C807" s="562" t="s">
        <v>1904</v>
      </c>
      <c r="D807" s="470"/>
      <c r="E807" s="70">
        <v>197969</v>
      </c>
      <c r="F807" s="418" t="s">
        <v>2576</v>
      </c>
      <c r="G807" s="70"/>
      <c r="H807" s="70"/>
      <c r="I807" s="70"/>
      <c r="J807" s="70" t="s">
        <v>798</v>
      </c>
      <c r="K807" s="70" t="s">
        <v>798</v>
      </c>
      <c r="L807" s="70" t="s">
        <v>798</v>
      </c>
      <c r="M807" s="70" t="s">
        <v>795</v>
      </c>
      <c r="N807" s="70">
        <v>20.866529459999999</v>
      </c>
      <c r="O807" s="70">
        <v>92.364883419999998</v>
      </c>
      <c r="P807" s="70" t="s">
        <v>799</v>
      </c>
      <c r="Q807" s="70" t="s">
        <v>1908</v>
      </c>
      <c r="R807" s="545"/>
      <c r="S807" s="422"/>
      <c r="T807" s="104">
        <v>43245</v>
      </c>
      <c r="U807" s="100"/>
      <c r="V807" s="70"/>
      <c r="W807" s="418"/>
      <c r="X807" s="539"/>
      <c r="Y807" s="539"/>
      <c r="Z807" s="539"/>
    </row>
    <row r="808" spans="1:26" ht="14.25" customHeight="1">
      <c r="A808" s="418" t="s">
        <v>2705</v>
      </c>
      <c r="B808" s="563" t="s">
        <v>309</v>
      </c>
      <c r="C808" s="562" t="s">
        <v>2098</v>
      </c>
      <c r="D808" s="470"/>
      <c r="E808" s="418">
        <v>197936</v>
      </c>
      <c r="F808" s="70"/>
      <c r="G808" s="70"/>
      <c r="H808" s="70"/>
      <c r="I808" s="418"/>
      <c r="J808" s="70" t="s">
        <v>798</v>
      </c>
      <c r="K808" s="70" t="s">
        <v>798</v>
      </c>
      <c r="L808" s="418" t="s">
        <v>798</v>
      </c>
      <c r="M808" s="70" t="s">
        <v>298</v>
      </c>
      <c r="N808" s="70">
        <v>20.84993935</v>
      </c>
      <c r="O808" s="70">
        <v>92.348213200000004</v>
      </c>
      <c r="P808" s="70"/>
      <c r="Q808" s="70"/>
      <c r="R808" s="545"/>
      <c r="S808" s="422"/>
      <c r="T808" s="104">
        <v>43300</v>
      </c>
      <c r="U808" s="100"/>
      <c r="V808" s="70"/>
      <c r="W808" s="418"/>
      <c r="X808" s="539"/>
      <c r="Y808" s="539"/>
      <c r="Z808" s="539"/>
    </row>
    <row r="809" spans="1:26" ht="14.25" customHeight="1">
      <c r="A809" s="418" t="s">
        <v>2705</v>
      </c>
      <c r="B809" s="563" t="s">
        <v>309</v>
      </c>
      <c r="C809" s="439" t="s">
        <v>2062</v>
      </c>
      <c r="D809" s="470"/>
      <c r="E809" s="418">
        <v>197986</v>
      </c>
      <c r="F809" s="418"/>
      <c r="G809" s="418"/>
      <c r="H809" s="418"/>
      <c r="I809" s="418"/>
      <c r="J809" s="418" t="s">
        <v>798</v>
      </c>
      <c r="K809" s="418" t="s">
        <v>798</v>
      </c>
      <c r="L809" s="418" t="s">
        <v>798</v>
      </c>
      <c r="M809" s="418" t="s">
        <v>795</v>
      </c>
      <c r="N809" s="418">
        <v>20.819730759999999</v>
      </c>
      <c r="O809" s="418">
        <v>92.376846310000005</v>
      </c>
      <c r="P809" s="418"/>
      <c r="Q809" s="539"/>
      <c r="R809" s="545"/>
      <c r="S809" s="422"/>
      <c r="T809" s="565">
        <v>43300</v>
      </c>
      <c r="U809" s="423"/>
      <c r="V809" s="418"/>
      <c r="W809" s="418"/>
      <c r="X809" s="539"/>
      <c r="Y809" s="539"/>
      <c r="Z809" s="539"/>
    </row>
    <row r="810" spans="1:26" ht="14.25" customHeight="1">
      <c r="A810" s="418" t="s">
        <v>2705</v>
      </c>
      <c r="B810" s="445" t="s">
        <v>309</v>
      </c>
      <c r="C810" s="446" t="s">
        <v>371</v>
      </c>
      <c r="D810" s="420"/>
      <c r="E810" s="70">
        <v>197967</v>
      </c>
      <c r="F810" s="70"/>
      <c r="G810" s="70"/>
      <c r="H810" s="70"/>
      <c r="I810" s="70"/>
      <c r="J810" s="70" t="s">
        <v>798</v>
      </c>
      <c r="K810" s="70" t="s">
        <v>798</v>
      </c>
      <c r="L810" s="70" t="s">
        <v>798</v>
      </c>
      <c r="M810" s="70" t="s">
        <v>795</v>
      </c>
      <c r="N810" s="70">
        <v>20.872419359999999</v>
      </c>
      <c r="O810" s="70">
        <v>92.352493289999998</v>
      </c>
      <c r="P810" s="70"/>
      <c r="Q810" s="70"/>
      <c r="R810" s="429"/>
      <c r="S810" s="422"/>
      <c r="T810" s="104">
        <v>43300</v>
      </c>
      <c r="U810" s="100"/>
      <c r="V810" s="70"/>
      <c r="W810" s="418"/>
      <c r="X810" s="539"/>
      <c r="Y810" s="539"/>
      <c r="Z810" s="539"/>
    </row>
    <row r="811" spans="1:26" ht="14.25" customHeight="1">
      <c r="A811" s="418" t="s">
        <v>2705</v>
      </c>
      <c r="B811" s="563" t="s">
        <v>309</v>
      </c>
      <c r="C811" s="562" t="s">
        <v>2575</v>
      </c>
      <c r="D811" s="470"/>
      <c r="E811" s="70"/>
      <c r="F811" s="70"/>
      <c r="G811" s="70"/>
      <c r="H811" s="70"/>
      <c r="I811" s="70"/>
      <c r="J811" s="70" t="s">
        <v>798</v>
      </c>
      <c r="K811" s="70" t="s">
        <v>798</v>
      </c>
      <c r="L811" s="70" t="s">
        <v>798</v>
      </c>
      <c r="M811" s="70" t="s">
        <v>795</v>
      </c>
      <c r="N811" s="70"/>
      <c r="O811" s="70"/>
      <c r="P811" s="70"/>
      <c r="Q811" s="70"/>
      <c r="R811" s="545"/>
      <c r="S811" s="422"/>
      <c r="T811" s="104"/>
      <c r="U811" s="100"/>
      <c r="V811" s="70"/>
      <c r="W811" s="418"/>
      <c r="X811" s="539"/>
      <c r="Y811" s="539"/>
      <c r="Z811" s="539"/>
    </row>
    <row r="812" spans="1:26" ht="14.25" customHeight="1">
      <c r="A812" s="418" t="s">
        <v>2705</v>
      </c>
      <c r="B812" s="574" t="s">
        <v>309</v>
      </c>
      <c r="C812" s="575" t="s">
        <v>2097</v>
      </c>
      <c r="D812" s="420"/>
      <c r="E812" s="70">
        <v>197935</v>
      </c>
      <c r="F812" s="70"/>
      <c r="G812" s="70"/>
      <c r="H812" s="70"/>
      <c r="I812" s="70"/>
      <c r="J812" s="70" t="s">
        <v>798</v>
      </c>
      <c r="K812" s="539" t="s">
        <v>798</v>
      </c>
      <c r="L812" s="539" t="s">
        <v>798</v>
      </c>
      <c r="M812" s="70" t="s">
        <v>795</v>
      </c>
      <c r="N812" s="70">
        <v>20.85008049</v>
      </c>
      <c r="O812" s="70">
        <v>92.353576660000002</v>
      </c>
      <c r="P812" s="70"/>
      <c r="Q812" s="70"/>
      <c r="R812" s="553"/>
      <c r="S812" s="422"/>
      <c r="T812" s="104">
        <v>43300</v>
      </c>
      <c r="U812" s="100"/>
      <c r="V812" s="70"/>
      <c r="W812" s="418"/>
      <c r="X812" s="539"/>
      <c r="Y812" s="539"/>
      <c r="Z812" s="539"/>
    </row>
    <row r="813" spans="1:26" ht="14.25" customHeight="1">
      <c r="A813" s="418" t="s">
        <v>2705</v>
      </c>
      <c r="B813" s="574" t="s">
        <v>309</v>
      </c>
      <c r="C813" s="575" t="s">
        <v>633</v>
      </c>
      <c r="D813" s="544" t="s">
        <v>1654</v>
      </c>
      <c r="E813" s="70">
        <v>197992</v>
      </c>
      <c r="F813" s="418"/>
      <c r="G813" s="70"/>
      <c r="H813" s="70"/>
      <c r="I813" s="70"/>
      <c r="J813" s="70" t="s">
        <v>798</v>
      </c>
      <c r="K813" s="539" t="s">
        <v>798</v>
      </c>
      <c r="L813" s="539" t="s">
        <v>798</v>
      </c>
      <c r="M813" s="70" t="s">
        <v>795</v>
      </c>
      <c r="N813" s="70">
        <v>20.83049011</v>
      </c>
      <c r="O813" s="70">
        <v>92.393707280000001</v>
      </c>
      <c r="P813" s="70" t="s">
        <v>799</v>
      </c>
      <c r="Q813" s="70" t="s">
        <v>780</v>
      </c>
      <c r="R813" s="553"/>
      <c r="S813" s="422"/>
      <c r="T813" s="104"/>
      <c r="U813" s="100"/>
      <c r="V813" s="70" t="s">
        <v>633</v>
      </c>
      <c r="W813" s="418"/>
      <c r="X813" s="539"/>
      <c r="Y813" s="539"/>
      <c r="Z813" s="539"/>
    </row>
    <row r="814" spans="1:26" ht="14.25" customHeight="1">
      <c r="A814" s="418" t="s">
        <v>2705</v>
      </c>
      <c r="B814" s="445" t="s">
        <v>309</v>
      </c>
      <c r="C814" s="562" t="s">
        <v>629</v>
      </c>
      <c r="D814" s="420" t="s">
        <v>1654</v>
      </c>
      <c r="E814" s="70">
        <v>197989</v>
      </c>
      <c r="F814" s="70"/>
      <c r="G814" s="70"/>
      <c r="H814" s="70"/>
      <c r="I814" s="70"/>
      <c r="J814" s="70" t="s">
        <v>798</v>
      </c>
      <c r="K814" s="539" t="s">
        <v>798</v>
      </c>
      <c r="L814" s="539" t="s">
        <v>798</v>
      </c>
      <c r="M814" s="70" t="s">
        <v>795</v>
      </c>
      <c r="N814" s="70">
        <v>20.82498932</v>
      </c>
      <c r="O814" s="70">
        <v>92.390571589999993</v>
      </c>
      <c r="P814" s="70" t="s">
        <v>799</v>
      </c>
      <c r="Q814" s="543" t="s">
        <v>780</v>
      </c>
      <c r="R814" s="429"/>
      <c r="S814" s="422"/>
      <c r="T814" s="566"/>
      <c r="U814" s="100"/>
      <c r="V814" s="70" t="s">
        <v>629</v>
      </c>
      <c r="W814" s="418"/>
      <c r="X814" s="539"/>
      <c r="Y814" s="539"/>
      <c r="Z814" s="539"/>
    </row>
    <row r="815" spans="1:26" ht="14.25" customHeight="1">
      <c r="A815" s="418" t="s">
        <v>2705</v>
      </c>
      <c r="B815" s="574" t="s">
        <v>309</v>
      </c>
      <c r="C815" s="575" t="s">
        <v>2046</v>
      </c>
      <c r="D815" s="544"/>
      <c r="E815" s="70">
        <v>197937</v>
      </c>
      <c r="F815" s="70"/>
      <c r="G815" s="70"/>
      <c r="H815" s="70"/>
      <c r="I815" s="70"/>
      <c r="J815" s="70" t="s">
        <v>798</v>
      </c>
      <c r="K815" s="539" t="s">
        <v>798</v>
      </c>
      <c r="L815" s="539" t="s">
        <v>798</v>
      </c>
      <c r="M815" s="70" t="s">
        <v>795</v>
      </c>
      <c r="N815" s="70">
        <v>20.845720289999999</v>
      </c>
      <c r="O815" s="70">
        <v>92.353950499999996</v>
      </c>
      <c r="P815" s="70"/>
      <c r="Q815" s="70"/>
      <c r="R815" s="553"/>
      <c r="S815" s="422"/>
      <c r="T815" s="104">
        <v>43300</v>
      </c>
      <c r="U815" s="100"/>
      <c r="V815" s="70"/>
      <c r="W815" s="418"/>
      <c r="X815" s="539"/>
      <c r="Y815" s="539"/>
      <c r="Z815" s="539"/>
    </row>
    <row r="816" spans="1:26" ht="14.25" customHeight="1">
      <c r="A816" s="418" t="s">
        <v>2705</v>
      </c>
      <c r="B816" s="445" t="s">
        <v>309</v>
      </c>
      <c r="C816" s="446" t="s">
        <v>625</v>
      </c>
      <c r="D816" s="420" t="s">
        <v>1654</v>
      </c>
      <c r="E816" s="70">
        <v>217894</v>
      </c>
      <c r="F816" s="418"/>
      <c r="G816" s="70"/>
      <c r="H816" s="70"/>
      <c r="I816" s="70"/>
      <c r="J816" s="70" t="s">
        <v>798</v>
      </c>
      <c r="K816" s="539" t="s">
        <v>798</v>
      </c>
      <c r="L816" s="539" t="s">
        <v>798</v>
      </c>
      <c r="M816" s="70" t="s">
        <v>298</v>
      </c>
      <c r="N816" s="70">
        <v>20.822059629999998</v>
      </c>
      <c r="O816" s="70">
        <v>92.41690826</v>
      </c>
      <c r="P816" s="70" t="s">
        <v>799</v>
      </c>
      <c r="Q816" s="70" t="s">
        <v>780</v>
      </c>
      <c r="R816" s="429"/>
      <c r="S816" s="422"/>
      <c r="T816" s="104"/>
      <c r="U816" s="100"/>
      <c r="V816" s="70" t="s">
        <v>625</v>
      </c>
      <c r="W816" s="418"/>
      <c r="X816" s="539"/>
      <c r="Y816" s="539"/>
      <c r="Z816" s="539"/>
    </row>
    <row r="817" spans="1:26" ht="14.25" customHeight="1">
      <c r="A817" s="546" t="s">
        <v>2705</v>
      </c>
      <c r="B817" s="574" t="s">
        <v>309</v>
      </c>
      <c r="C817" s="575" t="s">
        <v>2885</v>
      </c>
      <c r="D817" s="544"/>
      <c r="E817" s="70">
        <v>217895</v>
      </c>
      <c r="F817" s="571" t="s">
        <v>2891</v>
      </c>
      <c r="G817" s="70"/>
      <c r="H817" s="70"/>
      <c r="I817" s="70"/>
      <c r="J817" s="70" t="s">
        <v>798</v>
      </c>
      <c r="K817" s="539" t="s">
        <v>798</v>
      </c>
      <c r="L817" s="539" t="s">
        <v>798</v>
      </c>
      <c r="M817" s="70" t="s">
        <v>298</v>
      </c>
      <c r="N817" s="70">
        <v>20.8013000488281</v>
      </c>
      <c r="O817" s="70">
        <v>92.423202514648395</v>
      </c>
      <c r="P817" s="70" t="s">
        <v>799</v>
      </c>
      <c r="Q817" s="70" t="s">
        <v>780</v>
      </c>
      <c r="R817" s="553"/>
      <c r="S817" s="422"/>
      <c r="T817" s="104"/>
      <c r="U817" s="553"/>
      <c r="V817" s="70" t="s">
        <v>607</v>
      </c>
      <c r="W817" s="545"/>
      <c r="X817" s="539"/>
      <c r="Y817" s="539"/>
      <c r="Z817" s="539"/>
    </row>
    <row r="818" spans="1:26" ht="14.25" customHeight="1">
      <c r="A818" s="418" t="s">
        <v>2705</v>
      </c>
      <c r="B818" s="440" t="s">
        <v>309</v>
      </c>
      <c r="C818" s="439" t="s">
        <v>2081</v>
      </c>
      <c r="D818" s="544" t="s">
        <v>1654</v>
      </c>
      <c r="E818" s="70">
        <v>197890</v>
      </c>
      <c r="F818" s="70"/>
      <c r="G818" s="70"/>
      <c r="H818" s="70"/>
      <c r="I818" s="70"/>
      <c r="J818" s="70" t="s">
        <v>798</v>
      </c>
      <c r="K818" s="543" t="s">
        <v>798</v>
      </c>
      <c r="L818" s="543" t="s">
        <v>798</v>
      </c>
      <c r="M818" s="70" t="s">
        <v>298</v>
      </c>
      <c r="N818" s="70">
        <v>21.016569140000001</v>
      </c>
      <c r="O818" s="70">
        <v>92.307716369999994</v>
      </c>
      <c r="P818" s="70" t="s">
        <v>799</v>
      </c>
      <c r="Q818" s="70" t="s">
        <v>780</v>
      </c>
      <c r="R818" s="421"/>
      <c r="S818" s="422"/>
      <c r="T818" s="104">
        <v>43300</v>
      </c>
      <c r="U818" s="100"/>
      <c r="V818" s="70" t="s">
        <v>678</v>
      </c>
      <c r="W818" s="418"/>
      <c r="X818" s="539"/>
      <c r="Y818" s="539"/>
      <c r="Z818" s="539"/>
    </row>
    <row r="819" spans="1:26" ht="14.25" customHeight="1">
      <c r="A819" s="418" t="s">
        <v>2705</v>
      </c>
      <c r="B819" s="440" t="s">
        <v>309</v>
      </c>
      <c r="C819" s="439" t="s">
        <v>326</v>
      </c>
      <c r="D819" s="470" t="s">
        <v>1654</v>
      </c>
      <c r="E819" s="548"/>
      <c r="F819" s="418"/>
      <c r="G819" s="418"/>
      <c r="H819" s="418"/>
      <c r="I819" s="418"/>
      <c r="J819" s="418" t="s">
        <v>798</v>
      </c>
      <c r="K819" s="543" t="s">
        <v>798</v>
      </c>
      <c r="L819" s="543" t="s">
        <v>798</v>
      </c>
      <c r="M819" s="418" t="s">
        <v>795</v>
      </c>
      <c r="N819" s="418"/>
      <c r="O819" s="539"/>
      <c r="P819" s="418" t="s">
        <v>799</v>
      </c>
      <c r="Q819" s="418" t="s">
        <v>780</v>
      </c>
      <c r="R819" s="421"/>
      <c r="S819" s="422"/>
      <c r="T819" s="441"/>
      <c r="U819" s="423"/>
      <c r="V819" s="418"/>
      <c r="W819" s="418"/>
      <c r="X819" s="539"/>
      <c r="Y819" s="539"/>
      <c r="Z819" s="539"/>
    </row>
    <row r="820" spans="1:26" ht="14.25" customHeight="1">
      <c r="A820" s="418" t="s">
        <v>2705</v>
      </c>
      <c r="B820" s="445" t="s">
        <v>309</v>
      </c>
      <c r="C820" s="446" t="s">
        <v>589</v>
      </c>
      <c r="D820" s="420" t="s">
        <v>1654</v>
      </c>
      <c r="E820" s="70">
        <v>220739</v>
      </c>
      <c r="F820" s="70"/>
      <c r="G820" s="70"/>
      <c r="H820" s="70"/>
      <c r="I820" s="70"/>
      <c r="J820" s="70" t="s">
        <v>798</v>
      </c>
      <c r="K820" s="543" t="s">
        <v>798</v>
      </c>
      <c r="L820" s="543" t="s">
        <v>798</v>
      </c>
      <c r="M820" s="70" t="s">
        <v>298</v>
      </c>
      <c r="N820" s="70">
        <v>20.76523972</v>
      </c>
      <c r="O820" s="70">
        <v>92.422332760000003</v>
      </c>
      <c r="P820" s="70" t="s">
        <v>799</v>
      </c>
      <c r="Q820" s="70" t="s">
        <v>780</v>
      </c>
      <c r="R820" s="429"/>
      <c r="S820" s="422"/>
      <c r="T820" s="104"/>
      <c r="U820" s="100"/>
      <c r="V820" s="70" t="s">
        <v>934</v>
      </c>
      <c r="W820" s="418"/>
      <c r="X820" s="539"/>
      <c r="Y820" s="539"/>
      <c r="Z820" s="539"/>
    </row>
    <row r="821" spans="1:26" ht="14.25" customHeight="1">
      <c r="A821" s="418" t="s">
        <v>2705</v>
      </c>
      <c r="B821" s="440" t="s">
        <v>309</v>
      </c>
      <c r="C821" s="439" t="s">
        <v>564</v>
      </c>
      <c r="D821" s="470" t="s">
        <v>1654</v>
      </c>
      <c r="E821" s="418">
        <v>220744</v>
      </c>
      <c r="F821" s="539"/>
      <c r="G821" s="418"/>
      <c r="H821" s="418"/>
      <c r="I821" s="418"/>
      <c r="J821" s="418" t="s">
        <v>798</v>
      </c>
      <c r="K821" s="543" t="s">
        <v>798</v>
      </c>
      <c r="L821" s="543" t="s">
        <v>798</v>
      </c>
      <c r="M821" s="418" t="s">
        <v>298</v>
      </c>
      <c r="N821" s="418">
        <v>20.71612167</v>
      </c>
      <c r="O821" s="418">
        <v>92.442459110000001</v>
      </c>
      <c r="P821" s="70" t="s">
        <v>799</v>
      </c>
      <c r="Q821" s="418" t="s">
        <v>780</v>
      </c>
      <c r="R821" s="421"/>
      <c r="S821" s="422"/>
      <c r="T821" s="441"/>
      <c r="U821" s="423"/>
      <c r="V821" s="418" t="s">
        <v>930</v>
      </c>
      <c r="W821" s="418"/>
      <c r="X821" s="539"/>
      <c r="Y821" s="539"/>
      <c r="Z821" s="539"/>
    </row>
    <row r="822" spans="1:26" ht="14.25" customHeight="1">
      <c r="A822" s="418" t="s">
        <v>2705</v>
      </c>
      <c r="B822" s="445" t="s">
        <v>309</v>
      </c>
      <c r="C822" s="446" t="s">
        <v>530</v>
      </c>
      <c r="D822" s="420" t="s">
        <v>1654</v>
      </c>
      <c r="E822" s="418">
        <v>198024</v>
      </c>
      <c r="F822" s="539"/>
      <c r="G822" s="70"/>
      <c r="H822" s="418"/>
      <c r="I822" s="418"/>
      <c r="J822" s="418" t="s">
        <v>798</v>
      </c>
      <c r="K822" s="543" t="s">
        <v>798</v>
      </c>
      <c r="L822" s="543" t="s">
        <v>798</v>
      </c>
      <c r="M822" s="418" t="s">
        <v>795</v>
      </c>
      <c r="N822" s="418">
        <v>20.669300079999999</v>
      </c>
      <c r="O822" s="539">
        <v>92.46575928</v>
      </c>
      <c r="P822" s="70" t="s">
        <v>799</v>
      </c>
      <c r="Q822" s="418" t="s">
        <v>780</v>
      </c>
      <c r="R822" s="429"/>
      <c r="S822" s="422"/>
      <c r="T822" s="441">
        <v>42745</v>
      </c>
      <c r="U822" s="423"/>
      <c r="V822" s="70" t="s">
        <v>924</v>
      </c>
      <c r="W822" s="418"/>
      <c r="X822" s="539"/>
      <c r="Y822" s="539"/>
      <c r="Z822" s="539"/>
    </row>
    <row r="823" spans="1:26" ht="14.25" customHeight="1">
      <c r="A823" s="418" t="s">
        <v>2705</v>
      </c>
      <c r="B823" s="563" t="s">
        <v>309</v>
      </c>
      <c r="C823" s="562" t="s">
        <v>684</v>
      </c>
      <c r="D823" s="470" t="s">
        <v>1654</v>
      </c>
      <c r="E823" s="70">
        <v>197887</v>
      </c>
      <c r="F823" s="539"/>
      <c r="G823" s="70"/>
      <c r="H823" s="70"/>
      <c r="I823" s="70"/>
      <c r="J823" s="70" t="s">
        <v>798</v>
      </c>
      <c r="K823" s="543" t="s">
        <v>798</v>
      </c>
      <c r="L823" s="543" t="s">
        <v>798</v>
      </c>
      <c r="M823" s="70" t="s">
        <v>795</v>
      </c>
      <c r="N823" s="70">
        <v>21.04866028</v>
      </c>
      <c r="O823" s="70">
        <v>92.293350219999994</v>
      </c>
      <c r="P823" s="70" t="s">
        <v>799</v>
      </c>
      <c r="Q823" s="70" t="s">
        <v>780</v>
      </c>
      <c r="R823" s="545"/>
      <c r="S823" s="422"/>
      <c r="T823" s="104"/>
      <c r="U823" s="100"/>
      <c r="V823" s="70" t="s">
        <v>684</v>
      </c>
      <c r="W823" s="418"/>
      <c r="X823" s="539"/>
      <c r="Y823" s="539"/>
      <c r="Z823" s="539"/>
    </row>
    <row r="824" spans="1:26" ht="14.25" customHeight="1">
      <c r="A824" s="418" t="s">
        <v>2705</v>
      </c>
      <c r="B824" s="440" t="s">
        <v>309</v>
      </c>
      <c r="C824" s="439" t="s">
        <v>2072</v>
      </c>
      <c r="D824" s="470"/>
      <c r="E824" s="70">
        <v>198094</v>
      </c>
      <c r="F824" s="539"/>
      <c r="G824" s="70"/>
      <c r="H824" s="70"/>
      <c r="I824" s="70"/>
      <c r="J824" s="70" t="s">
        <v>798</v>
      </c>
      <c r="K824" s="539" t="s">
        <v>798</v>
      </c>
      <c r="L824" s="539" t="s">
        <v>798</v>
      </c>
      <c r="M824" s="70" t="s">
        <v>298</v>
      </c>
      <c r="N824" s="70">
        <v>21.157270430000001</v>
      </c>
      <c r="O824" s="70">
        <v>92.209739690000006</v>
      </c>
      <c r="P824" s="70"/>
      <c r="Q824" s="70"/>
      <c r="R824" s="421"/>
      <c r="S824" s="422"/>
      <c r="T824" s="104">
        <v>43300</v>
      </c>
      <c r="U824" s="100"/>
      <c r="V824" s="70"/>
      <c r="W824" s="418"/>
      <c r="X824" s="539"/>
      <c r="Y824" s="539"/>
      <c r="Z824" s="539"/>
    </row>
    <row r="825" spans="1:26" ht="14.25" customHeight="1">
      <c r="A825" s="418" t="s">
        <v>2705</v>
      </c>
      <c r="B825" s="440" t="s">
        <v>309</v>
      </c>
      <c r="C825" s="439" t="s">
        <v>2059</v>
      </c>
      <c r="D825" s="470"/>
      <c r="E825" s="543">
        <v>197950</v>
      </c>
      <c r="F825" s="70"/>
      <c r="G825" s="70"/>
      <c r="H825" s="418"/>
      <c r="I825" s="418"/>
      <c r="J825" s="418" t="s">
        <v>798</v>
      </c>
      <c r="K825" s="539" t="s">
        <v>798</v>
      </c>
      <c r="L825" s="539" t="s">
        <v>798</v>
      </c>
      <c r="M825" s="418" t="s">
        <v>795</v>
      </c>
      <c r="N825" s="418">
        <v>20.914119719999999</v>
      </c>
      <c r="O825" s="543">
        <v>92.3506012</v>
      </c>
      <c r="P825" s="70"/>
      <c r="Q825" s="418"/>
      <c r="R825" s="421"/>
      <c r="S825" s="422"/>
      <c r="T825" s="441">
        <v>43300</v>
      </c>
      <c r="U825" s="423"/>
      <c r="V825" s="70"/>
      <c r="W825" s="418"/>
      <c r="X825" s="539"/>
      <c r="Y825" s="539"/>
      <c r="Z825" s="539"/>
    </row>
    <row r="826" spans="1:26" ht="14.25" customHeight="1">
      <c r="A826" s="418" t="s">
        <v>2705</v>
      </c>
      <c r="B826" s="574" t="s">
        <v>309</v>
      </c>
      <c r="C826" s="575" t="s">
        <v>2088</v>
      </c>
      <c r="D826" s="544"/>
      <c r="E826" s="70">
        <v>198075</v>
      </c>
      <c r="F826" s="70"/>
      <c r="G826" s="70"/>
      <c r="H826" s="70"/>
      <c r="I826" s="70"/>
      <c r="J826" s="70" t="s">
        <v>798</v>
      </c>
      <c r="K826" s="539" t="s">
        <v>798</v>
      </c>
      <c r="L826" s="539" t="s">
        <v>798</v>
      </c>
      <c r="M826" s="70" t="s">
        <v>298</v>
      </c>
      <c r="N826" s="70">
        <v>20.543220519999998</v>
      </c>
      <c r="O826" s="70">
        <v>92.544296259999996</v>
      </c>
      <c r="P826" s="70"/>
      <c r="Q826" s="70"/>
      <c r="R826" s="553"/>
      <c r="S826" s="422"/>
      <c r="T826" s="104">
        <v>43300</v>
      </c>
      <c r="U826" s="100"/>
      <c r="V826" s="70"/>
      <c r="W826" s="418"/>
      <c r="X826" s="539"/>
      <c r="Y826" s="539"/>
      <c r="Z826" s="539"/>
    </row>
    <row r="827" spans="1:26" ht="14.25" customHeight="1">
      <c r="A827" s="418" t="s">
        <v>2705</v>
      </c>
      <c r="B827" s="563" t="s">
        <v>309</v>
      </c>
      <c r="C827" s="562" t="s">
        <v>496</v>
      </c>
      <c r="D827" s="470" t="s">
        <v>1654</v>
      </c>
      <c r="E827" s="70">
        <v>198075</v>
      </c>
      <c r="F827" s="543"/>
      <c r="G827" s="70"/>
      <c r="H827" s="70"/>
      <c r="I827" s="70"/>
      <c r="J827" s="70" t="s">
        <v>798</v>
      </c>
      <c r="K827" s="539" t="s">
        <v>798</v>
      </c>
      <c r="L827" s="539" t="s">
        <v>798</v>
      </c>
      <c r="M827" s="70" t="s">
        <v>298</v>
      </c>
      <c r="N827" s="70">
        <v>20.543220519999998</v>
      </c>
      <c r="O827" s="70">
        <v>92.544296259999996</v>
      </c>
      <c r="P827" s="70" t="s">
        <v>799</v>
      </c>
      <c r="Q827" s="70" t="s">
        <v>780</v>
      </c>
      <c r="R827" s="545"/>
      <c r="S827" s="422"/>
      <c r="T827" s="104"/>
      <c r="U827" s="100"/>
      <c r="V827" s="70" t="s">
        <v>496</v>
      </c>
      <c r="W827" s="418"/>
      <c r="X827" s="539"/>
      <c r="Y827" s="539"/>
      <c r="Z827" s="539"/>
    </row>
    <row r="828" spans="1:26" ht="14.25" customHeight="1">
      <c r="A828" s="418" t="s">
        <v>2705</v>
      </c>
      <c r="B828" s="574" t="s">
        <v>309</v>
      </c>
      <c r="C828" s="575" t="s">
        <v>520</v>
      </c>
      <c r="D828" s="544" t="s">
        <v>1654</v>
      </c>
      <c r="E828" s="418">
        <v>198058</v>
      </c>
      <c r="F828" s="543"/>
      <c r="G828" s="70"/>
      <c r="H828" s="70"/>
      <c r="I828" s="70"/>
      <c r="J828" s="70" t="s">
        <v>798</v>
      </c>
      <c r="K828" s="70" t="s">
        <v>798</v>
      </c>
      <c r="L828" s="418" t="s">
        <v>798</v>
      </c>
      <c r="M828" s="70" t="s">
        <v>795</v>
      </c>
      <c r="N828" s="70">
        <v>20.64685059</v>
      </c>
      <c r="O828" s="543">
        <v>92.493553160000005</v>
      </c>
      <c r="P828" s="70" t="s">
        <v>799</v>
      </c>
      <c r="Q828" s="70" t="s">
        <v>780</v>
      </c>
      <c r="R828" s="553"/>
      <c r="S828" s="422"/>
      <c r="T828" s="104"/>
      <c r="U828" s="100"/>
      <c r="V828" s="70" t="s">
        <v>520</v>
      </c>
      <c r="W828" s="418"/>
      <c r="X828" s="539"/>
      <c r="Y828" s="539"/>
      <c r="Z828" s="539"/>
    </row>
    <row r="829" spans="1:26" ht="14.25" customHeight="1">
      <c r="A829" s="418" t="s">
        <v>2705</v>
      </c>
      <c r="B829" s="445" t="s">
        <v>309</v>
      </c>
      <c r="C829" s="446" t="s">
        <v>2051</v>
      </c>
      <c r="D829" s="420"/>
      <c r="E829" s="70">
        <v>197943</v>
      </c>
      <c r="F829" s="543"/>
      <c r="G829" s="70"/>
      <c r="H829" s="70"/>
      <c r="I829" s="70"/>
      <c r="J829" s="70" t="s">
        <v>798</v>
      </c>
      <c r="K829" s="70" t="s">
        <v>798</v>
      </c>
      <c r="L829" s="70" t="s">
        <v>798</v>
      </c>
      <c r="M829" s="70" t="s">
        <v>795</v>
      </c>
      <c r="N829" s="70">
        <v>20.895000459999999</v>
      </c>
      <c r="O829" s="70">
        <v>92.398574830000001</v>
      </c>
      <c r="P829" s="70"/>
      <c r="Q829" s="70"/>
      <c r="R829" s="429"/>
      <c r="S829" s="422"/>
      <c r="T829" s="104">
        <v>43300</v>
      </c>
      <c r="U829" s="100"/>
      <c r="V829" s="70"/>
      <c r="W829" s="418"/>
      <c r="X829" s="539"/>
      <c r="Y829" s="539"/>
      <c r="Z829" s="539"/>
    </row>
    <row r="830" spans="1:26" ht="14.25" customHeight="1">
      <c r="A830" s="418" t="s">
        <v>2705</v>
      </c>
      <c r="B830" s="563" t="s">
        <v>309</v>
      </c>
      <c r="C830" s="562" t="s">
        <v>2050</v>
      </c>
      <c r="D830" s="470"/>
      <c r="E830" s="70">
        <v>197943</v>
      </c>
      <c r="F830" s="543"/>
      <c r="G830" s="70"/>
      <c r="H830" s="70"/>
      <c r="I830" s="70"/>
      <c r="J830" s="70" t="s">
        <v>798</v>
      </c>
      <c r="K830" s="543" t="s">
        <v>798</v>
      </c>
      <c r="L830" s="543" t="s">
        <v>798</v>
      </c>
      <c r="M830" s="70" t="s">
        <v>795</v>
      </c>
      <c r="N830" s="70">
        <v>20.895000459999999</v>
      </c>
      <c r="O830" s="70">
        <v>92.398574830000001</v>
      </c>
      <c r="P830" s="70"/>
      <c r="Q830" s="70"/>
      <c r="R830" s="545"/>
      <c r="S830" s="422"/>
      <c r="T830" s="104">
        <v>43300</v>
      </c>
      <c r="U830" s="100"/>
      <c r="V830" s="70"/>
      <c r="W830" s="418"/>
      <c r="X830" s="539"/>
      <c r="Y830" s="539"/>
      <c r="Z830" s="539"/>
    </row>
    <row r="831" spans="1:26" ht="14.25" customHeight="1">
      <c r="A831" s="418" t="s">
        <v>2705</v>
      </c>
      <c r="B831" s="563" t="s">
        <v>309</v>
      </c>
      <c r="C831" s="439" t="s">
        <v>2018</v>
      </c>
      <c r="D831" s="470"/>
      <c r="E831" s="418">
        <v>197878</v>
      </c>
      <c r="F831" s="418" t="s">
        <v>2017</v>
      </c>
      <c r="G831" s="418"/>
      <c r="H831" s="418"/>
      <c r="I831" s="418"/>
      <c r="J831" s="418" t="s">
        <v>798</v>
      </c>
      <c r="K831" s="543" t="s">
        <v>798</v>
      </c>
      <c r="L831" s="543" t="s">
        <v>798</v>
      </c>
      <c r="M831" s="418" t="s">
        <v>795</v>
      </c>
      <c r="N831" s="418">
        <v>21.012830730000001</v>
      </c>
      <c r="O831" s="418">
        <v>92.338958739999995</v>
      </c>
      <c r="P831" s="418"/>
      <c r="Q831" s="539"/>
      <c r="R831" s="545"/>
      <c r="S831" s="422"/>
      <c r="T831" s="565">
        <v>43300</v>
      </c>
      <c r="U831" s="423"/>
      <c r="V831" s="418"/>
      <c r="W831" s="418"/>
      <c r="X831" s="539"/>
      <c r="Y831" s="539"/>
      <c r="Z831" s="539"/>
    </row>
    <row r="832" spans="1:26" ht="14.25" customHeight="1">
      <c r="A832" s="418" t="s">
        <v>2705</v>
      </c>
      <c r="B832" s="563" t="s">
        <v>309</v>
      </c>
      <c r="C832" s="562" t="s">
        <v>680</v>
      </c>
      <c r="D832" s="470" t="s">
        <v>1654</v>
      </c>
      <c r="E832" s="70">
        <v>197880</v>
      </c>
      <c r="F832" s="70"/>
      <c r="G832" s="70"/>
      <c r="H832" s="70"/>
      <c r="I832" s="70"/>
      <c r="J832" s="70" t="s">
        <v>798</v>
      </c>
      <c r="K832" s="543" t="s">
        <v>798</v>
      </c>
      <c r="L832" s="543" t="s">
        <v>798</v>
      </c>
      <c r="M832" s="70" t="s">
        <v>795</v>
      </c>
      <c r="N832" s="70">
        <v>21.021259310000001</v>
      </c>
      <c r="O832" s="539">
        <v>92.339538570000002</v>
      </c>
      <c r="P832" s="70" t="s">
        <v>799</v>
      </c>
      <c r="Q832" s="70" t="s">
        <v>780</v>
      </c>
      <c r="R832" s="545"/>
      <c r="S832" s="422"/>
      <c r="T832" s="104"/>
      <c r="U832" s="100"/>
      <c r="V832" s="70" t="s">
        <v>680</v>
      </c>
      <c r="W832" s="418"/>
      <c r="X832" s="539"/>
      <c r="Y832" s="539"/>
      <c r="Z832" s="539"/>
    </row>
    <row r="833" spans="1:26" ht="14.25" customHeight="1">
      <c r="A833" s="418" t="s">
        <v>2705</v>
      </c>
      <c r="B833" s="574" t="s">
        <v>309</v>
      </c>
      <c r="C833" s="575" t="s">
        <v>2055</v>
      </c>
      <c r="D833" s="544"/>
      <c r="E833" s="70"/>
      <c r="F833" s="418"/>
      <c r="G833" s="70"/>
      <c r="H833" s="70"/>
      <c r="I833" s="70"/>
      <c r="J833" s="70" t="s">
        <v>798</v>
      </c>
      <c r="K833" s="543" t="s">
        <v>798</v>
      </c>
      <c r="L833" s="543" t="s">
        <v>798</v>
      </c>
      <c r="M833" s="70" t="s">
        <v>795</v>
      </c>
      <c r="N833" s="70"/>
      <c r="O833" s="70"/>
      <c r="P833" s="418"/>
      <c r="Q833" s="70"/>
      <c r="R833" s="553"/>
      <c r="S833" s="99"/>
      <c r="T833" s="104">
        <v>43300</v>
      </c>
      <c r="U833" s="100"/>
      <c r="V833" s="70"/>
      <c r="W833" s="418"/>
      <c r="X833" s="539"/>
      <c r="Y833" s="539"/>
      <c r="Z833" s="539"/>
    </row>
    <row r="834" spans="1:26" ht="14.25" customHeight="1">
      <c r="A834" s="418" t="s">
        <v>2705</v>
      </c>
      <c r="B834" s="440" t="s">
        <v>309</v>
      </c>
      <c r="C834" s="439" t="s">
        <v>568</v>
      </c>
      <c r="D834" s="470" t="s">
        <v>1654</v>
      </c>
      <c r="E834" s="418">
        <v>198048</v>
      </c>
      <c r="F834" s="539"/>
      <c r="G834" s="418"/>
      <c r="H834" s="418"/>
      <c r="I834" s="418"/>
      <c r="J834" s="418" t="s">
        <v>798</v>
      </c>
      <c r="K834" s="418" t="s">
        <v>798</v>
      </c>
      <c r="L834" s="418" t="s">
        <v>798</v>
      </c>
      <c r="M834" s="418" t="s">
        <v>795</v>
      </c>
      <c r="N834" s="418">
        <v>20.720079420000001</v>
      </c>
      <c r="O834" s="418">
        <v>92.423591610000003</v>
      </c>
      <c r="P834" s="70" t="s">
        <v>799</v>
      </c>
      <c r="Q834" s="418" t="s">
        <v>780</v>
      </c>
      <c r="R834" s="421"/>
      <c r="S834" s="422"/>
      <c r="T834" s="441"/>
      <c r="U834" s="423"/>
      <c r="V834" s="418" t="s">
        <v>568</v>
      </c>
      <c r="W834" s="418"/>
      <c r="X834" s="539"/>
      <c r="Y834" s="539"/>
      <c r="Z834" s="539"/>
    </row>
    <row r="835" spans="1:26" ht="14.25" customHeight="1">
      <c r="A835" s="418" t="s">
        <v>2705</v>
      </c>
      <c r="B835" s="445" t="s">
        <v>309</v>
      </c>
      <c r="C835" s="446" t="s">
        <v>2111</v>
      </c>
      <c r="D835" s="420"/>
      <c r="E835" s="418">
        <v>220728</v>
      </c>
      <c r="F835" s="539"/>
      <c r="G835" s="418"/>
      <c r="H835" s="418"/>
      <c r="I835" s="418"/>
      <c r="J835" s="418" t="s">
        <v>798</v>
      </c>
      <c r="K835" s="418" t="s">
        <v>798</v>
      </c>
      <c r="L835" s="418" t="s">
        <v>798</v>
      </c>
      <c r="M835" s="418" t="s">
        <v>2089</v>
      </c>
      <c r="N835" s="418">
        <v>21.090957639999999</v>
      </c>
      <c r="O835" s="418">
        <v>92.361534120000002</v>
      </c>
      <c r="P835" s="70"/>
      <c r="Q835" s="418"/>
      <c r="R835" s="429"/>
      <c r="S835" s="422"/>
      <c r="T835" s="441">
        <v>43300</v>
      </c>
      <c r="U835" s="423"/>
      <c r="V835" s="418"/>
      <c r="W835" s="418"/>
      <c r="X835" s="539"/>
      <c r="Y835" s="539"/>
      <c r="Z835" s="539"/>
    </row>
    <row r="836" spans="1:26" ht="14.25" customHeight="1">
      <c r="A836" s="418" t="s">
        <v>2705</v>
      </c>
      <c r="B836" s="574" t="s">
        <v>309</v>
      </c>
      <c r="C836" s="575" t="s">
        <v>685</v>
      </c>
      <c r="D836" s="544" t="s">
        <v>1654</v>
      </c>
      <c r="E836" s="70">
        <v>197883</v>
      </c>
      <c r="F836" s="418"/>
      <c r="G836" s="70"/>
      <c r="H836" s="70"/>
      <c r="I836" s="70"/>
      <c r="J836" s="70" t="s">
        <v>798</v>
      </c>
      <c r="K836" s="70" t="s">
        <v>798</v>
      </c>
      <c r="L836" s="70" t="s">
        <v>798</v>
      </c>
      <c r="M836" s="70" t="s">
        <v>795</v>
      </c>
      <c r="N836" s="70">
        <v>21.05369949</v>
      </c>
      <c r="O836" s="70">
        <v>92.324119569999993</v>
      </c>
      <c r="P836" s="70" t="s">
        <v>799</v>
      </c>
      <c r="Q836" s="70" t="s">
        <v>780</v>
      </c>
      <c r="R836" s="553"/>
      <c r="S836" s="422"/>
      <c r="T836" s="104"/>
      <c r="U836" s="100"/>
      <c r="V836" s="70" t="s">
        <v>956</v>
      </c>
      <c r="W836" s="418"/>
      <c r="X836" s="539"/>
      <c r="Y836" s="539"/>
      <c r="Z836" s="539"/>
    </row>
    <row r="837" spans="1:26" ht="14.25" customHeight="1">
      <c r="A837" s="418" t="s">
        <v>2705</v>
      </c>
      <c r="B837" s="574" t="s">
        <v>309</v>
      </c>
      <c r="C837" s="439" t="s">
        <v>679</v>
      </c>
      <c r="D837" s="544" t="s">
        <v>1654</v>
      </c>
      <c r="E837" s="70">
        <v>197879</v>
      </c>
      <c r="F837" s="70"/>
      <c r="G837" s="70"/>
      <c r="H837" s="70"/>
      <c r="I837" s="70"/>
      <c r="J837" s="70" t="s">
        <v>798</v>
      </c>
      <c r="K837" s="70" t="s">
        <v>798</v>
      </c>
      <c r="L837" s="70" t="s">
        <v>798</v>
      </c>
      <c r="M837" s="70" t="s">
        <v>795</v>
      </c>
      <c r="N837" s="70">
        <v>21.0184803</v>
      </c>
      <c r="O837" s="70">
        <v>92.333999629999994</v>
      </c>
      <c r="P837" s="70" t="s">
        <v>799</v>
      </c>
      <c r="Q837" s="543" t="s">
        <v>780</v>
      </c>
      <c r="R837" s="553"/>
      <c r="S837" s="99"/>
      <c r="T837" s="566"/>
      <c r="U837" s="100"/>
      <c r="V837" s="70" t="s">
        <v>679</v>
      </c>
      <c r="W837" s="418"/>
      <c r="X837" s="539"/>
      <c r="Y837" s="539"/>
      <c r="Z837" s="539"/>
    </row>
    <row r="838" spans="1:26" ht="14.25" customHeight="1">
      <c r="A838" s="418" t="s">
        <v>2705</v>
      </c>
      <c r="B838" s="574" t="s">
        <v>309</v>
      </c>
      <c r="C838" s="575" t="s">
        <v>327</v>
      </c>
      <c r="D838" s="544" t="s">
        <v>1654</v>
      </c>
      <c r="E838" s="70"/>
      <c r="F838" s="70"/>
      <c r="G838" s="70"/>
      <c r="H838" s="70"/>
      <c r="I838" s="70"/>
      <c r="J838" s="70" t="s">
        <v>798</v>
      </c>
      <c r="K838" s="70" t="s">
        <v>798</v>
      </c>
      <c r="L838" s="70" t="s">
        <v>798</v>
      </c>
      <c r="M838" s="70" t="s">
        <v>298</v>
      </c>
      <c r="N838" s="418"/>
      <c r="O838" s="543"/>
      <c r="P838" s="70" t="s">
        <v>799</v>
      </c>
      <c r="Q838" s="70" t="s">
        <v>780</v>
      </c>
      <c r="R838" s="553"/>
      <c r="S838" s="99"/>
      <c r="T838" s="104"/>
      <c r="U838" s="100"/>
      <c r="V838" s="70" t="s">
        <v>327</v>
      </c>
      <c r="W838" s="418"/>
      <c r="X838" s="539"/>
      <c r="Y838" s="539"/>
      <c r="Z838" s="539"/>
    </row>
    <row r="839" spans="1:26" ht="14.25" customHeight="1">
      <c r="A839" s="418" t="s">
        <v>2705</v>
      </c>
      <c r="B839" s="440" t="s">
        <v>309</v>
      </c>
      <c r="C839" s="439" t="s">
        <v>601</v>
      </c>
      <c r="D839" s="470" t="s">
        <v>1654</v>
      </c>
      <c r="E839" s="70">
        <v>198001</v>
      </c>
      <c r="F839" s="70"/>
      <c r="G839" s="70"/>
      <c r="H839" s="70"/>
      <c r="I839" s="70"/>
      <c r="J839" s="70" t="s">
        <v>798</v>
      </c>
      <c r="K839" s="70" t="s">
        <v>798</v>
      </c>
      <c r="L839" s="70" t="s">
        <v>798</v>
      </c>
      <c r="M839" s="70" t="s">
        <v>795</v>
      </c>
      <c r="N839" s="70">
        <v>20.78729057</v>
      </c>
      <c r="O839" s="70">
        <v>92.401252749999998</v>
      </c>
      <c r="P839" s="70" t="s">
        <v>799</v>
      </c>
      <c r="Q839" s="70" t="s">
        <v>780</v>
      </c>
      <c r="R839" s="421"/>
      <c r="S839" s="99"/>
      <c r="T839" s="104"/>
      <c r="U839" s="100"/>
      <c r="V839" s="70" t="s">
        <v>601</v>
      </c>
      <c r="W839" s="418"/>
      <c r="X839" s="539"/>
      <c r="Y839" s="539"/>
      <c r="Z839" s="539"/>
    </row>
    <row r="840" spans="1:26" ht="14.25" customHeight="1">
      <c r="A840" s="418" t="s">
        <v>2705</v>
      </c>
      <c r="B840" s="440" t="s">
        <v>309</v>
      </c>
      <c r="C840" s="439" t="s">
        <v>2063</v>
      </c>
      <c r="D840" s="470"/>
      <c r="E840" s="70">
        <v>197987</v>
      </c>
      <c r="F840" s="543"/>
      <c r="G840" s="70"/>
      <c r="H840" s="70"/>
      <c r="I840" s="70"/>
      <c r="J840" s="70" t="s">
        <v>798</v>
      </c>
      <c r="K840" s="70" t="s">
        <v>798</v>
      </c>
      <c r="L840" s="70" t="s">
        <v>798</v>
      </c>
      <c r="M840" s="70" t="s">
        <v>795</v>
      </c>
      <c r="N840" s="70">
        <v>20.81588936</v>
      </c>
      <c r="O840" s="70">
        <v>92.372566219999996</v>
      </c>
      <c r="P840" s="70"/>
      <c r="Q840" s="70"/>
      <c r="R840" s="421"/>
      <c r="S840" s="99"/>
      <c r="T840" s="104">
        <v>43300</v>
      </c>
      <c r="U840" s="100"/>
      <c r="V840" s="70"/>
      <c r="W840" s="418"/>
      <c r="X840" s="539"/>
      <c r="Y840" s="539"/>
      <c r="Z840" s="539"/>
    </row>
    <row r="841" spans="1:26" ht="14.25" customHeight="1">
      <c r="A841" s="418" t="s">
        <v>2705</v>
      </c>
      <c r="B841" s="445" t="s">
        <v>309</v>
      </c>
      <c r="C841" s="446" t="s">
        <v>2105</v>
      </c>
      <c r="D841" s="420"/>
      <c r="E841" s="70">
        <v>198089</v>
      </c>
      <c r="F841" s="543"/>
      <c r="G841" s="70"/>
      <c r="H841" s="70"/>
      <c r="I841" s="70"/>
      <c r="J841" s="70" t="s">
        <v>798</v>
      </c>
      <c r="K841" s="70" t="s">
        <v>798</v>
      </c>
      <c r="L841" s="70" t="s">
        <v>798</v>
      </c>
      <c r="M841" s="70" t="s">
        <v>2092</v>
      </c>
      <c r="N841" s="70">
        <v>21.19529915</v>
      </c>
      <c r="O841" s="70">
        <v>92.221542360000001</v>
      </c>
      <c r="P841" s="70"/>
      <c r="Q841" s="70"/>
      <c r="R841" s="429"/>
      <c r="S841" s="422"/>
      <c r="T841" s="104">
        <v>43300</v>
      </c>
      <c r="U841" s="100"/>
      <c r="V841" s="539"/>
      <c r="W841" s="418"/>
      <c r="X841" s="539"/>
      <c r="Y841" s="539"/>
      <c r="Z841" s="539"/>
    </row>
    <row r="842" spans="1:26" ht="14.25" customHeight="1">
      <c r="A842" s="418" t="s">
        <v>2705</v>
      </c>
      <c r="B842" s="440" t="s">
        <v>309</v>
      </c>
      <c r="C842" s="439" t="s">
        <v>2085</v>
      </c>
      <c r="D842" s="470"/>
      <c r="E842" s="70">
        <v>197922</v>
      </c>
      <c r="F842" s="70"/>
      <c r="G842" s="70"/>
      <c r="H842" s="70"/>
      <c r="I842" s="70"/>
      <c r="J842" s="70" t="s">
        <v>798</v>
      </c>
      <c r="K842" s="70" t="s">
        <v>798</v>
      </c>
      <c r="L842" s="70" t="s">
        <v>798</v>
      </c>
      <c r="M842" s="70" t="s">
        <v>795</v>
      </c>
      <c r="N842" s="70">
        <v>20.93643951</v>
      </c>
      <c r="O842" s="70">
        <v>92.314498900000004</v>
      </c>
      <c r="P842" s="70"/>
      <c r="Q842" s="70"/>
      <c r="R842" s="421"/>
      <c r="S842" s="422"/>
      <c r="T842" s="104">
        <v>43300</v>
      </c>
      <c r="U842" s="100"/>
      <c r="V842" s="539"/>
      <c r="W842" s="418"/>
      <c r="X842" s="539"/>
      <c r="Y842" s="539"/>
      <c r="Z842" s="539"/>
    </row>
    <row r="843" spans="1:26" ht="14.25" customHeight="1">
      <c r="A843" s="418" t="s">
        <v>2705</v>
      </c>
      <c r="B843" s="563" t="s">
        <v>309</v>
      </c>
      <c r="C843" s="562" t="s">
        <v>1905</v>
      </c>
      <c r="D843" s="470"/>
      <c r="E843" s="70">
        <v>197961</v>
      </c>
      <c r="F843" s="70"/>
      <c r="G843" s="70"/>
      <c r="H843" s="70"/>
      <c r="I843" s="70"/>
      <c r="J843" s="70" t="s">
        <v>798</v>
      </c>
      <c r="K843" s="70" t="s">
        <v>798</v>
      </c>
      <c r="L843" s="70" t="s">
        <v>798</v>
      </c>
      <c r="M843" s="70" t="s">
        <v>795</v>
      </c>
      <c r="N843" s="418">
        <v>20.903369900000001</v>
      </c>
      <c r="O843" s="418">
        <v>92.332237239999998</v>
      </c>
      <c r="P843" s="70" t="s">
        <v>799</v>
      </c>
      <c r="Q843" s="70" t="s">
        <v>1908</v>
      </c>
      <c r="R843" s="545"/>
      <c r="S843" s="99"/>
      <c r="T843" s="104">
        <v>43245</v>
      </c>
      <c r="U843" s="100"/>
      <c r="V843" s="70"/>
      <c r="W843" s="418"/>
      <c r="X843" s="539"/>
      <c r="Y843" s="539"/>
      <c r="Z843" s="539"/>
    </row>
    <row r="844" spans="1:26" ht="14.25" customHeight="1">
      <c r="A844" s="418" t="s">
        <v>2705</v>
      </c>
      <c r="B844" s="440" t="s">
        <v>309</v>
      </c>
      <c r="C844" s="439" t="s">
        <v>2103</v>
      </c>
      <c r="D844" s="470"/>
      <c r="E844" s="70">
        <v>197847</v>
      </c>
      <c r="F844" s="70"/>
      <c r="G844" s="70"/>
      <c r="H844" s="70"/>
      <c r="I844" s="70"/>
      <c r="J844" s="70" t="s">
        <v>798</v>
      </c>
      <c r="K844" s="70" t="s">
        <v>798</v>
      </c>
      <c r="L844" s="70" t="s">
        <v>798</v>
      </c>
      <c r="M844" s="70" t="s">
        <v>298</v>
      </c>
      <c r="N844" s="418">
        <v>21.134050370000001</v>
      </c>
      <c r="O844" s="418">
        <v>92.323478699999995</v>
      </c>
      <c r="P844" s="70"/>
      <c r="Q844" s="70"/>
      <c r="R844" s="421"/>
      <c r="S844" s="99"/>
      <c r="T844" s="104">
        <v>43300</v>
      </c>
      <c r="U844" s="100"/>
      <c r="V844" s="70"/>
      <c r="W844" s="418"/>
      <c r="X844" s="539"/>
      <c r="Y844" s="539"/>
      <c r="Z844" s="539"/>
    </row>
    <row r="845" spans="1:26" ht="14.25" customHeight="1">
      <c r="A845" s="418" t="s">
        <v>2705</v>
      </c>
      <c r="B845" s="440" t="s">
        <v>309</v>
      </c>
      <c r="C845" s="439" t="s">
        <v>2109</v>
      </c>
      <c r="D845" s="470"/>
      <c r="E845" s="70">
        <v>220706</v>
      </c>
      <c r="F845" s="70"/>
      <c r="G845" s="70"/>
      <c r="H845" s="70"/>
      <c r="I845" s="70"/>
      <c r="J845" s="70" t="s">
        <v>798</v>
      </c>
      <c r="K845" s="70" t="s">
        <v>798</v>
      </c>
      <c r="L845" s="70" t="s">
        <v>798</v>
      </c>
      <c r="M845" s="70" t="s">
        <v>2093</v>
      </c>
      <c r="N845" s="418">
        <v>21.2600956</v>
      </c>
      <c r="O845" s="418">
        <v>92.278442380000001</v>
      </c>
      <c r="P845" s="70"/>
      <c r="Q845" s="70"/>
      <c r="R845" s="421"/>
      <c r="S845" s="99"/>
      <c r="T845" s="104">
        <v>43300</v>
      </c>
      <c r="U845" s="100"/>
      <c r="V845" s="539"/>
      <c r="W845" s="418"/>
      <c r="X845" s="539"/>
      <c r="Y845" s="539"/>
      <c r="Z845" s="539"/>
    </row>
    <row r="846" spans="1:26" ht="14.25" customHeight="1">
      <c r="A846" s="418" t="s">
        <v>2705</v>
      </c>
      <c r="B846" s="440" t="s">
        <v>309</v>
      </c>
      <c r="C846" s="439" t="s">
        <v>2108</v>
      </c>
      <c r="D846" s="470"/>
      <c r="E846" s="70">
        <v>220721</v>
      </c>
      <c r="F846" s="70"/>
      <c r="G846" s="70"/>
      <c r="H846" s="70"/>
      <c r="I846" s="70"/>
      <c r="J846" s="70" t="s">
        <v>798</v>
      </c>
      <c r="K846" s="70" t="s">
        <v>798</v>
      </c>
      <c r="L846" s="70" t="s">
        <v>798</v>
      </c>
      <c r="M846" s="70" t="s">
        <v>298</v>
      </c>
      <c r="N846" s="418">
        <v>21.224542620000001</v>
      </c>
      <c r="O846" s="418">
        <v>92.294197080000004</v>
      </c>
      <c r="P846" s="70"/>
      <c r="Q846" s="70"/>
      <c r="R846" s="421"/>
      <c r="S846" s="99"/>
      <c r="T846" s="104">
        <v>43300</v>
      </c>
      <c r="U846" s="100"/>
      <c r="V846" s="70"/>
      <c r="W846" s="418"/>
      <c r="X846" s="539"/>
      <c r="Y846" s="539"/>
      <c r="Z846" s="539"/>
    </row>
    <row r="847" spans="1:26" ht="14.25" customHeight="1">
      <c r="A847" s="418" t="s">
        <v>2705</v>
      </c>
      <c r="B847" s="445" t="s">
        <v>309</v>
      </c>
      <c r="C847" s="446" t="s">
        <v>332</v>
      </c>
      <c r="D847" s="420" t="s">
        <v>1654</v>
      </c>
      <c r="E847" s="418"/>
      <c r="F847" s="418"/>
      <c r="G847" s="418"/>
      <c r="H847" s="418"/>
      <c r="I847" s="418"/>
      <c r="J847" s="70" t="s">
        <v>798</v>
      </c>
      <c r="K847" s="70" t="s">
        <v>798</v>
      </c>
      <c r="L847" s="418" t="s">
        <v>798</v>
      </c>
      <c r="M847" s="418" t="s">
        <v>795</v>
      </c>
      <c r="N847" s="418"/>
      <c r="O847" s="418"/>
      <c r="P847" s="418" t="s">
        <v>799</v>
      </c>
      <c r="Q847" s="418" t="s">
        <v>780</v>
      </c>
      <c r="R847" s="429"/>
      <c r="S847" s="422"/>
      <c r="T847" s="441"/>
      <c r="U847" s="423"/>
      <c r="V847" s="412" t="s">
        <v>1117</v>
      </c>
      <c r="W847" s="418"/>
      <c r="X847" s="539"/>
      <c r="Y847" s="539"/>
      <c r="Z847" s="539"/>
    </row>
    <row r="848" spans="1:26" ht="14.25" customHeight="1">
      <c r="A848" s="418" t="s">
        <v>2705</v>
      </c>
      <c r="B848" s="563" t="s">
        <v>309</v>
      </c>
      <c r="C848" s="562" t="s">
        <v>333</v>
      </c>
      <c r="D848" s="470" t="s">
        <v>1654</v>
      </c>
      <c r="E848" s="418"/>
      <c r="F848" s="70"/>
      <c r="G848" s="70"/>
      <c r="H848" s="70"/>
      <c r="I848" s="70"/>
      <c r="J848" s="70" t="s">
        <v>798</v>
      </c>
      <c r="K848" s="418" t="s">
        <v>798</v>
      </c>
      <c r="L848" s="418" t="s">
        <v>798</v>
      </c>
      <c r="M848" s="70" t="s">
        <v>795</v>
      </c>
      <c r="N848" s="418"/>
      <c r="O848" s="418"/>
      <c r="P848" s="70" t="s">
        <v>799</v>
      </c>
      <c r="Q848" s="70" t="s">
        <v>780</v>
      </c>
      <c r="R848" s="545"/>
      <c r="S848" s="99"/>
      <c r="T848" s="104"/>
      <c r="U848" s="100"/>
      <c r="V848" s="412" t="s">
        <v>1118</v>
      </c>
      <c r="W848" s="418"/>
      <c r="X848" s="539"/>
      <c r="Y848" s="539"/>
      <c r="Z848" s="539"/>
    </row>
    <row r="849" spans="1:26" ht="14.25" customHeight="1">
      <c r="A849" s="418" t="s">
        <v>2705</v>
      </c>
      <c r="B849" s="445" t="s">
        <v>309</v>
      </c>
      <c r="C849" s="446" t="s">
        <v>2764</v>
      </c>
      <c r="D849" s="420"/>
      <c r="E849" s="70">
        <v>220725</v>
      </c>
      <c r="F849" s="70"/>
      <c r="G849" s="70"/>
      <c r="H849" s="70"/>
      <c r="I849" s="70"/>
      <c r="J849" s="70" t="s">
        <v>798</v>
      </c>
      <c r="K849" s="418" t="s">
        <v>798</v>
      </c>
      <c r="L849" s="418" t="s">
        <v>798</v>
      </c>
      <c r="M849" s="70" t="s">
        <v>683</v>
      </c>
      <c r="N849" s="70">
        <v>21.089906689999999</v>
      </c>
      <c r="O849" s="70">
        <v>92.341598509999997</v>
      </c>
      <c r="P849" s="70"/>
      <c r="Q849" s="70"/>
      <c r="R849" s="429"/>
      <c r="S849" s="422"/>
      <c r="T849" s="104">
        <v>43300</v>
      </c>
      <c r="U849" s="100"/>
      <c r="V849" s="70"/>
      <c r="W849" s="418"/>
      <c r="X849" s="539"/>
      <c r="Y849" s="539"/>
      <c r="Z849" s="539"/>
    </row>
    <row r="850" spans="1:26" ht="14.25" customHeight="1">
      <c r="A850" s="418" t="s">
        <v>2705</v>
      </c>
      <c r="B850" s="563" t="s">
        <v>309</v>
      </c>
      <c r="C850" s="562" t="s">
        <v>2763</v>
      </c>
      <c r="D850" s="470"/>
      <c r="E850" s="418">
        <v>220725</v>
      </c>
      <c r="F850" s="70"/>
      <c r="G850" s="70"/>
      <c r="H850" s="70"/>
      <c r="I850" s="70"/>
      <c r="J850" s="70" t="s">
        <v>798</v>
      </c>
      <c r="K850" s="418" t="s">
        <v>798</v>
      </c>
      <c r="L850" s="418" t="s">
        <v>798</v>
      </c>
      <c r="M850" s="70" t="s">
        <v>298</v>
      </c>
      <c r="N850" s="70">
        <v>21.089906689999999</v>
      </c>
      <c r="O850" s="70">
        <v>92.341598509999997</v>
      </c>
      <c r="P850" s="70"/>
      <c r="Q850" s="70"/>
      <c r="R850" s="545"/>
      <c r="S850" s="99"/>
      <c r="T850" s="104">
        <v>43300</v>
      </c>
      <c r="U850" s="100"/>
      <c r="V850" s="70"/>
      <c r="W850" s="418"/>
      <c r="X850" s="539"/>
      <c r="Y850" s="539"/>
      <c r="Z850" s="539"/>
    </row>
    <row r="851" spans="1:26" ht="14.25" customHeight="1">
      <c r="A851" s="418" t="s">
        <v>2705</v>
      </c>
      <c r="B851" s="563" t="s">
        <v>309</v>
      </c>
      <c r="C851" s="562" t="s">
        <v>334</v>
      </c>
      <c r="D851" s="470" t="s">
        <v>1654</v>
      </c>
      <c r="E851" s="70"/>
      <c r="F851" s="70"/>
      <c r="G851" s="70"/>
      <c r="H851" s="70"/>
      <c r="I851" s="70"/>
      <c r="J851" s="70" t="s">
        <v>798</v>
      </c>
      <c r="K851" s="418" t="s">
        <v>798</v>
      </c>
      <c r="L851" s="418" t="s">
        <v>798</v>
      </c>
      <c r="M851" s="70" t="s">
        <v>298</v>
      </c>
      <c r="N851" s="70"/>
      <c r="O851" s="70"/>
      <c r="P851" s="70" t="s">
        <v>799</v>
      </c>
      <c r="Q851" s="70" t="s">
        <v>780</v>
      </c>
      <c r="R851" s="545"/>
      <c r="S851" s="422"/>
      <c r="T851" s="104"/>
      <c r="U851" s="100"/>
      <c r="V851" s="412" t="s">
        <v>1119</v>
      </c>
      <c r="W851" s="418"/>
      <c r="X851" s="539"/>
      <c r="Y851" s="539"/>
      <c r="Z851" s="539"/>
    </row>
    <row r="852" spans="1:26" ht="14.25" customHeight="1">
      <c r="A852" s="418" t="s">
        <v>2705</v>
      </c>
      <c r="B852" s="563" t="s">
        <v>309</v>
      </c>
      <c r="C852" s="562" t="s">
        <v>2077</v>
      </c>
      <c r="D852" s="470"/>
      <c r="E852" s="70">
        <v>197978</v>
      </c>
      <c r="F852" s="70"/>
      <c r="G852" s="70"/>
      <c r="H852" s="70"/>
      <c r="I852" s="70"/>
      <c r="J852" s="70" t="s">
        <v>798</v>
      </c>
      <c r="K852" s="418" t="s">
        <v>798</v>
      </c>
      <c r="L852" s="70" t="s">
        <v>798</v>
      </c>
      <c r="M852" s="70" t="s">
        <v>795</v>
      </c>
      <c r="N852" s="70">
        <v>20.834230420000001</v>
      </c>
      <c r="O852" s="70">
        <v>92.37967682</v>
      </c>
      <c r="P852" s="70"/>
      <c r="Q852" s="70"/>
      <c r="R852" s="545"/>
      <c r="S852" s="422"/>
      <c r="T852" s="104">
        <v>43300</v>
      </c>
      <c r="U852" s="100"/>
      <c r="V852" s="70"/>
      <c r="W852" s="418"/>
      <c r="X852" s="539"/>
      <c r="Y852" s="539"/>
      <c r="Z852" s="539"/>
    </row>
    <row r="853" spans="1:26" ht="14.25" customHeight="1">
      <c r="A853" s="418" t="s">
        <v>2705</v>
      </c>
      <c r="B853" s="574" t="s">
        <v>309</v>
      </c>
      <c r="C853" s="575" t="s">
        <v>632</v>
      </c>
      <c r="D853" s="544" t="s">
        <v>1654</v>
      </c>
      <c r="E853" s="70" t="s">
        <v>1397</v>
      </c>
      <c r="F853" s="70"/>
      <c r="G853" s="70"/>
      <c r="H853" s="70" t="s">
        <v>42</v>
      </c>
      <c r="I853" s="70"/>
      <c r="J853" s="70" t="s">
        <v>798</v>
      </c>
      <c r="K853" s="418" t="s">
        <v>798</v>
      </c>
      <c r="L853" s="418" t="s">
        <v>1654</v>
      </c>
      <c r="M853" s="70" t="s">
        <v>795</v>
      </c>
      <c r="N853" s="418">
        <v>20.827044000000001</v>
      </c>
      <c r="O853" s="418">
        <v>92.362932999999998</v>
      </c>
      <c r="P853" s="70" t="s">
        <v>761</v>
      </c>
      <c r="Q853" s="70" t="s">
        <v>780</v>
      </c>
      <c r="R853" s="553"/>
      <c r="S853" s="422"/>
      <c r="T853" s="104">
        <v>43248</v>
      </c>
      <c r="U853" s="100" t="s">
        <v>1901</v>
      </c>
      <c r="V853" s="70"/>
      <c r="W853" s="418"/>
      <c r="X853" s="539"/>
      <c r="Y853" s="539"/>
      <c r="Z853" s="539"/>
    </row>
    <row r="854" spans="1:26" ht="14.25" customHeight="1">
      <c r="A854" s="418" t="s">
        <v>2705</v>
      </c>
      <c r="B854" s="574" t="s">
        <v>309</v>
      </c>
      <c r="C854" s="446" t="s">
        <v>335</v>
      </c>
      <c r="D854" s="420" t="s">
        <v>1654</v>
      </c>
      <c r="E854" s="539"/>
      <c r="F854" s="539"/>
      <c r="G854" s="539"/>
      <c r="H854" s="539"/>
      <c r="I854" s="539"/>
      <c r="J854" s="539" t="s">
        <v>798</v>
      </c>
      <c r="K854" s="539" t="s">
        <v>798</v>
      </c>
      <c r="L854" s="539" t="s">
        <v>798</v>
      </c>
      <c r="M854" s="539" t="s">
        <v>795</v>
      </c>
      <c r="N854" s="539"/>
      <c r="O854" s="539"/>
      <c r="P854" s="539" t="s">
        <v>799</v>
      </c>
      <c r="Q854" s="539" t="s">
        <v>780</v>
      </c>
      <c r="R854" s="553"/>
      <c r="S854" s="546"/>
      <c r="T854" s="565"/>
      <c r="U854" s="547"/>
      <c r="V854" s="539" t="s">
        <v>335</v>
      </c>
      <c r="W854" s="418"/>
      <c r="X854" s="539"/>
      <c r="Y854" s="539"/>
      <c r="Z854" s="539"/>
    </row>
    <row r="855" spans="1:26" ht="14.25" customHeight="1">
      <c r="A855" s="418" t="s">
        <v>2705</v>
      </c>
      <c r="B855" s="445" t="s">
        <v>309</v>
      </c>
      <c r="C855" s="446" t="s">
        <v>336</v>
      </c>
      <c r="D855" s="420" t="s">
        <v>1654</v>
      </c>
      <c r="E855" s="418"/>
      <c r="F855" s="418"/>
      <c r="G855" s="418"/>
      <c r="H855" s="418"/>
      <c r="I855" s="418"/>
      <c r="J855" s="418" t="s">
        <v>798</v>
      </c>
      <c r="K855" s="418" t="s">
        <v>798</v>
      </c>
      <c r="L855" s="418" t="s">
        <v>798</v>
      </c>
      <c r="M855" s="418" t="s">
        <v>795</v>
      </c>
      <c r="N855" s="418"/>
      <c r="O855" s="418"/>
      <c r="P855" s="418" t="s">
        <v>799</v>
      </c>
      <c r="Q855" s="418" t="s">
        <v>780</v>
      </c>
      <c r="R855" s="429"/>
      <c r="S855" s="422"/>
      <c r="T855" s="441"/>
      <c r="U855" s="423"/>
      <c r="V855" s="418" t="s">
        <v>336</v>
      </c>
      <c r="W855" s="418"/>
      <c r="X855" s="539"/>
      <c r="Y855" s="539"/>
      <c r="Z855" s="539"/>
    </row>
    <row r="856" spans="1:26" ht="14.25" customHeight="1">
      <c r="A856" s="418" t="s">
        <v>2705</v>
      </c>
      <c r="B856" s="574" t="s">
        <v>309</v>
      </c>
      <c r="C856" s="575" t="s">
        <v>2112</v>
      </c>
      <c r="D856" s="544"/>
      <c r="E856" s="418">
        <v>197894</v>
      </c>
      <c r="F856" s="418"/>
      <c r="G856" s="418"/>
      <c r="H856" s="418"/>
      <c r="I856" s="418"/>
      <c r="J856" s="418" t="s">
        <v>798</v>
      </c>
      <c r="K856" s="418" t="s">
        <v>798</v>
      </c>
      <c r="L856" s="418" t="s">
        <v>798</v>
      </c>
      <c r="M856" s="418" t="s">
        <v>298</v>
      </c>
      <c r="N856" s="418">
        <v>21.025550840000001</v>
      </c>
      <c r="O856" s="418">
        <v>92.29528809</v>
      </c>
      <c r="P856" s="418"/>
      <c r="Q856" s="418"/>
      <c r="R856" s="553"/>
      <c r="S856" s="422"/>
      <c r="T856" s="441">
        <v>43300</v>
      </c>
      <c r="U856" s="423"/>
      <c r="V856" s="418"/>
      <c r="W856" s="418"/>
      <c r="X856" s="539"/>
      <c r="Y856" s="539"/>
      <c r="Z856" s="539"/>
    </row>
    <row r="857" spans="1:26" ht="14.25" customHeight="1">
      <c r="A857" s="418" t="s">
        <v>2705</v>
      </c>
      <c r="B857" s="445" t="s">
        <v>309</v>
      </c>
      <c r="C857" s="446" t="s">
        <v>681</v>
      </c>
      <c r="D857" s="420" t="s">
        <v>1654</v>
      </c>
      <c r="E857" s="418">
        <v>197894</v>
      </c>
      <c r="F857" s="418"/>
      <c r="G857" s="418"/>
      <c r="H857" s="418"/>
      <c r="I857" s="418"/>
      <c r="J857" s="418" t="s">
        <v>798</v>
      </c>
      <c r="K857" s="418" t="s">
        <v>798</v>
      </c>
      <c r="L857" s="418" t="s">
        <v>798</v>
      </c>
      <c r="M857" s="418" t="s">
        <v>795</v>
      </c>
      <c r="N857" s="418">
        <v>21.025550840000001</v>
      </c>
      <c r="O857" s="418">
        <v>92.29528809</v>
      </c>
      <c r="P857" s="418" t="s">
        <v>799</v>
      </c>
      <c r="Q857" s="418" t="s">
        <v>780</v>
      </c>
      <c r="R857" s="429"/>
      <c r="S857" s="422"/>
      <c r="T857" s="441">
        <v>42745</v>
      </c>
      <c r="U857" s="423"/>
      <c r="V857" s="418" t="s">
        <v>955</v>
      </c>
      <c r="W857" s="418"/>
      <c r="X857" s="539"/>
      <c r="Y857" s="539"/>
      <c r="Z857" s="539"/>
    </row>
    <row r="858" spans="1:26" ht="14.25" customHeight="1">
      <c r="A858" s="418" t="s">
        <v>2705</v>
      </c>
      <c r="B858" s="574" t="s">
        <v>309</v>
      </c>
      <c r="C858" s="550" t="s">
        <v>2113</v>
      </c>
      <c r="D858" s="544"/>
      <c r="E858" s="418">
        <v>197895</v>
      </c>
      <c r="F858" s="70"/>
      <c r="G858" s="70"/>
      <c r="H858" s="70"/>
      <c r="I858" s="70"/>
      <c r="J858" s="70" t="s">
        <v>798</v>
      </c>
      <c r="K858" s="418" t="s">
        <v>798</v>
      </c>
      <c r="L858" s="418" t="s">
        <v>798</v>
      </c>
      <c r="M858" s="70" t="s">
        <v>795</v>
      </c>
      <c r="N858" s="70">
        <v>21.019170760000002</v>
      </c>
      <c r="O858" s="418">
        <v>92.291992190000002</v>
      </c>
      <c r="P858" s="70"/>
      <c r="Q858" s="70"/>
      <c r="R858" s="553"/>
      <c r="S858" s="99"/>
      <c r="T858" s="104">
        <v>43300</v>
      </c>
      <c r="U858" s="100"/>
      <c r="V858" s="70"/>
      <c r="W858" s="418"/>
      <c r="X858" s="539"/>
      <c r="Y858" s="539"/>
      <c r="Z858" s="539"/>
    </row>
    <row r="859" spans="1:26" s="70" customFormat="1" ht="14.25" customHeight="1">
      <c r="A859" s="418" t="s">
        <v>2705</v>
      </c>
      <c r="B859" s="563" t="s">
        <v>309</v>
      </c>
      <c r="C859" s="562" t="s">
        <v>2075</v>
      </c>
      <c r="D859" s="470"/>
      <c r="E859" s="70">
        <v>197909</v>
      </c>
      <c r="J859" s="70" t="s">
        <v>798</v>
      </c>
      <c r="K859" s="418" t="s">
        <v>798</v>
      </c>
      <c r="L859" s="418" t="s">
        <v>798</v>
      </c>
      <c r="M859" s="70" t="s">
        <v>795</v>
      </c>
      <c r="N859" s="70">
        <v>21.003770830000001</v>
      </c>
      <c r="O859" s="70">
        <v>92.351142879999998</v>
      </c>
      <c r="R859" s="421"/>
      <c r="S859" s="422"/>
      <c r="T859" s="104">
        <v>43300</v>
      </c>
      <c r="U859" s="100"/>
      <c r="W859" s="418"/>
      <c r="X859" s="539"/>
      <c r="Y859" s="539"/>
      <c r="Z859" s="539"/>
    </row>
    <row r="860" spans="1:26" ht="14.25" customHeight="1">
      <c r="A860" s="418" t="s">
        <v>2705</v>
      </c>
      <c r="B860" s="187" t="s">
        <v>309</v>
      </c>
      <c r="C860" s="446" t="s">
        <v>676</v>
      </c>
      <c r="D860" s="420" t="s">
        <v>1654</v>
      </c>
      <c r="E860" s="591">
        <v>197910</v>
      </c>
      <c r="F860" s="182"/>
      <c r="G860" s="182"/>
      <c r="H860" s="182"/>
      <c r="I860" s="182"/>
      <c r="J860" s="182" t="s">
        <v>798</v>
      </c>
      <c r="K860" s="182" t="s">
        <v>798</v>
      </c>
      <c r="L860" s="182" t="s">
        <v>798</v>
      </c>
      <c r="M860" s="182" t="s">
        <v>298</v>
      </c>
      <c r="N860" s="182">
        <v>21.007270810000001</v>
      </c>
      <c r="O860" s="182">
        <v>92.358520510000005</v>
      </c>
      <c r="P860" s="182" t="s">
        <v>799</v>
      </c>
      <c r="Q860" s="182" t="s">
        <v>802</v>
      </c>
      <c r="R860" s="183"/>
      <c r="S860" s="181"/>
      <c r="T860" s="184">
        <v>42926</v>
      </c>
      <c r="U860" s="185" t="s">
        <v>803</v>
      </c>
      <c r="V860" s="182"/>
      <c r="W860" s="418"/>
      <c r="X860" s="539"/>
      <c r="Y860" s="539"/>
      <c r="Z860" s="539"/>
    </row>
    <row r="861" spans="1:26" ht="14.25" customHeight="1">
      <c r="A861" s="418" t="s">
        <v>2705</v>
      </c>
      <c r="B861" s="574" t="s">
        <v>309</v>
      </c>
      <c r="C861" s="575" t="s">
        <v>2074</v>
      </c>
      <c r="D861" s="420"/>
      <c r="E861" s="418">
        <v>197874</v>
      </c>
      <c r="F861" s="418"/>
      <c r="G861" s="70"/>
      <c r="H861" s="539"/>
      <c r="I861" s="70"/>
      <c r="J861" s="70" t="s">
        <v>798</v>
      </c>
      <c r="K861" s="418" t="s">
        <v>798</v>
      </c>
      <c r="L861" s="418" t="s">
        <v>798</v>
      </c>
      <c r="M861" s="70" t="s">
        <v>795</v>
      </c>
      <c r="N861" s="418">
        <v>21.035009380000002</v>
      </c>
      <c r="O861" s="418">
        <v>92.332046509999998</v>
      </c>
      <c r="P861" s="70"/>
      <c r="Q861" s="539"/>
      <c r="R861" s="553"/>
      <c r="S861" s="422"/>
      <c r="T861" s="565">
        <v>43300</v>
      </c>
      <c r="U861" s="100"/>
      <c r="V861" s="70"/>
      <c r="W861" s="418"/>
      <c r="X861" s="539"/>
      <c r="Y861" s="539"/>
      <c r="Z861" s="539"/>
    </row>
    <row r="862" spans="1:26" ht="14.25" customHeight="1">
      <c r="A862" s="418" t="s">
        <v>2705</v>
      </c>
      <c r="B862" s="563" t="s">
        <v>309</v>
      </c>
      <c r="C862" s="562" t="s">
        <v>521</v>
      </c>
      <c r="D862" s="470" t="s">
        <v>1654</v>
      </c>
      <c r="E862" s="70"/>
      <c r="F862" s="418"/>
      <c r="G862" s="70"/>
      <c r="H862" s="70"/>
      <c r="I862" s="70"/>
      <c r="J862" s="70" t="s">
        <v>798</v>
      </c>
      <c r="K862" s="418" t="s">
        <v>798</v>
      </c>
      <c r="L862" s="418" t="s">
        <v>798</v>
      </c>
      <c r="M862" s="70" t="s">
        <v>298</v>
      </c>
      <c r="N862" s="418">
        <v>20.651159289999999</v>
      </c>
      <c r="O862" s="418">
        <v>92.605712890000007</v>
      </c>
      <c r="P862" s="70" t="s">
        <v>799</v>
      </c>
      <c r="Q862" s="70" t="s">
        <v>780</v>
      </c>
      <c r="R862" s="545"/>
      <c r="S862" s="99"/>
      <c r="T862" s="104"/>
      <c r="U862" s="100"/>
      <c r="V862" s="70" t="s">
        <v>521</v>
      </c>
      <c r="W862" s="418"/>
      <c r="X862" s="539"/>
      <c r="Y862" s="539"/>
      <c r="Z862" s="539"/>
    </row>
    <row r="863" spans="1:26" ht="14.25" customHeight="1">
      <c r="A863" s="418" t="s">
        <v>2705</v>
      </c>
      <c r="B863" s="574" t="s">
        <v>309</v>
      </c>
      <c r="C863" s="446" t="s">
        <v>598</v>
      </c>
      <c r="D863" s="420" t="s">
        <v>1654</v>
      </c>
      <c r="E863" s="539">
        <v>197999</v>
      </c>
      <c r="F863" s="539"/>
      <c r="G863" s="539"/>
      <c r="H863" s="539"/>
      <c r="I863" s="539"/>
      <c r="J863" s="539" t="s">
        <v>798</v>
      </c>
      <c r="K863" s="539" t="s">
        <v>798</v>
      </c>
      <c r="L863" s="539" t="s">
        <v>798</v>
      </c>
      <c r="M863" s="539" t="s">
        <v>795</v>
      </c>
      <c r="N863" s="539">
        <v>20.785320280000001</v>
      </c>
      <c r="O863" s="539">
        <v>92.406509400000004</v>
      </c>
      <c r="P863" s="539" t="s">
        <v>799</v>
      </c>
      <c r="Q863" s="539" t="s">
        <v>780</v>
      </c>
      <c r="R863" s="553"/>
      <c r="S863" s="546"/>
      <c r="T863" s="565"/>
      <c r="U863" s="547"/>
      <c r="V863" s="539" t="s">
        <v>598</v>
      </c>
      <c r="W863" s="418"/>
      <c r="X863" s="539"/>
      <c r="Y863" s="539"/>
      <c r="Z863" s="539"/>
    </row>
    <row r="864" spans="1:26" ht="14.25" customHeight="1">
      <c r="A864" s="418" t="s">
        <v>2705</v>
      </c>
      <c r="B864" s="563" t="s">
        <v>309</v>
      </c>
      <c r="C864" s="562" t="s">
        <v>548</v>
      </c>
      <c r="D864" s="470"/>
      <c r="E864" s="70">
        <v>197993</v>
      </c>
      <c r="F864" s="70" t="s">
        <v>548</v>
      </c>
      <c r="G864" s="70"/>
      <c r="H864" s="70"/>
      <c r="I864" s="70"/>
      <c r="J864" s="70" t="s">
        <v>798</v>
      </c>
      <c r="K864" s="70" t="s">
        <v>798</v>
      </c>
      <c r="L864" s="418" t="s">
        <v>798</v>
      </c>
      <c r="M864" s="70" t="s">
        <v>795</v>
      </c>
      <c r="N864" s="418">
        <v>20.809099199999999</v>
      </c>
      <c r="O864" s="418">
        <v>92.39829254</v>
      </c>
      <c r="P864" s="70"/>
      <c r="Q864" s="70"/>
      <c r="R864" s="545"/>
      <c r="S864" s="99"/>
      <c r="T864" s="104">
        <v>43300</v>
      </c>
      <c r="U864" s="100"/>
      <c r="V864" s="70"/>
      <c r="W864" s="418"/>
      <c r="X864" s="539"/>
      <c r="Y864" s="539"/>
      <c r="Z864" s="539"/>
    </row>
    <row r="865" spans="1:26" ht="14.25" customHeight="1">
      <c r="A865" s="418" t="s">
        <v>2705</v>
      </c>
      <c r="B865" s="445" t="s">
        <v>309</v>
      </c>
      <c r="C865" s="446" t="s">
        <v>479</v>
      </c>
      <c r="D865" s="420" t="s">
        <v>2312</v>
      </c>
      <c r="E865" s="70" t="s">
        <v>1395</v>
      </c>
      <c r="F865" s="548" t="s">
        <v>1751</v>
      </c>
      <c r="G865" s="70" t="s">
        <v>1751</v>
      </c>
      <c r="H865" s="70" t="s">
        <v>42</v>
      </c>
      <c r="I865" s="70"/>
      <c r="J865" s="70" t="s">
        <v>798</v>
      </c>
      <c r="K865" s="418" t="s">
        <v>798</v>
      </c>
      <c r="L865" s="418" t="s">
        <v>883</v>
      </c>
      <c r="M865" s="70" t="s">
        <v>298</v>
      </c>
      <c r="N865" s="418">
        <v>20.824777999999998</v>
      </c>
      <c r="O865" s="418">
        <v>92.362196999999995</v>
      </c>
      <c r="P865" s="70" t="s">
        <v>799</v>
      </c>
      <c r="Q865" s="70"/>
      <c r="R865" s="545">
        <v>17</v>
      </c>
      <c r="S865" s="99">
        <v>109</v>
      </c>
      <c r="T865" s="104"/>
      <c r="U865" s="100" t="s">
        <v>860</v>
      </c>
      <c r="V865" s="70" t="s">
        <v>479</v>
      </c>
      <c r="W865" s="418"/>
      <c r="X865" s="539"/>
      <c r="Y865" s="539"/>
      <c r="Z865" s="539"/>
    </row>
    <row r="866" spans="1:26" ht="14.25" customHeight="1">
      <c r="A866" s="418" t="s">
        <v>2705</v>
      </c>
      <c r="B866" s="574" t="s">
        <v>309</v>
      </c>
      <c r="C866" s="575" t="s">
        <v>2102</v>
      </c>
      <c r="D866" s="544"/>
      <c r="E866" s="543">
        <v>197858</v>
      </c>
      <c r="F866" s="418"/>
      <c r="G866" s="70"/>
      <c r="H866" s="70"/>
      <c r="I866" s="70"/>
      <c r="J866" s="70" t="s">
        <v>798</v>
      </c>
      <c r="K866" s="418" t="s">
        <v>798</v>
      </c>
      <c r="L866" s="418" t="s">
        <v>798</v>
      </c>
      <c r="M866" s="70" t="s">
        <v>2089</v>
      </c>
      <c r="N866" s="539">
        <v>21.160549159999999</v>
      </c>
      <c r="O866" s="539">
        <v>92.330261230000005</v>
      </c>
      <c r="P866" s="70"/>
      <c r="Q866" s="70"/>
      <c r="R866" s="553"/>
      <c r="S866" s="422"/>
      <c r="T866" s="104">
        <v>43300</v>
      </c>
      <c r="U866" s="100"/>
      <c r="V866" s="70"/>
      <c r="W866" s="418"/>
      <c r="X866" s="539"/>
      <c r="Y866" s="539"/>
      <c r="Z866" s="539"/>
    </row>
    <row r="867" spans="1:26" ht="14.25" customHeight="1">
      <c r="A867" s="418" t="s">
        <v>2705</v>
      </c>
      <c r="B867" s="440" t="s">
        <v>309</v>
      </c>
      <c r="C867" s="439" t="s">
        <v>2064</v>
      </c>
      <c r="D867" s="544"/>
      <c r="E867" s="394">
        <v>197996</v>
      </c>
      <c r="F867" s="418"/>
      <c r="G867" s="418"/>
      <c r="H867" s="546"/>
      <c r="I867" s="418"/>
      <c r="J867" s="418" t="s">
        <v>798</v>
      </c>
      <c r="K867" s="418" t="s">
        <v>798</v>
      </c>
      <c r="L867" s="418" t="s">
        <v>798</v>
      </c>
      <c r="M867" s="394" t="s">
        <v>795</v>
      </c>
      <c r="N867" s="394">
        <v>20.805980680000001</v>
      </c>
      <c r="O867" s="394">
        <v>92.383308409999998</v>
      </c>
      <c r="P867" s="394"/>
      <c r="Q867" s="543"/>
      <c r="R867" s="421"/>
      <c r="S867" s="422"/>
      <c r="T867" s="566">
        <v>43300</v>
      </c>
      <c r="U867" s="423"/>
      <c r="V867" s="394"/>
      <c r="W867" s="418"/>
      <c r="X867" s="539"/>
      <c r="Y867" s="539"/>
      <c r="Z867" s="539"/>
    </row>
    <row r="868" spans="1:26" ht="14.25" customHeight="1">
      <c r="A868" s="418" t="s">
        <v>2705</v>
      </c>
      <c r="B868" s="445" t="s">
        <v>309</v>
      </c>
      <c r="C868" s="446" t="s">
        <v>1906</v>
      </c>
      <c r="D868" s="420"/>
      <c r="E868" s="394">
        <v>197971</v>
      </c>
      <c r="F868" s="418" t="s">
        <v>1906</v>
      </c>
      <c r="G868" s="418"/>
      <c r="H868" s="418"/>
      <c r="I868" s="418"/>
      <c r="J868" s="418" t="s">
        <v>798</v>
      </c>
      <c r="K868" s="418" t="s">
        <v>798</v>
      </c>
      <c r="L868" s="418" t="s">
        <v>798</v>
      </c>
      <c r="M868" s="394" t="s">
        <v>795</v>
      </c>
      <c r="N868" s="394">
        <v>20.872400280000001</v>
      </c>
      <c r="O868" s="418">
        <v>92.337608340000003</v>
      </c>
      <c r="P868" s="394" t="s">
        <v>799</v>
      </c>
      <c r="Q868" s="418" t="s">
        <v>1908</v>
      </c>
      <c r="R868" s="429"/>
      <c r="S868" s="422"/>
      <c r="T868" s="441">
        <v>43245</v>
      </c>
      <c r="U868" s="423"/>
      <c r="V868" s="394"/>
      <c r="W868" s="418"/>
      <c r="X868" s="539"/>
      <c r="Y868" s="539"/>
      <c r="Z868" s="539"/>
    </row>
    <row r="869" spans="1:26" ht="14.25" customHeight="1">
      <c r="A869" s="418" t="s">
        <v>2705</v>
      </c>
      <c r="B869" s="187" t="s">
        <v>309</v>
      </c>
      <c r="C869" s="446" t="s">
        <v>339</v>
      </c>
      <c r="D869" s="420" t="s">
        <v>1654</v>
      </c>
      <c r="E869" s="182"/>
      <c r="F869" s="182"/>
      <c r="G869" s="182"/>
      <c r="H869" s="182"/>
      <c r="I869" s="182"/>
      <c r="J869" s="182" t="s">
        <v>798</v>
      </c>
      <c r="K869" s="182" t="s">
        <v>798</v>
      </c>
      <c r="L869" s="182" t="s">
        <v>798</v>
      </c>
      <c r="M869" s="182" t="s">
        <v>795</v>
      </c>
      <c r="N869" s="569"/>
      <c r="O869" s="569"/>
      <c r="P869" s="182" t="s">
        <v>799</v>
      </c>
      <c r="Q869" s="182" t="s">
        <v>780</v>
      </c>
      <c r="R869" s="183"/>
      <c r="S869" s="181"/>
      <c r="T869" s="184"/>
      <c r="U869" s="185"/>
      <c r="V869" s="182" t="s">
        <v>339</v>
      </c>
      <c r="W869" s="418"/>
      <c r="X869" s="539"/>
      <c r="Y869" s="539"/>
      <c r="Z869" s="539"/>
    </row>
    <row r="870" spans="1:26" ht="14.25" customHeight="1">
      <c r="A870" s="418" t="s">
        <v>2705</v>
      </c>
      <c r="B870" s="574" t="s">
        <v>309</v>
      </c>
      <c r="C870" s="575" t="s">
        <v>603</v>
      </c>
      <c r="D870" s="544" t="s">
        <v>1654</v>
      </c>
      <c r="E870" s="418">
        <v>198000</v>
      </c>
      <c r="F870" s="418"/>
      <c r="G870" s="418"/>
      <c r="H870" s="418"/>
      <c r="I870" s="418"/>
      <c r="J870" s="394" t="s">
        <v>798</v>
      </c>
      <c r="K870" s="394" t="s">
        <v>798</v>
      </c>
      <c r="L870" s="394" t="s">
        <v>798</v>
      </c>
      <c r="M870" s="418" t="s">
        <v>795</v>
      </c>
      <c r="N870" s="418">
        <v>20.788669590000001</v>
      </c>
      <c r="O870" s="418">
        <v>92.397300720000004</v>
      </c>
      <c r="P870" s="394" t="s">
        <v>799</v>
      </c>
      <c r="Q870" s="418" t="s">
        <v>780</v>
      </c>
      <c r="R870" s="553"/>
      <c r="S870" s="422"/>
      <c r="T870" s="441"/>
      <c r="U870" s="423"/>
      <c r="V870" s="418" t="s">
        <v>603</v>
      </c>
      <c r="W870" s="418"/>
      <c r="X870" s="539"/>
      <c r="Y870" s="539"/>
      <c r="Z870" s="539"/>
    </row>
    <row r="871" spans="1:26" ht="14.25" customHeight="1">
      <c r="A871" s="418" t="s">
        <v>2705</v>
      </c>
      <c r="B871" s="445" t="s">
        <v>309</v>
      </c>
      <c r="C871" s="446" t="s">
        <v>2057</v>
      </c>
      <c r="D871" s="420"/>
      <c r="E871" s="394">
        <v>197972</v>
      </c>
      <c r="F871" s="543"/>
      <c r="G871" s="394"/>
      <c r="H871" s="394"/>
      <c r="I871" s="394"/>
      <c r="J871" s="394" t="s">
        <v>798</v>
      </c>
      <c r="K871" s="418" t="s">
        <v>798</v>
      </c>
      <c r="L871" s="418" t="s">
        <v>798</v>
      </c>
      <c r="M871" s="394" t="s">
        <v>795</v>
      </c>
      <c r="N871" s="394">
        <v>20.879430769999999</v>
      </c>
      <c r="O871" s="418">
        <v>92.334373470000003</v>
      </c>
      <c r="P871" s="394"/>
      <c r="Q871" s="394"/>
      <c r="R871" s="553"/>
      <c r="S871" s="546"/>
      <c r="T871" s="397">
        <v>43300</v>
      </c>
      <c r="U871" s="396"/>
      <c r="V871" s="394"/>
      <c r="W871" s="418"/>
      <c r="X871" s="539"/>
      <c r="Y871" s="539"/>
      <c r="Z871" s="539"/>
    </row>
    <row r="872" spans="1:26" ht="14.25" customHeight="1">
      <c r="A872" s="418" t="s">
        <v>2705</v>
      </c>
      <c r="B872" s="563" t="s">
        <v>309</v>
      </c>
      <c r="C872" s="562" t="s">
        <v>298</v>
      </c>
      <c r="D872" s="470" t="s">
        <v>1654</v>
      </c>
      <c r="E872" s="539"/>
      <c r="F872" s="539"/>
      <c r="G872" s="539"/>
      <c r="H872" s="539"/>
      <c r="I872" s="539"/>
      <c r="J872" s="539" t="s">
        <v>798</v>
      </c>
      <c r="K872" s="539" t="s">
        <v>798</v>
      </c>
      <c r="L872" s="539" t="s">
        <v>798</v>
      </c>
      <c r="M872" s="539" t="s">
        <v>298</v>
      </c>
      <c r="N872" s="557"/>
      <c r="O872" s="557"/>
      <c r="P872" s="539" t="s">
        <v>799</v>
      </c>
      <c r="Q872" s="539" t="s">
        <v>780</v>
      </c>
      <c r="R872" s="545"/>
      <c r="S872" s="546"/>
      <c r="T872" s="565"/>
      <c r="U872" s="547"/>
      <c r="V872" s="539" t="s">
        <v>298</v>
      </c>
      <c r="W872" s="418"/>
      <c r="X872" s="539"/>
      <c r="Y872" s="539"/>
      <c r="Z872" s="539"/>
    </row>
    <row r="873" spans="1:26" ht="14.25" customHeight="1">
      <c r="A873" s="418" t="s">
        <v>2705</v>
      </c>
      <c r="B873" s="563" t="s">
        <v>309</v>
      </c>
      <c r="C873" s="562" t="s">
        <v>344</v>
      </c>
      <c r="D873" s="470" t="s">
        <v>1654</v>
      </c>
      <c r="E873" s="394"/>
      <c r="F873" s="394"/>
      <c r="G873" s="394"/>
      <c r="H873" s="394"/>
      <c r="I873" s="394"/>
      <c r="J873" s="394" t="s">
        <v>798</v>
      </c>
      <c r="K873" s="394" t="s">
        <v>798</v>
      </c>
      <c r="L873" s="394" t="s">
        <v>798</v>
      </c>
      <c r="M873" s="394" t="s">
        <v>298</v>
      </c>
      <c r="N873" s="394"/>
      <c r="O873" s="394"/>
      <c r="P873" s="394" t="s">
        <v>799</v>
      </c>
      <c r="Q873" s="394" t="s">
        <v>780</v>
      </c>
      <c r="R873" s="545"/>
      <c r="S873" s="422"/>
      <c r="T873" s="397"/>
      <c r="U873" s="396"/>
      <c r="V873" s="394"/>
      <c r="W873" s="418"/>
      <c r="X873" s="539"/>
      <c r="Y873" s="539"/>
      <c r="Z873" s="539"/>
    </row>
    <row r="874" spans="1:26" ht="14.25" customHeight="1">
      <c r="A874" s="418" t="s">
        <v>2705</v>
      </c>
      <c r="B874" s="574" t="s">
        <v>309</v>
      </c>
      <c r="C874" s="575" t="s">
        <v>1135</v>
      </c>
      <c r="D874" s="544" t="s">
        <v>1654</v>
      </c>
      <c r="E874" s="394"/>
      <c r="F874" s="418"/>
      <c r="G874" s="394"/>
      <c r="H874" s="394"/>
      <c r="I874" s="394"/>
      <c r="J874" s="394" t="s">
        <v>798</v>
      </c>
      <c r="K874" s="394" t="s">
        <v>798</v>
      </c>
      <c r="L874" s="394" t="s">
        <v>798</v>
      </c>
      <c r="M874" s="394" t="s">
        <v>795</v>
      </c>
      <c r="N874" s="394"/>
      <c r="O874" s="394"/>
      <c r="P874" s="394" t="s">
        <v>799</v>
      </c>
      <c r="Q874" s="394"/>
      <c r="R874" s="553"/>
      <c r="S874" s="422"/>
      <c r="T874" s="397"/>
      <c r="U874" s="396"/>
      <c r="V874" s="394" t="s">
        <v>344</v>
      </c>
      <c r="W874" s="418"/>
      <c r="X874" s="539"/>
      <c r="Y874" s="539"/>
      <c r="Z874" s="539"/>
    </row>
    <row r="875" spans="1:26" ht="14.25" customHeight="1">
      <c r="A875" s="418" t="s">
        <v>2705</v>
      </c>
      <c r="B875" s="574" t="s">
        <v>309</v>
      </c>
      <c r="C875" s="575" t="s">
        <v>345</v>
      </c>
      <c r="D875" s="544" t="s">
        <v>1654</v>
      </c>
      <c r="E875" s="394"/>
      <c r="F875" s="418"/>
      <c r="G875" s="394"/>
      <c r="H875" s="394"/>
      <c r="I875" s="394"/>
      <c r="J875" s="394" t="s">
        <v>798</v>
      </c>
      <c r="K875" s="394" t="s">
        <v>798</v>
      </c>
      <c r="L875" s="394" t="s">
        <v>798</v>
      </c>
      <c r="M875" s="394" t="s">
        <v>298</v>
      </c>
      <c r="N875" s="394"/>
      <c r="O875" s="394"/>
      <c r="P875" s="394" t="s">
        <v>799</v>
      </c>
      <c r="Q875" s="394" t="s">
        <v>780</v>
      </c>
      <c r="R875" s="553"/>
      <c r="S875" s="422"/>
      <c r="T875" s="397"/>
      <c r="U875" s="396"/>
      <c r="V875" s="394" t="s">
        <v>344</v>
      </c>
      <c r="W875" s="418"/>
      <c r="X875" s="539"/>
      <c r="Y875" s="539"/>
      <c r="Z875" s="539"/>
    </row>
    <row r="876" spans="1:26" ht="14.25" customHeight="1">
      <c r="A876" s="418" t="s">
        <v>2705</v>
      </c>
      <c r="B876" s="440" t="s">
        <v>309</v>
      </c>
      <c r="C876" s="439" t="s">
        <v>346</v>
      </c>
      <c r="D876" s="470" t="s">
        <v>1654</v>
      </c>
      <c r="E876" s="394"/>
      <c r="F876" s="418"/>
      <c r="G876" s="394"/>
      <c r="H876" s="394"/>
      <c r="I876" s="394"/>
      <c r="J876" s="394" t="s">
        <v>798</v>
      </c>
      <c r="K876" s="418" t="s">
        <v>798</v>
      </c>
      <c r="L876" s="418" t="s">
        <v>798</v>
      </c>
      <c r="M876" s="394" t="s">
        <v>795</v>
      </c>
      <c r="N876" s="394"/>
      <c r="O876" s="394"/>
      <c r="P876" s="394" t="s">
        <v>799</v>
      </c>
      <c r="Q876" s="394" t="s">
        <v>780</v>
      </c>
      <c r="R876" s="421"/>
      <c r="S876" s="422"/>
      <c r="T876" s="397"/>
      <c r="U876" s="396"/>
      <c r="V876" s="394" t="s">
        <v>346</v>
      </c>
      <c r="W876" s="418"/>
      <c r="X876" s="539"/>
      <c r="Y876" s="539"/>
      <c r="Z876" s="539"/>
    </row>
    <row r="877" spans="1:26" ht="14.25" customHeight="1">
      <c r="A877" s="418" t="s">
        <v>2705</v>
      </c>
      <c r="B877" s="445" t="s">
        <v>309</v>
      </c>
      <c r="C877" s="446" t="s">
        <v>2080</v>
      </c>
      <c r="D877" s="420"/>
      <c r="E877" s="418">
        <v>197897</v>
      </c>
      <c r="F877" s="418"/>
      <c r="G877" s="418"/>
      <c r="H877" s="418"/>
      <c r="I877" s="418"/>
      <c r="J877" s="418" t="s">
        <v>798</v>
      </c>
      <c r="K877" s="418" t="s">
        <v>798</v>
      </c>
      <c r="L877" s="418" t="s">
        <v>798</v>
      </c>
      <c r="M877" s="418" t="s">
        <v>298</v>
      </c>
      <c r="N877" s="418">
        <v>21.004550930000001</v>
      </c>
      <c r="O877" s="418">
        <v>92.294601439999994</v>
      </c>
      <c r="P877" s="418"/>
      <c r="Q877" s="418"/>
      <c r="R877" s="554"/>
      <c r="S877" s="550"/>
      <c r="T877" s="441">
        <v>43300</v>
      </c>
      <c r="U877" s="423"/>
      <c r="V877" s="418"/>
      <c r="W877" s="418"/>
      <c r="X877" s="539"/>
      <c r="Y877" s="539"/>
      <c r="Z877" s="539"/>
    </row>
    <row r="878" spans="1:26" ht="14.25" customHeight="1">
      <c r="A878" s="418" t="s">
        <v>2705</v>
      </c>
      <c r="B878" s="187" t="s">
        <v>309</v>
      </c>
      <c r="C878" s="188" t="s">
        <v>687</v>
      </c>
      <c r="D878" s="544" t="s">
        <v>1654</v>
      </c>
      <c r="E878" s="182">
        <v>197866</v>
      </c>
      <c r="F878" s="182"/>
      <c r="G878" s="182"/>
      <c r="H878" s="182"/>
      <c r="I878" s="182"/>
      <c r="J878" s="182" t="s">
        <v>798</v>
      </c>
      <c r="K878" s="182" t="s">
        <v>798</v>
      </c>
      <c r="L878" s="182" t="s">
        <v>798</v>
      </c>
      <c r="M878" s="182" t="s">
        <v>795</v>
      </c>
      <c r="N878" s="182">
        <v>21.05834961</v>
      </c>
      <c r="O878" s="182">
        <v>92.336326600000007</v>
      </c>
      <c r="P878" s="182" t="s">
        <v>799</v>
      </c>
      <c r="Q878" s="182" t="s">
        <v>780</v>
      </c>
      <c r="R878" s="474"/>
      <c r="S878" s="473"/>
      <c r="T878" s="184">
        <v>42745</v>
      </c>
      <c r="U878" s="185"/>
      <c r="V878" s="182" t="s">
        <v>687</v>
      </c>
      <c r="W878" s="418"/>
      <c r="X878" s="539"/>
      <c r="Y878" s="539"/>
      <c r="Z878" s="539"/>
    </row>
    <row r="879" spans="1:26" ht="14.25" customHeight="1">
      <c r="A879" s="418" t="s">
        <v>2705</v>
      </c>
      <c r="B879" s="445" t="s">
        <v>309</v>
      </c>
      <c r="C879" s="446" t="s">
        <v>675</v>
      </c>
      <c r="D879" s="420" t="s">
        <v>1654</v>
      </c>
      <c r="E879" s="418"/>
      <c r="F879" s="418"/>
      <c r="G879" s="394"/>
      <c r="H879" s="394"/>
      <c r="I879" s="418"/>
      <c r="J879" s="394" t="s">
        <v>798</v>
      </c>
      <c r="K879" s="418" t="s">
        <v>798</v>
      </c>
      <c r="L879" s="418" t="s">
        <v>798</v>
      </c>
      <c r="M879" s="394" t="s">
        <v>298</v>
      </c>
      <c r="N879" s="394">
        <v>21.004550930000001</v>
      </c>
      <c r="O879" s="394">
        <v>92.294601439999994</v>
      </c>
      <c r="P879" s="394" t="s">
        <v>799</v>
      </c>
      <c r="Q879" s="394" t="s">
        <v>780</v>
      </c>
      <c r="R879" s="429"/>
      <c r="S879" s="422"/>
      <c r="T879" s="397"/>
      <c r="U879" s="396"/>
      <c r="V879" s="394" t="s">
        <v>675</v>
      </c>
      <c r="W879" s="418"/>
      <c r="X879" s="539"/>
      <c r="Y879" s="539"/>
      <c r="Z879" s="539"/>
    </row>
    <row r="880" spans="1:26" ht="14.25" customHeight="1">
      <c r="A880" s="418" t="s">
        <v>2705</v>
      </c>
      <c r="B880" s="563" t="s">
        <v>309</v>
      </c>
      <c r="C880" s="562" t="s">
        <v>2078</v>
      </c>
      <c r="D880" s="470"/>
      <c r="E880" s="539">
        <v>197983</v>
      </c>
      <c r="F880" s="418"/>
      <c r="G880" s="418"/>
      <c r="H880" s="418"/>
      <c r="I880" s="418"/>
      <c r="J880" s="418" t="s">
        <v>798</v>
      </c>
      <c r="K880" s="418" t="s">
        <v>798</v>
      </c>
      <c r="L880" s="418" t="s">
        <v>798</v>
      </c>
      <c r="M880" s="418" t="s">
        <v>683</v>
      </c>
      <c r="N880" s="418">
        <v>20.834699629999999</v>
      </c>
      <c r="O880" s="418">
        <v>92.372390749999994</v>
      </c>
      <c r="P880" s="418"/>
      <c r="Q880" s="418"/>
      <c r="R880" s="545"/>
      <c r="S880" s="422"/>
      <c r="T880" s="441">
        <v>43300</v>
      </c>
      <c r="U880" s="423"/>
      <c r="V880" s="418"/>
      <c r="W880" s="418"/>
      <c r="X880" s="539"/>
      <c r="Y880" s="539"/>
      <c r="Z880" s="539"/>
    </row>
    <row r="881" spans="1:26" ht="14.25" customHeight="1">
      <c r="A881" s="418" t="s">
        <v>2705</v>
      </c>
      <c r="B881" s="440" t="s">
        <v>309</v>
      </c>
      <c r="C881" s="439" t="s">
        <v>566</v>
      </c>
      <c r="D881" s="470" t="s">
        <v>1654</v>
      </c>
      <c r="E881" s="394">
        <v>198047</v>
      </c>
      <c r="F881" s="394"/>
      <c r="G881" s="394"/>
      <c r="H881" s="394"/>
      <c r="I881" s="394"/>
      <c r="J881" s="394" t="s">
        <v>798</v>
      </c>
      <c r="K881" s="394" t="s">
        <v>798</v>
      </c>
      <c r="L881" s="394" t="s">
        <v>798</v>
      </c>
      <c r="M881" s="394" t="s">
        <v>795</v>
      </c>
      <c r="N881" s="394">
        <v>20.717479709999999</v>
      </c>
      <c r="O881" s="394">
        <v>92.437492370000001</v>
      </c>
      <c r="P881" s="394" t="s">
        <v>799</v>
      </c>
      <c r="Q881" s="394" t="s">
        <v>780</v>
      </c>
      <c r="R881" s="421"/>
      <c r="S881" s="422"/>
      <c r="T881" s="397"/>
      <c r="U881" s="396"/>
      <c r="V881" s="394" t="s">
        <v>566</v>
      </c>
      <c r="W881" s="418"/>
      <c r="X881" s="539"/>
      <c r="Y881" s="539"/>
      <c r="Z881" s="539"/>
    </row>
    <row r="882" spans="1:26" ht="14.25" customHeight="1">
      <c r="A882" s="418" t="s">
        <v>2705</v>
      </c>
      <c r="B882" s="440" t="s">
        <v>309</v>
      </c>
      <c r="C882" s="439" t="s">
        <v>2572</v>
      </c>
      <c r="D882" s="470"/>
      <c r="E882" s="394"/>
      <c r="F882" s="394" t="s">
        <v>2691</v>
      </c>
      <c r="G882" s="394"/>
      <c r="H882" s="394"/>
      <c r="I882" s="394"/>
      <c r="J882" s="394" t="s">
        <v>798</v>
      </c>
      <c r="K882" s="394" t="s">
        <v>798</v>
      </c>
      <c r="L882" s="394" t="s">
        <v>798</v>
      </c>
      <c r="M882" s="394" t="s">
        <v>298</v>
      </c>
      <c r="N882" s="394"/>
      <c r="O882" s="394"/>
      <c r="P882" s="394"/>
      <c r="Q882" s="394"/>
      <c r="R882" s="421"/>
      <c r="S882" s="422"/>
      <c r="T882" s="397"/>
      <c r="U882" s="396"/>
      <c r="V882" s="394"/>
      <c r="W882" s="418"/>
      <c r="X882" s="539"/>
      <c r="Y882" s="539"/>
      <c r="Z882" s="539"/>
    </row>
    <row r="883" spans="1:26" ht="14.25" customHeight="1">
      <c r="A883" s="546" t="s">
        <v>2705</v>
      </c>
      <c r="B883" s="574" t="s">
        <v>309</v>
      </c>
      <c r="C883" s="575" t="s">
        <v>2886</v>
      </c>
      <c r="D883" s="544"/>
      <c r="E883" s="394"/>
      <c r="F883" s="418"/>
      <c r="G883" s="394"/>
      <c r="H883" s="394"/>
      <c r="I883" s="394"/>
      <c r="J883" s="394" t="s">
        <v>798</v>
      </c>
      <c r="K883" s="394" t="s">
        <v>798</v>
      </c>
      <c r="L883" s="394" t="s">
        <v>798</v>
      </c>
      <c r="M883" s="394"/>
      <c r="N883" s="394"/>
      <c r="O883" s="394"/>
      <c r="P883" s="394"/>
      <c r="Q883" s="394"/>
      <c r="R883" s="553"/>
      <c r="S883" s="422"/>
      <c r="T883" s="397"/>
      <c r="U883" s="553"/>
      <c r="V883" s="394"/>
      <c r="W883" s="545"/>
      <c r="X883" s="539"/>
      <c r="Y883" s="539"/>
      <c r="Z883" s="539"/>
    </row>
    <row r="884" spans="1:26" ht="14.25" customHeight="1">
      <c r="A884" s="418" t="s">
        <v>2705</v>
      </c>
      <c r="B884" s="445" t="s">
        <v>309</v>
      </c>
      <c r="C884" s="446" t="s">
        <v>2065</v>
      </c>
      <c r="D884" s="420"/>
      <c r="E884" s="394">
        <v>220737</v>
      </c>
      <c r="F884" s="394" t="s">
        <v>548</v>
      </c>
      <c r="G884" s="394"/>
      <c r="H884" s="394"/>
      <c r="I884" s="394"/>
      <c r="J884" s="394" t="s">
        <v>798</v>
      </c>
      <c r="K884" s="394" t="s">
        <v>798</v>
      </c>
      <c r="L884" s="394" t="s">
        <v>798</v>
      </c>
      <c r="M884" s="394" t="s">
        <v>298</v>
      </c>
      <c r="N884" s="394">
        <v>20.806211470000001</v>
      </c>
      <c r="O884" s="394">
        <v>92.404357910000002</v>
      </c>
      <c r="P884" s="394"/>
      <c r="Q884" s="394"/>
      <c r="R884" s="429"/>
      <c r="S884" s="422"/>
      <c r="T884" s="397">
        <v>43300</v>
      </c>
      <c r="U884" s="396"/>
      <c r="V884" s="394"/>
      <c r="W884" s="418"/>
      <c r="X884" s="539"/>
      <c r="Y884" s="539"/>
      <c r="Z884" s="539"/>
    </row>
    <row r="885" spans="1:26" ht="14.25" customHeight="1">
      <c r="A885" s="418" t="s">
        <v>2705</v>
      </c>
      <c r="B885" s="563" t="s">
        <v>309</v>
      </c>
      <c r="C885" s="562" t="s">
        <v>2048</v>
      </c>
      <c r="D885" s="470"/>
      <c r="E885" s="394">
        <v>197940</v>
      </c>
      <c r="F885" s="394"/>
      <c r="G885" s="394"/>
      <c r="H885" s="394"/>
      <c r="I885" s="394"/>
      <c r="J885" s="394" t="s">
        <v>798</v>
      </c>
      <c r="K885" s="394" t="s">
        <v>798</v>
      </c>
      <c r="L885" s="394" t="s">
        <v>798</v>
      </c>
      <c r="M885" s="394" t="s">
        <v>795</v>
      </c>
      <c r="N885" s="394">
        <v>20.836729049999999</v>
      </c>
      <c r="O885" s="394">
        <v>92.350952149999998</v>
      </c>
      <c r="P885" s="394"/>
      <c r="Q885" s="394"/>
      <c r="R885" s="545"/>
      <c r="S885" s="422"/>
      <c r="T885" s="397">
        <v>43300</v>
      </c>
      <c r="U885" s="396"/>
      <c r="V885" s="394"/>
      <c r="W885" s="418"/>
      <c r="X885" s="539"/>
      <c r="Y885" s="539"/>
      <c r="Z885" s="539"/>
    </row>
    <row r="886" spans="1:26" ht="14.25" customHeight="1">
      <c r="A886" s="418" t="s">
        <v>2705</v>
      </c>
      <c r="B886" s="574" t="s">
        <v>309</v>
      </c>
      <c r="C886" s="575" t="s">
        <v>2047</v>
      </c>
      <c r="D886" s="544"/>
      <c r="E886" s="394">
        <v>197940</v>
      </c>
      <c r="F886" s="394"/>
      <c r="G886" s="394"/>
      <c r="H886" s="394"/>
      <c r="I886" s="394"/>
      <c r="J886" s="394" t="s">
        <v>798</v>
      </c>
      <c r="K886" s="394" t="s">
        <v>798</v>
      </c>
      <c r="L886" s="394" t="s">
        <v>798</v>
      </c>
      <c r="M886" s="394" t="s">
        <v>795</v>
      </c>
      <c r="N886" s="394">
        <v>20.836729049999999</v>
      </c>
      <c r="O886" s="394">
        <v>92.350952149999998</v>
      </c>
      <c r="P886" s="394"/>
      <c r="Q886" s="394"/>
      <c r="R886" s="553"/>
      <c r="S886" s="422"/>
      <c r="T886" s="397">
        <v>43300</v>
      </c>
      <c r="U886" s="396"/>
      <c r="V886" s="394"/>
      <c r="W886" s="418"/>
      <c r="X886" s="539"/>
      <c r="Y886" s="539"/>
      <c r="Z886" s="539"/>
    </row>
    <row r="887" spans="1:26" ht="14.25" customHeight="1">
      <c r="A887" s="418" t="s">
        <v>2705</v>
      </c>
      <c r="B887" s="574" t="s">
        <v>309</v>
      </c>
      <c r="C887" s="575" t="s">
        <v>2045</v>
      </c>
      <c r="D887" s="544"/>
      <c r="E887" s="543">
        <v>197940</v>
      </c>
      <c r="F887" s="418"/>
      <c r="G887" s="418"/>
      <c r="H887" s="418"/>
      <c r="I887" s="418"/>
      <c r="J887" s="394" t="s">
        <v>798</v>
      </c>
      <c r="K887" s="394" t="s">
        <v>798</v>
      </c>
      <c r="L887" s="394" t="s">
        <v>798</v>
      </c>
      <c r="M887" s="418" t="s">
        <v>795</v>
      </c>
      <c r="N887" s="418">
        <v>20.836729049999999</v>
      </c>
      <c r="O887" s="418">
        <v>92.350952149999998</v>
      </c>
      <c r="P887" s="394"/>
      <c r="Q887" s="418"/>
      <c r="R887" s="553"/>
      <c r="S887" s="422"/>
      <c r="T887" s="441">
        <v>43300</v>
      </c>
      <c r="U887" s="423"/>
      <c r="V887" s="418"/>
      <c r="W887" s="418"/>
      <c r="X887" s="539"/>
      <c r="Y887" s="539"/>
      <c r="Z887" s="539"/>
    </row>
    <row r="888" spans="1:26" ht="14.25" customHeight="1">
      <c r="A888" s="418" t="s">
        <v>2705</v>
      </c>
      <c r="B888" s="440" t="s">
        <v>309</v>
      </c>
      <c r="C888" s="439" t="s">
        <v>2114</v>
      </c>
      <c r="D888" s="470"/>
      <c r="E888" s="418">
        <v>197940</v>
      </c>
      <c r="F888" s="418"/>
      <c r="G888" s="418"/>
      <c r="H888" s="418"/>
      <c r="I888" s="418"/>
      <c r="J888" s="394" t="s">
        <v>798</v>
      </c>
      <c r="K888" s="418" t="s">
        <v>798</v>
      </c>
      <c r="L888" s="418" t="s">
        <v>798</v>
      </c>
      <c r="M888" s="418" t="s">
        <v>683</v>
      </c>
      <c r="N888" s="418">
        <v>20.836729049999999</v>
      </c>
      <c r="O888" s="418">
        <v>92.350952149999998</v>
      </c>
      <c r="P888" s="394"/>
      <c r="Q888" s="418"/>
      <c r="R888" s="421"/>
      <c r="S888" s="422"/>
      <c r="T888" s="441">
        <v>43300</v>
      </c>
      <c r="U888" s="423"/>
      <c r="V888" s="418"/>
      <c r="W888" s="418"/>
      <c r="X888" s="539"/>
      <c r="Y888" s="539"/>
      <c r="Z888" s="539"/>
    </row>
    <row r="889" spans="1:26" ht="14.25" customHeight="1">
      <c r="A889" s="418" t="s">
        <v>2705</v>
      </c>
      <c r="B889" s="440" t="s">
        <v>309</v>
      </c>
      <c r="C889" s="439" t="s">
        <v>2095</v>
      </c>
      <c r="D889" s="470"/>
      <c r="E889" s="394">
        <v>197933</v>
      </c>
      <c r="F889" s="394"/>
      <c r="G889" s="394"/>
      <c r="H889" s="394"/>
      <c r="I889" s="394"/>
      <c r="J889" s="394" t="s">
        <v>798</v>
      </c>
      <c r="K889" s="394" t="s">
        <v>798</v>
      </c>
      <c r="L889" s="394" t="s">
        <v>798</v>
      </c>
      <c r="M889" s="394" t="s">
        <v>795</v>
      </c>
      <c r="N889" s="394">
        <v>20.85235977</v>
      </c>
      <c r="O889" s="418">
        <v>92.352790830000004</v>
      </c>
      <c r="P889" s="394"/>
      <c r="Q889" s="394"/>
      <c r="R889" s="421"/>
      <c r="S889" s="422"/>
      <c r="T889" s="397">
        <v>43300</v>
      </c>
      <c r="U889" s="396"/>
      <c r="V889" s="394"/>
      <c r="W889" s="418"/>
      <c r="X889" s="539"/>
      <c r="Y889" s="539"/>
      <c r="Z889" s="539"/>
    </row>
    <row r="890" spans="1:26" ht="14.25" customHeight="1">
      <c r="A890" s="418" t="s">
        <v>2705</v>
      </c>
      <c r="B890" s="440" t="s">
        <v>309</v>
      </c>
      <c r="C890" s="439" t="s">
        <v>688</v>
      </c>
      <c r="D890" s="470" t="s">
        <v>1654</v>
      </c>
      <c r="E890" s="394" t="s">
        <v>1404</v>
      </c>
      <c r="F890" s="394"/>
      <c r="G890" s="394"/>
      <c r="H890" s="394" t="s">
        <v>42</v>
      </c>
      <c r="I890" s="394"/>
      <c r="J890" s="394" t="s">
        <v>798</v>
      </c>
      <c r="K890" s="394" t="s">
        <v>798</v>
      </c>
      <c r="L890" s="394" t="s">
        <v>1654</v>
      </c>
      <c r="M890" s="394" t="s">
        <v>795</v>
      </c>
      <c r="N890" s="394">
        <v>21.066663999999999</v>
      </c>
      <c r="O890" s="394">
        <v>92.338031000000001</v>
      </c>
      <c r="P890" s="394" t="s">
        <v>761</v>
      </c>
      <c r="Q890" s="394" t="s">
        <v>780</v>
      </c>
      <c r="R890" s="421"/>
      <c r="S890" s="422"/>
      <c r="T890" s="397">
        <v>43248</v>
      </c>
      <c r="U890" s="396" t="s">
        <v>1901</v>
      </c>
      <c r="V890" s="394"/>
      <c r="W890" s="418"/>
      <c r="X890" s="539"/>
      <c r="Y890" s="539"/>
      <c r="Z890" s="539"/>
    </row>
    <row r="891" spans="1:26" ht="14.25" customHeight="1">
      <c r="A891" s="539" t="s">
        <v>2705</v>
      </c>
      <c r="B891" s="574" t="s">
        <v>309</v>
      </c>
      <c r="C891" s="575" t="s">
        <v>2019</v>
      </c>
      <c r="D891" s="420"/>
      <c r="E891" s="539">
        <v>197830</v>
      </c>
      <c r="F891" s="539" t="s">
        <v>2015</v>
      </c>
      <c r="G891" s="539"/>
      <c r="H891" s="539"/>
      <c r="I891" s="539"/>
      <c r="J891" s="539" t="s">
        <v>798</v>
      </c>
      <c r="K891" s="539" t="s">
        <v>798</v>
      </c>
      <c r="L891" s="539" t="s">
        <v>798</v>
      </c>
      <c r="M891" s="539" t="s">
        <v>298</v>
      </c>
      <c r="N891" s="539">
        <v>21.218200679999999</v>
      </c>
      <c r="O891" s="539">
        <v>92.323173519999997</v>
      </c>
      <c r="P891" s="539" t="s">
        <v>799</v>
      </c>
      <c r="Q891" s="539"/>
      <c r="R891" s="553"/>
      <c r="S891" s="546"/>
      <c r="T891" s="565">
        <v>43294</v>
      </c>
      <c r="U891" s="547" t="s">
        <v>2013</v>
      </c>
      <c r="V891" s="539"/>
      <c r="W891" s="539"/>
      <c r="X891" s="539"/>
      <c r="Y891" s="539"/>
      <c r="Z891" s="539"/>
    </row>
    <row r="892" spans="1:26" ht="14.25" customHeight="1">
      <c r="A892" s="418" t="s">
        <v>2705</v>
      </c>
      <c r="B892" s="574" t="s">
        <v>309</v>
      </c>
      <c r="C892" s="575" t="s">
        <v>2107</v>
      </c>
      <c r="D892" s="544"/>
      <c r="E892" s="394">
        <v>197835</v>
      </c>
      <c r="F892" s="418"/>
      <c r="G892" s="394"/>
      <c r="H892" s="394"/>
      <c r="I892" s="394"/>
      <c r="J892" s="394" t="s">
        <v>798</v>
      </c>
      <c r="K892" s="394" t="s">
        <v>798</v>
      </c>
      <c r="L892" s="394" t="s">
        <v>798</v>
      </c>
      <c r="M892" s="394" t="s">
        <v>298</v>
      </c>
      <c r="N892" s="394">
        <v>21.218610760000001</v>
      </c>
      <c r="O892" s="394">
        <v>92.300231929999995</v>
      </c>
      <c r="P892" s="394"/>
      <c r="Q892" s="394"/>
      <c r="R892" s="553"/>
      <c r="S892" s="422"/>
      <c r="T892" s="397">
        <v>43300</v>
      </c>
      <c r="U892" s="396"/>
      <c r="V892" s="394"/>
      <c r="W892" s="418"/>
      <c r="X892" s="539"/>
      <c r="Y892" s="539"/>
      <c r="Z892" s="539"/>
    </row>
    <row r="893" spans="1:26" ht="14.25" customHeight="1">
      <c r="A893" s="546" t="s">
        <v>2705</v>
      </c>
      <c r="B893" s="445" t="s">
        <v>309</v>
      </c>
      <c r="C893" s="575" t="s">
        <v>2887</v>
      </c>
      <c r="D893" s="420"/>
      <c r="E893" s="394">
        <v>198002</v>
      </c>
      <c r="F893" s="418" t="s">
        <v>2891</v>
      </c>
      <c r="G893" s="394"/>
      <c r="H893" s="394"/>
      <c r="I893" s="394"/>
      <c r="J893" s="394" t="s">
        <v>798</v>
      </c>
      <c r="K893" s="418" t="s">
        <v>798</v>
      </c>
      <c r="L893" s="418" t="s">
        <v>798</v>
      </c>
      <c r="M893" s="394" t="s">
        <v>795</v>
      </c>
      <c r="N893" s="394">
        <v>20.7818698883057</v>
      </c>
      <c r="O893" s="394">
        <v>92.393142700195298</v>
      </c>
      <c r="P893" s="394" t="s">
        <v>799</v>
      </c>
      <c r="Q893" s="394" t="s">
        <v>780</v>
      </c>
      <c r="R893" s="429"/>
      <c r="S893" s="422"/>
      <c r="T893" s="397"/>
      <c r="U893" s="553"/>
      <c r="V893" s="543" t="s">
        <v>594</v>
      </c>
      <c r="W893" s="545"/>
      <c r="X893" s="539"/>
      <c r="Y893" s="539"/>
      <c r="Z893" s="539"/>
    </row>
    <row r="894" spans="1:26" ht="14.25" customHeight="1">
      <c r="A894" s="418" t="s">
        <v>2705</v>
      </c>
      <c r="B894" s="440" t="s">
        <v>309</v>
      </c>
      <c r="C894" s="439" t="s">
        <v>2071</v>
      </c>
      <c r="D894" s="470"/>
      <c r="E894" s="539" t="s">
        <v>2116</v>
      </c>
      <c r="F894" s="394"/>
      <c r="G894" s="394"/>
      <c r="H894" s="394"/>
      <c r="I894" s="394"/>
      <c r="J894" s="394" t="s">
        <v>798</v>
      </c>
      <c r="K894" s="394" t="s">
        <v>798</v>
      </c>
      <c r="L894" s="394" t="s">
        <v>798</v>
      </c>
      <c r="M894" s="394" t="s">
        <v>298</v>
      </c>
      <c r="N894" s="394"/>
      <c r="O894" s="394"/>
      <c r="P894" s="394"/>
      <c r="Q894" s="394"/>
      <c r="R894" s="421"/>
      <c r="S894" s="422"/>
      <c r="T894" s="397">
        <v>43300</v>
      </c>
      <c r="U894" s="396"/>
      <c r="V894" s="394"/>
      <c r="W894" s="418"/>
      <c r="X894" s="539"/>
      <c r="Y894" s="539"/>
      <c r="Z894" s="539"/>
    </row>
    <row r="895" spans="1:26" ht="14.25" customHeight="1">
      <c r="A895" s="418" t="s">
        <v>2705</v>
      </c>
      <c r="B895" s="563" t="s">
        <v>309</v>
      </c>
      <c r="C895" s="439" t="s">
        <v>2070</v>
      </c>
      <c r="D895" s="470"/>
      <c r="E895" s="539" t="s">
        <v>2117</v>
      </c>
      <c r="F895" s="539"/>
      <c r="G895" s="539"/>
      <c r="H895" s="539"/>
      <c r="I895" s="539"/>
      <c r="J895" s="539" t="s">
        <v>798</v>
      </c>
      <c r="K895" s="539" t="s">
        <v>798</v>
      </c>
      <c r="L895" s="539" t="s">
        <v>798</v>
      </c>
      <c r="M895" s="539" t="s">
        <v>298</v>
      </c>
      <c r="N895" s="539"/>
      <c r="O895" s="539"/>
      <c r="P895" s="394"/>
      <c r="Q895" s="539"/>
      <c r="R895" s="545"/>
      <c r="S895" s="546"/>
      <c r="T895" s="565">
        <v>43300</v>
      </c>
      <c r="U895" s="547"/>
      <c r="V895" s="539"/>
      <c r="W895" s="418"/>
      <c r="X895" s="539"/>
      <c r="Y895" s="539"/>
      <c r="Z895" s="539"/>
    </row>
    <row r="896" spans="1:26" ht="14.25" customHeight="1">
      <c r="A896" s="418" t="s">
        <v>2705</v>
      </c>
      <c r="B896" s="440" t="s">
        <v>309</v>
      </c>
      <c r="C896" s="439" t="s">
        <v>2069</v>
      </c>
      <c r="D896" s="470"/>
      <c r="E896" s="418" t="s">
        <v>2118</v>
      </c>
      <c r="F896" s="418"/>
      <c r="G896" s="394"/>
      <c r="H896" s="394"/>
      <c r="I896" s="418"/>
      <c r="J896" s="394" t="s">
        <v>798</v>
      </c>
      <c r="K896" s="394" t="s">
        <v>798</v>
      </c>
      <c r="L896" s="418" t="s">
        <v>798</v>
      </c>
      <c r="M896" s="394" t="s">
        <v>298</v>
      </c>
      <c r="N896" s="394"/>
      <c r="O896" s="394"/>
      <c r="P896" s="394"/>
      <c r="Q896" s="394"/>
      <c r="R896" s="421"/>
      <c r="S896" s="422"/>
      <c r="T896" s="397">
        <v>43300</v>
      </c>
      <c r="U896" s="396"/>
      <c r="V896" s="394"/>
      <c r="W896" s="418"/>
      <c r="X896" s="539"/>
      <c r="Y896" s="539"/>
      <c r="Z896" s="539"/>
    </row>
    <row r="897" spans="1:26" ht="14.25" customHeight="1">
      <c r="A897" s="418" t="s">
        <v>2705</v>
      </c>
      <c r="B897" s="563" t="s">
        <v>309</v>
      </c>
      <c r="C897" s="562" t="s">
        <v>2068</v>
      </c>
      <c r="D897" s="470"/>
      <c r="E897" s="418" t="s">
        <v>2119</v>
      </c>
      <c r="F897" s="418"/>
      <c r="G897" s="418"/>
      <c r="H897" s="418"/>
      <c r="I897" s="418"/>
      <c r="J897" s="418" t="s">
        <v>798</v>
      </c>
      <c r="K897" s="418" t="s">
        <v>798</v>
      </c>
      <c r="L897" s="418" t="s">
        <v>798</v>
      </c>
      <c r="M897" s="418" t="s">
        <v>298</v>
      </c>
      <c r="N897" s="418"/>
      <c r="O897" s="418"/>
      <c r="P897" s="418"/>
      <c r="Q897" s="418"/>
      <c r="R897" s="545"/>
      <c r="S897" s="422"/>
      <c r="T897" s="441">
        <v>43300</v>
      </c>
      <c r="U897" s="423"/>
      <c r="V897" s="418"/>
      <c r="W897" s="418"/>
      <c r="X897" s="539"/>
      <c r="Y897" s="539"/>
      <c r="Z897" s="539"/>
    </row>
    <row r="898" spans="1:26" ht="14.25" customHeight="1">
      <c r="A898" s="418" t="s">
        <v>2705</v>
      </c>
      <c r="B898" s="563" t="s">
        <v>309</v>
      </c>
      <c r="C898" s="562" t="s">
        <v>1909</v>
      </c>
      <c r="D898" s="470"/>
      <c r="E898" s="418">
        <v>198016</v>
      </c>
      <c r="F898" s="418"/>
      <c r="G898" s="418"/>
      <c r="H898" s="418"/>
      <c r="I898" s="418"/>
      <c r="J898" s="418" t="s">
        <v>798</v>
      </c>
      <c r="K898" s="418" t="s">
        <v>798</v>
      </c>
      <c r="L898" s="418" t="s">
        <v>798</v>
      </c>
      <c r="M898" s="418" t="s">
        <v>298</v>
      </c>
      <c r="N898" s="418">
        <v>20.731571200000001</v>
      </c>
      <c r="O898" s="418">
        <v>92.428176879999995</v>
      </c>
      <c r="P898" s="418" t="s">
        <v>799</v>
      </c>
      <c r="Q898" s="418" t="s">
        <v>1908</v>
      </c>
      <c r="R898" s="545"/>
      <c r="S898" s="422"/>
      <c r="T898" s="441">
        <v>43245</v>
      </c>
      <c r="U898" s="423"/>
      <c r="V898" s="418"/>
      <c r="W898" s="418"/>
      <c r="X898" s="539"/>
      <c r="Y898" s="539"/>
      <c r="Z898" s="539"/>
    </row>
    <row r="899" spans="1:26" ht="14.25" customHeight="1">
      <c r="A899" s="478" t="s">
        <v>2705</v>
      </c>
      <c r="B899" s="479" t="s">
        <v>309</v>
      </c>
      <c r="C899" s="488" t="s">
        <v>2748</v>
      </c>
      <c r="D899" s="420"/>
      <c r="E899" s="480">
        <v>198085</v>
      </c>
      <c r="F899" s="480" t="s">
        <v>2734</v>
      </c>
      <c r="G899" s="480"/>
      <c r="H899" s="480"/>
      <c r="I899" s="480"/>
      <c r="J899" s="480" t="s">
        <v>2714</v>
      </c>
      <c r="K899" s="480" t="s">
        <v>2676</v>
      </c>
      <c r="L899" s="480" t="s">
        <v>2676</v>
      </c>
      <c r="M899" s="480"/>
      <c r="N899" s="480">
        <v>20.4804992675781</v>
      </c>
      <c r="O899" s="569">
        <v>92.611358642578097</v>
      </c>
      <c r="P899" s="480"/>
      <c r="Q899" s="480" t="s">
        <v>2681</v>
      </c>
      <c r="R899" s="481"/>
      <c r="S899" s="478"/>
      <c r="T899" s="482">
        <v>43580</v>
      </c>
      <c r="U899" s="483" t="s">
        <v>2735</v>
      </c>
      <c r="V899" s="484"/>
      <c r="W899" s="545"/>
      <c r="X899" s="539"/>
      <c r="Y899" s="539"/>
      <c r="Z899" s="539"/>
    </row>
    <row r="900" spans="1:26" ht="14.25" customHeight="1">
      <c r="A900" s="418" t="s">
        <v>2705</v>
      </c>
      <c r="B900" s="440" t="s">
        <v>309</v>
      </c>
      <c r="C900" s="439" t="s">
        <v>1746</v>
      </c>
      <c r="D900" s="470"/>
      <c r="E900" s="394">
        <v>197917</v>
      </c>
      <c r="F900" s="418"/>
      <c r="G900" s="394"/>
      <c r="H900" s="394"/>
      <c r="I900" s="394"/>
      <c r="J900" s="394" t="s">
        <v>798</v>
      </c>
      <c r="K900" s="394" t="s">
        <v>798</v>
      </c>
      <c r="L900" s="418" t="s">
        <v>798</v>
      </c>
      <c r="M900" s="394" t="s">
        <v>298</v>
      </c>
      <c r="N900" s="394">
        <v>20.943050379999999</v>
      </c>
      <c r="O900" s="394">
        <v>92.315856929999995</v>
      </c>
      <c r="P900" s="394"/>
      <c r="Q900" s="394"/>
      <c r="R900" s="421"/>
      <c r="S900" s="422"/>
      <c r="T900" s="397">
        <v>43300</v>
      </c>
      <c r="U900" s="396"/>
      <c r="V900" s="394"/>
      <c r="W900" s="418"/>
      <c r="X900" s="539"/>
      <c r="Y900" s="539"/>
      <c r="Z900" s="539"/>
    </row>
    <row r="901" spans="1:26" ht="14.25" customHeight="1">
      <c r="A901" s="418" t="s">
        <v>2705</v>
      </c>
      <c r="B901" s="574" t="s">
        <v>309</v>
      </c>
      <c r="C901" s="575" t="s">
        <v>2752</v>
      </c>
      <c r="D901" s="544"/>
      <c r="E901" s="394">
        <v>220747</v>
      </c>
      <c r="F901" s="418"/>
      <c r="G901" s="394"/>
      <c r="H901" s="394"/>
      <c r="I901" s="394"/>
      <c r="J901" s="394" t="s">
        <v>798</v>
      </c>
      <c r="K901" s="394" t="s">
        <v>798</v>
      </c>
      <c r="L901" s="394" t="s">
        <v>798</v>
      </c>
      <c r="M901" s="394" t="s">
        <v>2091</v>
      </c>
      <c r="N901" s="394">
        <v>21.153581620000001</v>
      </c>
      <c r="O901" s="394">
        <v>92.250885010000005</v>
      </c>
      <c r="P901" s="394" t="s">
        <v>799</v>
      </c>
      <c r="Q901" s="394"/>
      <c r="R901" s="553"/>
      <c r="S901" s="422"/>
      <c r="T901" s="397">
        <v>43300</v>
      </c>
      <c r="U901" s="396"/>
      <c r="V901" s="394"/>
      <c r="W901" s="418"/>
      <c r="X901" s="539"/>
      <c r="Y901" s="539"/>
      <c r="Z901" s="539"/>
    </row>
    <row r="902" spans="1:26" ht="14.25" customHeight="1">
      <c r="A902" s="418" t="s">
        <v>2705</v>
      </c>
      <c r="B902" s="440" t="s">
        <v>309</v>
      </c>
      <c r="C902" s="439" t="s">
        <v>2751</v>
      </c>
      <c r="D902" s="470"/>
      <c r="E902" s="543">
        <v>220747</v>
      </c>
      <c r="F902" s="394" t="s">
        <v>2016</v>
      </c>
      <c r="G902" s="394"/>
      <c r="H902" s="394"/>
      <c r="I902" s="394"/>
      <c r="J902" s="394" t="s">
        <v>798</v>
      </c>
      <c r="K902" s="418" t="s">
        <v>798</v>
      </c>
      <c r="L902" s="418" t="s">
        <v>798</v>
      </c>
      <c r="M902" s="394" t="s">
        <v>298</v>
      </c>
      <c r="N902" s="394">
        <v>21.153581620000001</v>
      </c>
      <c r="O902" s="394">
        <v>92.250885010000005</v>
      </c>
      <c r="P902" s="394" t="s">
        <v>799</v>
      </c>
      <c r="Q902" s="394"/>
      <c r="R902" s="545"/>
      <c r="S902" s="546"/>
      <c r="T902" s="397">
        <v>43294</v>
      </c>
      <c r="U902" s="396" t="s">
        <v>2013</v>
      </c>
      <c r="V902" s="394"/>
      <c r="W902" s="418"/>
      <c r="X902" s="539"/>
      <c r="Y902" s="539"/>
      <c r="Z902" s="539"/>
    </row>
    <row r="903" spans="1:26" ht="14.25" customHeight="1">
      <c r="A903" s="418" t="s">
        <v>2705</v>
      </c>
      <c r="B903" s="574" t="s">
        <v>309</v>
      </c>
      <c r="C903" s="439" t="s">
        <v>2058</v>
      </c>
      <c r="D903" s="471"/>
      <c r="E903" s="543">
        <v>197957</v>
      </c>
      <c r="F903" s="543"/>
      <c r="G903" s="543"/>
      <c r="H903" s="543"/>
      <c r="I903" s="543"/>
      <c r="J903" s="543" t="s">
        <v>798</v>
      </c>
      <c r="K903" s="543" t="s">
        <v>798</v>
      </c>
      <c r="L903" s="543" t="s">
        <v>798</v>
      </c>
      <c r="M903" s="543" t="s">
        <v>795</v>
      </c>
      <c r="N903" s="543">
        <v>20.900329589999998</v>
      </c>
      <c r="O903" s="543">
        <v>92.362213130000001</v>
      </c>
      <c r="P903" s="394"/>
      <c r="Q903" s="543"/>
      <c r="R903" s="554"/>
      <c r="S903" s="550"/>
      <c r="T903" s="566">
        <v>43300</v>
      </c>
      <c r="U903" s="551"/>
      <c r="V903" s="543"/>
      <c r="W903" s="418"/>
      <c r="X903" s="539"/>
      <c r="Y903" s="539"/>
      <c r="Z903" s="539"/>
    </row>
    <row r="904" spans="1:26" ht="14.25" customHeight="1">
      <c r="A904" s="418" t="s">
        <v>2705</v>
      </c>
      <c r="B904" s="440" t="s">
        <v>309</v>
      </c>
      <c r="C904" s="439" t="s">
        <v>691</v>
      </c>
      <c r="D904" s="470" t="s">
        <v>1654</v>
      </c>
      <c r="E904" s="418">
        <v>220722</v>
      </c>
      <c r="F904" s="418"/>
      <c r="G904" s="394"/>
      <c r="H904" s="394"/>
      <c r="I904" s="394"/>
      <c r="J904" s="394" t="s">
        <v>798</v>
      </c>
      <c r="K904" s="418" t="s">
        <v>798</v>
      </c>
      <c r="L904" s="418" t="s">
        <v>798</v>
      </c>
      <c r="M904" s="394" t="s">
        <v>795</v>
      </c>
      <c r="N904" s="394">
        <v>21.200752260000002</v>
      </c>
      <c r="O904" s="394">
        <v>92.309303279999995</v>
      </c>
      <c r="P904" s="394" t="s">
        <v>799</v>
      </c>
      <c r="Q904" s="394" t="s">
        <v>780</v>
      </c>
      <c r="R904" s="421"/>
      <c r="S904" s="422"/>
      <c r="T904" s="397"/>
      <c r="U904" s="396"/>
      <c r="V904" s="394" t="s">
        <v>959</v>
      </c>
      <c r="W904" s="418"/>
      <c r="X904" s="539"/>
      <c r="Y904" s="539"/>
      <c r="Z904" s="539"/>
    </row>
    <row r="905" spans="1:26" ht="14.25" customHeight="1">
      <c r="A905" s="418" t="s">
        <v>2705</v>
      </c>
      <c r="B905" s="574" t="s">
        <v>309</v>
      </c>
      <c r="C905" s="575" t="s">
        <v>626</v>
      </c>
      <c r="D905" s="544" t="s">
        <v>1654</v>
      </c>
      <c r="E905" s="394" t="s">
        <v>1394</v>
      </c>
      <c r="F905" s="418"/>
      <c r="G905" s="394"/>
      <c r="H905" s="394" t="s">
        <v>42</v>
      </c>
      <c r="I905" s="394"/>
      <c r="J905" s="394" t="s">
        <v>798</v>
      </c>
      <c r="K905" s="418" t="s">
        <v>798</v>
      </c>
      <c r="L905" s="418" t="s">
        <v>1654</v>
      </c>
      <c r="M905" s="394" t="s">
        <v>795</v>
      </c>
      <c r="N905" s="394">
        <v>20.824517</v>
      </c>
      <c r="O905" s="394">
        <v>92.401293999999993</v>
      </c>
      <c r="P905" s="394" t="s">
        <v>761</v>
      </c>
      <c r="Q905" s="394"/>
      <c r="R905" s="553"/>
      <c r="S905" s="422"/>
      <c r="T905" s="397">
        <v>43248</v>
      </c>
      <c r="U905" s="396" t="s">
        <v>1901</v>
      </c>
      <c r="V905" s="394" t="s">
        <v>941</v>
      </c>
      <c r="W905" s="418"/>
      <c r="X905" s="539"/>
      <c r="Y905" s="539"/>
      <c r="Z905" s="539"/>
    </row>
    <row r="906" spans="1:26" ht="14.25" customHeight="1">
      <c r="A906" s="418" t="s">
        <v>2705</v>
      </c>
      <c r="B906" s="574" t="s">
        <v>309</v>
      </c>
      <c r="C906" s="575" t="s">
        <v>2060</v>
      </c>
      <c r="D906" s="544"/>
      <c r="E906" s="394">
        <v>197951</v>
      </c>
      <c r="F906" s="418"/>
      <c r="G906" s="394"/>
      <c r="H906" s="394"/>
      <c r="I906" s="394"/>
      <c r="J906" s="394" t="s">
        <v>798</v>
      </c>
      <c r="K906" s="418" t="s">
        <v>798</v>
      </c>
      <c r="L906" s="418" t="s">
        <v>798</v>
      </c>
      <c r="M906" s="394" t="s">
        <v>795</v>
      </c>
      <c r="N906" s="394">
        <v>20.905330660000001</v>
      </c>
      <c r="O906" s="394">
        <v>92.344802860000001</v>
      </c>
      <c r="P906" s="394"/>
      <c r="Q906" s="394"/>
      <c r="R906" s="553"/>
      <c r="S906" s="422"/>
      <c r="T906" s="397">
        <v>43300</v>
      </c>
      <c r="U906" s="396"/>
      <c r="V906" s="394"/>
      <c r="W906" s="418"/>
      <c r="X906" s="539"/>
      <c r="Y906" s="539"/>
      <c r="Z906" s="539"/>
    </row>
    <row r="907" spans="1:26" ht="14.25" customHeight="1">
      <c r="A907" s="418" t="s">
        <v>2705</v>
      </c>
      <c r="B907" s="574" t="s">
        <v>309</v>
      </c>
      <c r="C907" s="575" t="s">
        <v>2061</v>
      </c>
      <c r="D907" s="544"/>
      <c r="E907" s="394">
        <v>197952</v>
      </c>
      <c r="F907" s="394"/>
      <c r="G907" s="394"/>
      <c r="H907" s="394"/>
      <c r="I907" s="394"/>
      <c r="J907" s="394" t="s">
        <v>798</v>
      </c>
      <c r="K907" s="394" t="s">
        <v>798</v>
      </c>
      <c r="L907" s="394" t="s">
        <v>798</v>
      </c>
      <c r="M907" s="394" t="s">
        <v>795</v>
      </c>
      <c r="N907" s="394">
        <v>20.90098953</v>
      </c>
      <c r="O907" s="418">
        <v>92.355827329999997</v>
      </c>
      <c r="P907" s="394"/>
      <c r="Q907" s="394"/>
      <c r="R907" s="553"/>
      <c r="S907" s="422"/>
      <c r="T907" s="397">
        <v>43300</v>
      </c>
      <c r="U907" s="396"/>
      <c r="V907" s="394"/>
      <c r="W907" s="418"/>
      <c r="X907" s="539"/>
      <c r="Y907" s="539"/>
      <c r="Z907" s="539"/>
    </row>
    <row r="908" spans="1:26" ht="14.25" customHeight="1">
      <c r="A908" s="418" t="s">
        <v>2705</v>
      </c>
      <c r="B908" s="440" t="s">
        <v>309</v>
      </c>
      <c r="C908" s="439" t="s">
        <v>690</v>
      </c>
      <c r="D908" s="470" t="s">
        <v>1654</v>
      </c>
      <c r="E908" s="394">
        <v>197839</v>
      </c>
      <c r="F908" s="394"/>
      <c r="G908" s="394"/>
      <c r="H908" s="394"/>
      <c r="I908" s="394"/>
      <c r="J908" s="394" t="s">
        <v>798</v>
      </c>
      <c r="K908" s="394" t="s">
        <v>798</v>
      </c>
      <c r="L908" s="394" t="s">
        <v>798</v>
      </c>
      <c r="M908" s="394" t="s">
        <v>795</v>
      </c>
      <c r="N908" s="539">
        <v>21.18890953</v>
      </c>
      <c r="O908" s="539">
        <v>92.306762699999993</v>
      </c>
      <c r="P908" s="394" t="s">
        <v>799</v>
      </c>
      <c r="Q908" s="394" t="s">
        <v>780</v>
      </c>
      <c r="R908" s="421"/>
      <c r="S908" s="422"/>
      <c r="T908" s="397"/>
      <c r="U908" s="396"/>
      <c r="V908" s="394" t="s">
        <v>958</v>
      </c>
      <c r="W908" s="418"/>
      <c r="X908" s="539"/>
      <c r="Y908" s="539"/>
      <c r="Z908" s="539"/>
    </row>
    <row r="909" spans="1:26" ht="14.25" customHeight="1">
      <c r="A909" s="418" t="s">
        <v>2705</v>
      </c>
      <c r="B909" s="440" t="s">
        <v>309</v>
      </c>
      <c r="C909" s="439" t="s">
        <v>2076</v>
      </c>
      <c r="D909" s="470"/>
      <c r="E909" s="394"/>
      <c r="F909" s="418"/>
      <c r="G909" s="394"/>
      <c r="H909" s="394"/>
      <c r="I909" s="394"/>
      <c r="J909" s="394" t="s">
        <v>798</v>
      </c>
      <c r="K909" s="418" t="s">
        <v>798</v>
      </c>
      <c r="L909" s="418" t="s">
        <v>798</v>
      </c>
      <c r="M909" s="394" t="s">
        <v>2089</v>
      </c>
      <c r="N909" s="394"/>
      <c r="O909" s="394"/>
      <c r="P909" s="394"/>
      <c r="Q909" s="394"/>
      <c r="R909" s="421"/>
      <c r="S909" s="422"/>
      <c r="T909" s="397">
        <v>43300</v>
      </c>
      <c r="U909" s="396"/>
      <c r="V909" s="394"/>
      <c r="W909" s="418"/>
      <c r="X909" s="539"/>
      <c r="Y909" s="539"/>
      <c r="Z909" s="539"/>
    </row>
    <row r="910" spans="1:26" ht="14.25" customHeight="1">
      <c r="A910" s="418" t="s">
        <v>2705</v>
      </c>
      <c r="B910" s="440" t="s">
        <v>309</v>
      </c>
      <c r="C910" s="439" t="s">
        <v>2765</v>
      </c>
      <c r="D910" s="470"/>
      <c r="E910" s="394">
        <v>198101</v>
      </c>
      <c r="F910" s="418"/>
      <c r="G910" s="394"/>
      <c r="H910" s="394"/>
      <c r="I910" s="394"/>
      <c r="J910" s="394" t="s">
        <v>798</v>
      </c>
      <c r="K910" s="394" t="s">
        <v>798</v>
      </c>
      <c r="L910" s="394" t="s">
        <v>798</v>
      </c>
      <c r="M910" s="394" t="s">
        <v>2091</v>
      </c>
      <c r="N910" s="394">
        <v>21.177719119999999</v>
      </c>
      <c r="O910" s="394">
        <v>92.239547729999998</v>
      </c>
      <c r="P910" s="394"/>
      <c r="Q910" s="394"/>
      <c r="R910" s="549"/>
      <c r="S910" s="550"/>
      <c r="T910" s="397">
        <v>43300</v>
      </c>
      <c r="U910" s="396"/>
      <c r="V910" s="394"/>
      <c r="W910" s="418"/>
      <c r="X910" s="539"/>
      <c r="Y910" s="539"/>
      <c r="Z910" s="539"/>
    </row>
    <row r="911" spans="1:26" ht="14.25" customHeight="1">
      <c r="A911" s="418" t="s">
        <v>2705</v>
      </c>
      <c r="B911" s="440" t="s">
        <v>309</v>
      </c>
      <c r="C911" s="439" t="s">
        <v>2014</v>
      </c>
      <c r="D911" s="470"/>
      <c r="E911" s="394">
        <v>198101</v>
      </c>
      <c r="F911" s="394" t="s">
        <v>2016</v>
      </c>
      <c r="G911" s="394"/>
      <c r="H911" s="394"/>
      <c r="I911" s="394"/>
      <c r="J911" s="394" t="s">
        <v>798</v>
      </c>
      <c r="K911" s="394" t="s">
        <v>798</v>
      </c>
      <c r="L911" s="394" t="s">
        <v>798</v>
      </c>
      <c r="M911" s="394" t="s">
        <v>298</v>
      </c>
      <c r="N911" s="394">
        <v>21.177719119999999</v>
      </c>
      <c r="O911" s="394">
        <v>92.239547729999998</v>
      </c>
      <c r="P911" s="394" t="s">
        <v>799</v>
      </c>
      <c r="Q911" s="394"/>
      <c r="R911" s="421"/>
      <c r="S911" s="422"/>
      <c r="T911" s="397">
        <v>43294</v>
      </c>
      <c r="U911" s="396" t="s">
        <v>2013</v>
      </c>
      <c r="V911" s="394"/>
      <c r="W911" s="418"/>
      <c r="X911" s="539"/>
      <c r="Y911" s="539"/>
      <c r="Z911" s="539"/>
    </row>
    <row r="912" spans="1:26" ht="14.25" customHeight="1">
      <c r="A912" s="418" t="s">
        <v>2705</v>
      </c>
      <c r="B912" s="440" t="s">
        <v>309</v>
      </c>
      <c r="C912" s="439" t="s">
        <v>349</v>
      </c>
      <c r="D912" s="470" t="s">
        <v>1654</v>
      </c>
      <c r="E912" s="394"/>
      <c r="F912" s="394"/>
      <c r="G912" s="394"/>
      <c r="H912" s="394"/>
      <c r="I912" s="394"/>
      <c r="J912" s="394" t="s">
        <v>798</v>
      </c>
      <c r="K912" s="394" t="s">
        <v>798</v>
      </c>
      <c r="L912" s="394" t="s">
        <v>798</v>
      </c>
      <c r="M912" s="394" t="s">
        <v>298</v>
      </c>
      <c r="N912" s="418"/>
      <c r="O912" s="418"/>
      <c r="P912" s="394" t="s">
        <v>799</v>
      </c>
      <c r="Q912" s="394" t="s">
        <v>780</v>
      </c>
      <c r="R912" s="421"/>
      <c r="S912" s="422"/>
      <c r="T912" s="397"/>
      <c r="U912" s="396"/>
      <c r="V912" s="394" t="s">
        <v>349</v>
      </c>
      <c r="W912" s="418"/>
      <c r="X912" s="539"/>
      <c r="Y912" s="539"/>
      <c r="Z912" s="539"/>
    </row>
    <row r="913" spans="1:26" ht="14.25" customHeight="1">
      <c r="A913" s="418" t="s">
        <v>2705</v>
      </c>
      <c r="B913" s="440" t="s">
        <v>309</v>
      </c>
      <c r="C913" s="439" t="s">
        <v>350</v>
      </c>
      <c r="D913" s="470" t="s">
        <v>1654</v>
      </c>
      <c r="E913" s="394"/>
      <c r="F913" s="394"/>
      <c r="G913" s="394"/>
      <c r="H913" s="394"/>
      <c r="I913" s="394"/>
      <c r="J913" s="394" t="s">
        <v>798</v>
      </c>
      <c r="K913" s="394" t="s">
        <v>798</v>
      </c>
      <c r="L913" s="394" t="s">
        <v>798</v>
      </c>
      <c r="M913" s="394" t="s">
        <v>795</v>
      </c>
      <c r="N913" s="394"/>
      <c r="O913" s="394"/>
      <c r="P913" s="394" t="s">
        <v>799</v>
      </c>
      <c r="Q913" s="394" t="s">
        <v>780</v>
      </c>
      <c r="R913" s="421"/>
      <c r="S913" s="422"/>
      <c r="T913" s="397"/>
      <c r="U913" s="396"/>
      <c r="V913" s="394" t="s">
        <v>350</v>
      </c>
      <c r="W913" s="418"/>
      <c r="X913" s="539"/>
      <c r="Y913" s="539"/>
      <c r="Z913" s="539"/>
    </row>
    <row r="914" spans="1:26" ht="14.25" customHeight="1">
      <c r="A914" s="418" t="s">
        <v>2705</v>
      </c>
      <c r="B914" s="440" t="s">
        <v>309</v>
      </c>
      <c r="C914" s="439" t="s">
        <v>351</v>
      </c>
      <c r="D914" s="470" t="s">
        <v>1654</v>
      </c>
      <c r="E914" s="394"/>
      <c r="F914" s="418"/>
      <c r="G914" s="394"/>
      <c r="H914" s="394"/>
      <c r="I914" s="394"/>
      <c r="J914" s="394" t="s">
        <v>798</v>
      </c>
      <c r="K914" s="394" t="s">
        <v>798</v>
      </c>
      <c r="L914" s="394" t="s">
        <v>798</v>
      </c>
      <c r="M914" s="394" t="s">
        <v>795</v>
      </c>
      <c r="N914" s="539"/>
      <c r="O914" s="539"/>
      <c r="P914" s="394" t="s">
        <v>799</v>
      </c>
      <c r="Q914" s="394" t="s">
        <v>780</v>
      </c>
      <c r="R914" s="421"/>
      <c r="S914" s="422"/>
      <c r="T914" s="397"/>
      <c r="U914" s="396"/>
      <c r="V914" s="394" t="s">
        <v>351</v>
      </c>
      <c r="W914" s="418"/>
      <c r="X914" s="539"/>
      <c r="Y914" s="539"/>
      <c r="Z914" s="539"/>
    </row>
    <row r="915" spans="1:26" ht="14.25" customHeight="1">
      <c r="A915" s="539" t="s">
        <v>2705</v>
      </c>
      <c r="B915" s="563" t="s">
        <v>309</v>
      </c>
      <c r="C915" s="562" t="s">
        <v>2110</v>
      </c>
      <c r="D915" s="470"/>
      <c r="E915" s="539">
        <v>197825</v>
      </c>
      <c r="F915" s="539"/>
      <c r="G915" s="539"/>
      <c r="H915" s="539"/>
      <c r="I915" s="539"/>
      <c r="J915" s="539" t="s">
        <v>798</v>
      </c>
      <c r="K915" s="539" t="s">
        <v>798</v>
      </c>
      <c r="L915" s="539" t="s">
        <v>798</v>
      </c>
      <c r="M915" s="539" t="s">
        <v>2094</v>
      </c>
      <c r="N915" s="539">
        <v>21.239080430000001</v>
      </c>
      <c r="O915" s="539">
        <v>92.288932799999998</v>
      </c>
      <c r="P915" s="539"/>
      <c r="Q915" s="539"/>
      <c r="R915" s="545"/>
      <c r="S915" s="546"/>
      <c r="T915" s="565">
        <v>43300</v>
      </c>
      <c r="U915" s="547"/>
      <c r="V915" s="539"/>
      <c r="W915" s="539"/>
      <c r="X915" s="539"/>
      <c r="Y915" s="539"/>
      <c r="Z915" s="539"/>
    </row>
    <row r="916" spans="1:26" ht="14.25" customHeight="1">
      <c r="A916" s="418" t="s">
        <v>2705</v>
      </c>
      <c r="B916" s="440" t="s">
        <v>309</v>
      </c>
      <c r="C916" s="439" t="s">
        <v>352</v>
      </c>
      <c r="D916" s="470" t="s">
        <v>1654</v>
      </c>
      <c r="E916" s="418">
        <v>197826</v>
      </c>
      <c r="F916" s="394"/>
      <c r="G916" s="394"/>
      <c r="H916" s="418"/>
      <c r="I916" s="418"/>
      <c r="J916" s="418" t="s">
        <v>798</v>
      </c>
      <c r="K916" s="418" t="s">
        <v>798</v>
      </c>
      <c r="L916" s="418" t="s">
        <v>798</v>
      </c>
      <c r="M916" s="418" t="s">
        <v>2009</v>
      </c>
      <c r="N916" s="557"/>
      <c r="O916" s="557"/>
      <c r="P916" s="394" t="s">
        <v>799</v>
      </c>
      <c r="Q916" s="418" t="s">
        <v>780</v>
      </c>
      <c r="R916" s="421"/>
      <c r="S916" s="422"/>
      <c r="T916" s="441"/>
      <c r="U916" s="423"/>
      <c r="V916" s="394" t="s">
        <v>1147</v>
      </c>
      <c r="W916" s="418"/>
      <c r="X916" s="539"/>
      <c r="Y916" s="539"/>
      <c r="Z916" s="539"/>
    </row>
    <row r="917" spans="1:26" ht="14.25" customHeight="1">
      <c r="A917" s="539" t="s">
        <v>2705</v>
      </c>
      <c r="B917" s="563" t="s">
        <v>309</v>
      </c>
      <c r="C917" s="562" t="s">
        <v>2086</v>
      </c>
      <c r="D917" s="470"/>
      <c r="E917" s="539">
        <v>197930</v>
      </c>
      <c r="F917" s="539"/>
      <c r="G917" s="539"/>
      <c r="H917" s="539"/>
      <c r="I917" s="539"/>
      <c r="J917" s="394" t="s">
        <v>798</v>
      </c>
      <c r="K917" s="394" t="s">
        <v>798</v>
      </c>
      <c r="L917" s="394" t="s">
        <v>798</v>
      </c>
      <c r="M917" s="539" t="s">
        <v>795</v>
      </c>
      <c r="N917" s="539">
        <v>20.9400692</v>
      </c>
      <c r="O917" s="539">
        <v>92.337913510000007</v>
      </c>
      <c r="P917" s="539"/>
      <c r="Q917" s="539"/>
      <c r="R917" s="545"/>
      <c r="S917" s="546"/>
      <c r="T917" s="565">
        <v>43300</v>
      </c>
      <c r="U917" s="547"/>
      <c r="V917" s="539"/>
      <c r="W917" s="539"/>
      <c r="X917" s="539"/>
      <c r="Y917" s="539"/>
      <c r="Z917" s="539"/>
    </row>
    <row r="918" spans="1:26" ht="14.25" customHeight="1">
      <c r="A918" s="418" t="s">
        <v>2705</v>
      </c>
      <c r="B918" s="440" t="s">
        <v>309</v>
      </c>
      <c r="C918" s="439" t="s">
        <v>2104</v>
      </c>
      <c r="D918" s="470"/>
      <c r="E918" s="394">
        <v>220741</v>
      </c>
      <c r="F918" s="418"/>
      <c r="G918" s="394"/>
      <c r="H918" s="394"/>
      <c r="I918" s="394"/>
      <c r="J918" s="394" t="s">
        <v>798</v>
      </c>
      <c r="K918" s="394" t="s">
        <v>798</v>
      </c>
      <c r="L918" s="418" t="s">
        <v>798</v>
      </c>
      <c r="M918" s="394" t="s">
        <v>298</v>
      </c>
      <c r="N918" s="394">
        <v>20.680984500000001</v>
      </c>
      <c r="O918" s="394">
        <v>92.473495479999997</v>
      </c>
      <c r="P918" s="394"/>
      <c r="Q918" s="394"/>
      <c r="R918" s="421"/>
      <c r="S918" s="422"/>
      <c r="T918" s="397">
        <v>43300</v>
      </c>
      <c r="U918" s="396"/>
      <c r="V918" s="394"/>
      <c r="W918" s="418"/>
      <c r="X918" s="539"/>
      <c r="Y918" s="539"/>
      <c r="Z918" s="539"/>
    </row>
    <row r="919" spans="1:26" ht="14.25" customHeight="1">
      <c r="A919" s="418" t="s">
        <v>2705</v>
      </c>
      <c r="B919" s="440" t="s">
        <v>309</v>
      </c>
      <c r="C919" s="439" t="s">
        <v>355</v>
      </c>
      <c r="D919" s="470" t="s">
        <v>1654</v>
      </c>
      <c r="E919" s="418"/>
      <c r="F919" s="418"/>
      <c r="G919" s="418"/>
      <c r="H919" s="418"/>
      <c r="I919" s="418"/>
      <c r="J919" s="394" t="s">
        <v>798</v>
      </c>
      <c r="K919" s="394" t="s">
        <v>798</v>
      </c>
      <c r="L919" s="418" t="s">
        <v>798</v>
      </c>
      <c r="M919" s="394" t="s">
        <v>298</v>
      </c>
      <c r="N919" s="394"/>
      <c r="O919" s="394"/>
      <c r="P919" s="418" t="s">
        <v>799</v>
      </c>
      <c r="Q919" s="394" t="s">
        <v>780</v>
      </c>
      <c r="R919" s="421"/>
      <c r="S919" s="422"/>
      <c r="T919" s="397"/>
      <c r="U919" s="423"/>
      <c r="V919" s="418" t="s">
        <v>355</v>
      </c>
      <c r="W919" s="418"/>
      <c r="X919" s="539"/>
      <c r="Y919" s="539"/>
      <c r="Z919" s="539"/>
    </row>
    <row r="920" spans="1:26" ht="14.25" customHeight="1">
      <c r="A920" s="418" t="s">
        <v>2705</v>
      </c>
      <c r="B920" s="440" t="s">
        <v>309</v>
      </c>
      <c r="C920" s="439" t="s">
        <v>2573</v>
      </c>
      <c r="D920" s="470"/>
      <c r="E920" s="539">
        <v>220736</v>
      </c>
      <c r="F920" s="394" t="s">
        <v>2692</v>
      </c>
      <c r="G920" s="394"/>
      <c r="H920" s="394"/>
      <c r="I920" s="394"/>
      <c r="J920" s="394" t="s">
        <v>798</v>
      </c>
      <c r="K920" s="394" t="s">
        <v>798</v>
      </c>
      <c r="L920" s="394" t="s">
        <v>798</v>
      </c>
      <c r="M920" s="394" t="s">
        <v>298</v>
      </c>
      <c r="N920" s="394"/>
      <c r="O920" s="394"/>
      <c r="P920" s="394"/>
      <c r="Q920" s="394"/>
      <c r="R920" s="421"/>
      <c r="S920" s="422"/>
      <c r="T920" s="397"/>
      <c r="U920" s="396"/>
      <c r="V920" s="394"/>
      <c r="W920" s="418"/>
      <c r="X920" s="539"/>
      <c r="Y920" s="539"/>
      <c r="Z920" s="539"/>
    </row>
    <row r="921" spans="1:26" ht="14.25" customHeight="1">
      <c r="A921" s="418" t="s">
        <v>2705</v>
      </c>
      <c r="B921" s="440" t="s">
        <v>309</v>
      </c>
      <c r="C921" s="439" t="s">
        <v>636</v>
      </c>
      <c r="D921" s="470" t="s">
        <v>1654</v>
      </c>
      <c r="E921" s="539" t="s">
        <v>1398</v>
      </c>
      <c r="F921" s="418"/>
      <c r="G921" s="394"/>
      <c r="H921" s="394" t="s">
        <v>42</v>
      </c>
      <c r="I921" s="418"/>
      <c r="J921" s="394" t="s">
        <v>798</v>
      </c>
      <c r="K921" s="418" t="s">
        <v>798</v>
      </c>
      <c r="L921" s="418" t="s">
        <v>1654</v>
      </c>
      <c r="M921" s="394" t="s">
        <v>795</v>
      </c>
      <c r="N921" s="539">
        <v>20.833831</v>
      </c>
      <c r="O921" s="539">
        <v>92.416683000000006</v>
      </c>
      <c r="P921" s="394" t="s">
        <v>761</v>
      </c>
      <c r="Q921" s="394" t="s">
        <v>780</v>
      </c>
      <c r="R921" s="421"/>
      <c r="S921" s="422"/>
      <c r="T921" s="397">
        <v>43248</v>
      </c>
      <c r="U921" s="396" t="s">
        <v>1901</v>
      </c>
      <c r="V921" s="418"/>
      <c r="W921" s="418"/>
      <c r="X921" s="539"/>
      <c r="Y921" s="539"/>
      <c r="Z921" s="539"/>
    </row>
    <row r="922" spans="1:26" ht="14.25" customHeight="1">
      <c r="A922" s="418" t="s">
        <v>2705</v>
      </c>
      <c r="B922" s="440" t="s">
        <v>309</v>
      </c>
      <c r="C922" s="439" t="s">
        <v>1150</v>
      </c>
      <c r="D922" s="470" t="s">
        <v>1654</v>
      </c>
      <c r="E922" s="394"/>
      <c r="F922" s="394"/>
      <c r="G922" s="394"/>
      <c r="H922" s="394"/>
      <c r="I922" s="394"/>
      <c r="J922" s="394" t="s">
        <v>798</v>
      </c>
      <c r="K922" s="394" t="s">
        <v>798</v>
      </c>
      <c r="L922" s="394" t="s">
        <v>798</v>
      </c>
      <c r="M922" s="394" t="s">
        <v>795</v>
      </c>
      <c r="N922" s="433"/>
      <c r="O922" s="433"/>
      <c r="P922" s="418" t="s">
        <v>799</v>
      </c>
      <c r="Q922" s="394"/>
      <c r="R922" s="421"/>
      <c r="S922" s="422"/>
      <c r="T922" s="397"/>
      <c r="U922" s="396"/>
      <c r="V922" s="394" t="s">
        <v>1150</v>
      </c>
      <c r="W922" s="418"/>
      <c r="X922" s="539"/>
      <c r="Y922" s="539"/>
      <c r="Z922" s="539"/>
    </row>
    <row r="923" spans="1:26" ht="14.25" customHeight="1">
      <c r="A923" s="478" t="s">
        <v>2705</v>
      </c>
      <c r="B923" s="479" t="s">
        <v>309</v>
      </c>
      <c r="C923" s="488" t="s">
        <v>2746</v>
      </c>
      <c r="D923" s="544"/>
      <c r="E923" s="480">
        <v>197860</v>
      </c>
      <c r="F923" s="480" t="s">
        <v>2746</v>
      </c>
      <c r="G923" s="480"/>
      <c r="H923" s="480"/>
      <c r="I923" s="480"/>
      <c r="J923" s="480" t="s">
        <v>2714</v>
      </c>
      <c r="K923" s="480" t="s">
        <v>2676</v>
      </c>
      <c r="L923" s="480" t="s">
        <v>2676</v>
      </c>
      <c r="M923" s="480"/>
      <c r="N923" s="480">
        <v>21.1420993804932</v>
      </c>
      <c r="O923" s="480">
        <v>92.338172912597699</v>
      </c>
      <c r="P923" s="480"/>
      <c r="Q923" s="480" t="s">
        <v>2681</v>
      </c>
      <c r="R923" s="481"/>
      <c r="S923" s="478"/>
      <c r="T923" s="482">
        <v>43580</v>
      </c>
      <c r="U923" s="483" t="s">
        <v>2735</v>
      </c>
      <c r="V923" s="484"/>
      <c r="W923" s="545"/>
      <c r="X923" s="539"/>
      <c r="Y923" s="539"/>
      <c r="Z923" s="539"/>
    </row>
    <row r="924" spans="1:26" ht="14.25" customHeight="1">
      <c r="A924" s="418" t="s">
        <v>2705</v>
      </c>
      <c r="B924" s="440" t="s">
        <v>309</v>
      </c>
      <c r="C924" s="439" t="s">
        <v>2101</v>
      </c>
      <c r="D924" s="470"/>
      <c r="E924" s="394">
        <v>197861</v>
      </c>
      <c r="F924" s="394"/>
      <c r="G924" s="394"/>
      <c r="H924" s="394"/>
      <c r="I924" s="394"/>
      <c r="J924" s="394" t="s">
        <v>798</v>
      </c>
      <c r="K924" s="394" t="s">
        <v>798</v>
      </c>
      <c r="L924" s="394" t="s">
        <v>798</v>
      </c>
      <c r="M924" s="394" t="s">
        <v>2089</v>
      </c>
      <c r="N924" s="539">
        <v>21.131010060000001</v>
      </c>
      <c r="O924" s="539">
        <v>92.354011540000002</v>
      </c>
      <c r="P924" s="394"/>
      <c r="Q924" s="394"/>
      <c r="R924" s="421"/>
      <c r="S924" s="422"/>
      <c r="T924" s="397">
        <v>43300</v>
      </c>
      <c r="U924" s="396"/>
      <c r="V924" s="394"/>
      <c r="W924" s="418"/>
      <c r="X924" s="539"/>
      <c r="Y924" s="539"/>
      <c r="Z924" s="539"/>
    </row>
    <row r="925" spans="1:26" ht="14.25" customHeight="1">
      <c r="A925" s="478" t="s">
        <v>2705</v>
      </c>
      <c r="B925" s="479" t="s">
        <v>309</v>
      </c>
      <c r="C925" s="488" t="s">
        <v>2744</v>
      </c>
      <c r="D925" s="544"/>
      <c r="E925" s="480">
        <v>197841</v>
      </c>
      <c r="F925" s="480" t="s">
        <v>2744</v>
      </c>
      <c r="G925" s="480"/>
      <c r="H925" s="480"/>
      <c r="I925" s="480"/>
      <c r="J925" s="394" t="s">
        <v>798</v>
      </c>
      <c r="K925" s="394" t="s">
        <v>798</v>
      </c>
      <c r="L925" s="394" t="s">
        <v>798</v>
      </c>
      <c r="M925" s="480"/>
      <c r="N925" s="480">
        <v>21.2080974578857</v>
      </c>
      <c r="O925" s="480">
        <v>92.308609008789105</v>
      </c>
      <c r="P925" s="480"/>
      <c r="Q925" s="480" t="s">
        <v>2681</v>
      </c>
      <c r="R925" s="481"/>
      <c r="S925" s="478"/>
      <c r="T925" s="482">
        <v>43580</v>
      </c>
      <c r="U925" s="483" t="s">
        <v>2735</v>
      </c>
      <c r="V925" s="484"/>
      <c r="W925" s="545"/>
      <c r="X925" s="539"/>
      <c r="Y925" s="539"/>
      <c r="Z925" s="539"/>
    </row>
    <row r="926" spans="1:26" ht="14.25" customHeight="1">
      <c r="A926" s="418" t="s">
        <v>2705</v>
      </c>
      <c r="B926" s="440" t="s">
        <v>309</v>
      </c>
      <c r="C926" s="439" t="s">
        <v>2106</v>
      </c>
      <c r="D926" s="470"/>
      <c r="E926" s="394">
        <v>197842</v>
      </c>
      <c r="F926" s="539"/>
      <c r="G926" s="394"/>
      <c r="H926" s="394"/>
      <c r="I926" s="394"/>
      <c r="J926" s="394" t="s">
        <v>798</v>
      </c>
      <c r="K926" s="394" t="s">
        <v>798</v>
      </c>
      <c r="L926" s="394" t="s">
        <v>798</v>
      </c>
      <c r="M926" s="394" t="s">
        <v>2091</v>
      </c>
      <c r="N926" s="394">
        <v>21.210039139999999</v>
      </c>
      <c r="O926" s="394">
        <v>92.297286990000003</v>
      </c>
      <c r="P926" s="394"/>
      <c r="Q926" s="394"/>
      <c r="R926" s="421"/>
      <c r="S926" s="395"/>
      <c r="T926" s="397">
        <v>43300</v>
      </c>
      <c r="U926" s="396"/>
      <c r="V926" s="394"/>
      <c r="W926" s="418"/>
      <c r="X926" s="539"/>
      <c r="Y926" s="539"/>
      <c r="Z926" s="539"/>
    </row>
    <row r="927" spans="1:26" ht="14.25" customHeight="1">
      <c r="A927" s="418" t="s">
        <v>2705</v>
      </c>
      <c r="B927" s="440" t="s">
        <v>309</v>
      </c>
      <c r="C927" s="439" t="s">
        <v>686</v>
      </c>
      <c r="D927" s="470" t="s">
        <v>1654</v>
      </c>
      <c r="E927" s="394">
        <v>197867</v>
      </c>
      <c r="F927" s="394"/>
      <c r="G927" s="394"/>
      <c r="H927" s="394"/>
      <c r="I927" s="394"/>
      <c r="J927" s="394" t="s">
        <v>798</v>
      </c>
      <c r="K927" s="394" t="s">
        <v>798</v>
      </c>
      <c r="L927" s="394" t="s">
        <v>798</v>
      </c>
      <c r="M927" s="394" t="s">
        <v>795</v>
      </c>
      <c r="N927" s="394">
        <v>21.057630540000002</v>
      </c>
      <c r="O927" s="394">
        <v>92.340232850000007</v>
      </c>
      <c r="P927" s="394" t="s">
        <v>799</v>
      </c>
      <c r="Q927" s="394" t="s">
        <v>780</v>
      </c>
      <c r="R927" s="421"/>
      <c r="S927" s="422"/>
      <c r="T927" s="397"/>
      <c r="U927" s="396"/>
      <c r="V927" s="394" t="s">
        <v>686</v>
      </c>
      <c r="W927" s="418"/>
      <c r="X927" s="539"/>
      <c r="Y927" s="539"/>
      <c r="Z927" s="539"/>
    </row>
    <row r="928" spans="1:26" ht="14.25" customHeight="1">
      <c r="A928" s="539" t="s">
        <v>2705</v>
      </c>
      <c r="B928" s="563" t="s">
        <v>309</v>
      </c>
      <c r="C928" s="562" t="s">
        <v>677</v>
      </c>
      <c r="D928" s="470" t="s">
        <v>1654</v>
      </c>
      <c r="E928" s="543">
        <v>197893</v>
      </c>
      <c r="F928" s="539"/>
      <c r="G928" s="539"/>
      <c r="H928" s="539"/>
      <c r="I928" s="539"/>
      <c r="J928" s="394" t="s">
        <v>798</v>
      </c>
      <c r="K928" s="394" t="s">
        <v>798</v>
      </c>
      <c r="L928" s="394" t="s">
        <v>798</v>
      </c>
      <c r="M928" s="394" t="s">
        <v>298</v>
      </c>
      <c r="N928" s="394">
        <v>21.009420389999999</v>
      </c>
      <c r="O928" s="394">
        <v>92.318077090000003</v>
      </c>
      <c r="P928" s="394" t="s">
        <v>799</v>
      </c>
      <c r="Q928" s="539" t="s">
        <v>802</v>
      </c>
      <c r="R928" s="545"/>
      <c r="S928" s="546"/>
      <c r="T928" s="565">
        <v>42926</v>
      </c>
      <c r="U928" s="547" t="s">
        <v>803</v>
      </c>
      <c r="V928" s="394"/>
      <c r="W928" s="539"/>
      <c r="X928" s="539"/>
      <c r="Y928" s="539"/>
      <c r="Z928" s="539"/>
    </row>
    <row r="929" spans="1:26" ht="14.25" customHeight="1">
      <c r="A929" s="418" t="s">
        <v>2705</v>
      </c>
      <c r="B929" s="440" t="s">
        <v>309</v>
      </c>
      <c r="C929" s="439" t="s">
        <v>627</v>
      </c>
      <c r="D929" s="470" t="s">
        <v>1654</v>
      </c>
      <c r="E929" s="543">
        <v>197990</v>
      </c>
      <c r="F929" s="394"/>
      <c r="G929" s="394"/>
      <c r="H929" s="394"/>
      <c r="I929" s="394"/>
      <c r="J929" s="394" t="s">
        <v>798</v>
      </c>
      <c r="K929" s="394" t="s">
        <v>798</v>
      </c>
      <c r="L929" s="394" t="s">
        <v>798</v>
      </c>
      <c r="M929" s="394" t="s">
        <v>795</v>
      </c>
      <c r="N929" s="557">
        <v>20.824769969999998</v>
      </c>
      <c r="O929" s="557">
        <v>92.398788449999998</v>
      </c>
      <c r="P929" s="394" t="s">
        <v>799</v>
      </c>
      <c r="Q929" s="394" t="s">
        <v>780</v>
      </c>
      <c r="R929" s="421"/>
      <c r="S929" s="395"/>
      <c r="T929" s="397"/>
      <c r="U929" s="396"/>
      <c r="V929" s="394" t="s">
        <v>942</v>
      </c>
      <c r="W929" s="418"/>
      <c r="X929" s="539"/>
      <c r="Y929" s="539"/>
      <c r="Z929" s="539"/>
    </row>
    <row r="930" spans="1:26" ht="14.25" customHeight="1">
      <c r="A930" s="418" t="s">
        <v>2705</v>
      </c>
      <c r="B930" s="440" t="s">
        <v>309</v>
      </c>
      <c r="C930" s="439" t="s">
        <v>628</v>
      </c>
      <c r="D930" s="470" t="s">
        <v>1654</v>
      </c>
      <c r="E930" s="394">
        <v>197990</v>
      </c>
      <c r="F930" s="394"/>
      <c r="G930" s="394"/>
      <c r="H930" s="394"/>
      <c r="I930" s="394"/>
      <c r="J930" s="394" t="s">
        <v>798</v>
      </c>
      <c r="K930" s="394" t="s">
        <v>798</v>
      </c>
      <c r="L930" s="394" t="s">
        <v>798</v>
      </c>
      <c r="M930" s="394" t="s">
        <v>795</v>
      </c>
      <c r="N930" s="557">
        <v>20.824769969999998</v>
      </c>
      <c r="O930" s="557">
        <v>92.398788449999998</v>
      </c>
      <c r="P930" s="394" t="s">
        <v>799</v>
      </c>
      <c r="Q930" s="394" t="s">
        <v>780</v>
      </c>
      <c r="R930" s="421"/>
      <c r="S930" s="395"/>
      <c r="T930" s="397"/>
      <c r="U930" s="396"/>
      <c r="V930" s="394" t="s">
        <v>942</v>
      </c>
      <c r="W930" s="418"/>
      <c r="X930" s="539"/>
      <c r="Y930" s="539"/>
      <c r="Z930" s="539"/>
    </row>
    <row r="931" spans="1:26" ht="14.25" customHeight="1">
      <c r="A931" s="418" t="s">
        <v>2705</v>
      </c>
      <c r="B931" s="440" t="s">
        <v>309</v>
      </c>
      <c r="C931" s="439" t="s">
        <v>356</v>
      </c>
      <c r="D931" s="470" t="s">
        <v>1654</v>
      </c>
      <c r="E931" s="394"/>
      <c r="F931" s="394"/>
      <c r="G931" s="394"/>
      <c r="H931" s="394"/>
      <c r="I931" s="394"/>
      <c r="J931" s="394" t="s">
        <v>798</v>
      </c>
      <c r="K931" s="418" t="s">
        <v>798</v>
      </c>
      <c r="L931" s="394" t="s">
        <v>798</v>
      </c>
      <c r="M931" s="394" t="s">
        <v>795</v>
      </c>
      <c r="N931" s="557"/>
      <c r="O931" s="557"/>
      <c r="P931" s="394" t="s">
        <v>799</v>
      </c>
      <c r="Q931" s="394" t="s">
        <v>780</v>
      </c>
      <c r="R931" s="421"/>
      <c r="S931" s="422"/>
      <c r="T931" s="397"/>
      <c r="U931" s="396"/>
      <c r="V931" s="394" t="s">
        <v>356</v>
      </c>
      <c r="W931" s="418"/>
      <c r="X931" s="539"/>
      <c r="Y931" s="539"/>
      <c r="Z931" s="539"/>
    </row>
    <row r="932" spans="1:26" ht="14.25" customHeight="1">
      <c r="A932" s="418" t="s">
        <v>2705</v>
      </c>
      <c r="B932" s="440" t="s">
        <v>309</v>
      </c>
      <c r="C932" s="439" t="s">
        <v>357</v>
      </c>
      <c r="D932" s="470" t="s">
        <v>1654</v>
      </c>
      <c r="E932" s="394"/>
      <c r="F932" s="394"/>
      <c r="G932" s="394"/>
      <c r="H932" s="394"/>
      <c r="I932" s="394"/>
      <c r="J932" s="394" t="s">
        <v>798</v>
      </c>
      <c r="K932" s="418" t="s">
        <v>798</v>
      </c>
      <c r="L932" s="418" t="s">
        <v>798</v>
      </c>
      <c r="M932" s="394" t="s">
        <v>298</v>
      </c>
      <c r="N932" s="557"/>
      <c r="O932" s="557"/>
      <c r="P932" s="394" t="s">
        <v>799</v>
      </c>
      <c r="Q932" s="394" t="s">
        <v>780</v>
      </c>
      <c r="R932" s="421"/>
      <c r="S932" s="395"/>
      <c r="T932" s="397"/>
      <c r="U932" s="396"/>
      <c r="V932" s="394" t="s">
        <v>357</v>
      </c>
      <c r="W932" s="418"/>
      <c r="X932" s="539"/>
      <c r="Y932" s="539"/>
      <c r="Z932" s="539"/>
    </row>
    <row r="933" spans="1:26" ht="14.25" customHeight="1">
      <c r="A933" s="418" t="s">
        <v>2705</v>
      </c>
      <c r="B933" s="440" t="s">
        <v>309</v>
      </c>
      <c r="C933" s="439" t="s">
        <v>630</v>
      </c>
      <c r="D933" s="470" t="s">
        <v>1654</v>
      </c>
      <c r="E933" s="394" t="s">
        <v>1396</v>
      </c>
      <c r="F933" s="543"/>
      <c r="G933" s="394"/>
      <c r="H933" s="394" t="s">
        <v>42</v>
      </c>
      <c r="I933" s="394"/>
      <c r="J933" s="394" t="s">
        <v>798</v>
      </c>
      <c r="K933" s="394" t="s">
        <v>798</v>
      </c>
      <c r="L933" s="394" t="s">
        <v>1654</v>
      </c>
      <c r="M933" s="394" t="s">
        <v>795</v>
      </c>
      <c r="N933" s="557">
        <v>20.825306000000001</v>
      </c>
      <c r="O933" s="557">
        <v>92.367852999999997</v>
      </c>
      <c r="P933" s="394" t="s">
        <v>761</v>
      </c>
      <c r="Q933" s="394" t="s">
        <v>780</v>
      </c>
      <c r="R933" s="421"/>
      <c r="S933" s="422"/>
      <c r="T933" s="397">
        <v>43248</v>
      </c>
      <c r="U933" s="396" t="s">
        <v>1901</v>
      </c>
      <c r="V933" s="394"/>
      <c r="W933" s="418"/>
      <c r="X933" s="539"/>
      <c r="Y933" s="539"/>
      <c r="Z933" s="539"/>
    </row>
    <row r="934" spans="1:26" ht="14.25" customHeight="1">
      <c r="A934" s="418" t="s">
        <v>2705</v>
      </c>
      <c r="B934" s="440" t="s">
        <v>309</v>
      </c>
      <c r="C934" s="439" t="s">
        <v>615</v>
      </c>
      <c r="D934" s="470" t="s">
        <v>1654</v>
      </c>
      <c r="E934" s="394">
        <v>197996</v>
      </c>
      <c r="F934" s="571" t="s">
        <v>2064</v>
      </c>
      <c r="G934" s="394"/>
      <c r="H934" s="394"/>
      <c r="I934" s="394"/>
      <c r="J934" s="394" t="s">
        <v>798</v>
      </c>
      <c r="K934" s="394" t="s">
        <v>798</v>
      </c>
      <c r="L934" s="394" t="s">
        <v>798</v>
      </c>
      <c r="M934" s="394" t="s">
        <v>795</v>
      </c>
      <c r="N934" s="394">
        <v>20.805980680000001</v>
      </c>
      <c r="O934" s="394">
        <v>92.383308409999998</v>
      </c>
      <c r="P934" s="394" t="s">
        <v>799</v>
      </c>
      <c r="Q934" s="394" t="s">
        <v>780</v>
      </c>
      <c r="R934" s="421"/>
      <c r="S934" s="395"/>
      <c r="T934" s="397"/>
      <c r="U934" s="396"/>
      <c r="V934" s="394" t="s">
        <v>937</v>
      </c>
      <c r="W934" s="539"/>
      <c r="X934" s="539"/>
      <c r="Y934" s="539"/>
      <c r="Z934" s="539"/>
    </row>
    <row r="935" spans="1:26" ht="14.25" customHeight="1">
      <c r="A935" s="418" t="s">
        <v>2705</v>
      </c>
      <c r="B935" s="563" t="s">
        <v>309</v>
      </c>
      <c r="C935" s="562" t="s">
        <v>616</v>
      </c>
      <c r="D935" s="470" t="s">
        <v>1654</v>
      </c>
      <c r="E935" s="394">
        <v>197996</v>
      </c>
      <c r="F935" s="539"/>
      <c r="G935" s="394"/>
      <c r="H935" s="394"/>
      <c r="I935" s="394"/>
      <c r="J935" s="394" t="s">
        <v>798</v>
      </c>
      <c r="K935" s="394" t="s">
        <v>798</v>
      </c>
      <c r="L935" s="394" t="s">
        <v>798</v>
      </c>
      <c r="M935" s="394" t="s">
        <v>795</v>
      </c>
      <c r="N935" s="394">
        <v>20.805980680000001</v>
      </c>
      <c r="O935" s="394">
        <v>92.383308409999998</v>
      </c>
      <c r="P935" s="394" t="s">
        <v>799</v>
      </c>
      <c r="Q935" s="394" t="s">
        <v>780</v>
      </c>
      <c r="R935" s="545"/>
      <c r="S935" s="395"/>
      <c r="T935" s="397"/>
      <c r="U935" s="396"/>
      <c r="V935" s="394" t="s">
        <v>938</v>
      </c>
      <c r="W935" s="539"/>
      <c r="X935" s="539"/>
      <c r="Y935" s="539"/>
      <c r="Z935" s="539"/>
    </row>
    <row r="936" spans="1:26" ht="14.25" customHeight="1">
      <c r="A936" s="478" t="s">
        <v>2705</v>
      </c>
      <c r="B936" s="479" t="s">
        <v>309</v>
      </c>
      <c r="C936" s="488" t="s">
        <v>567</v>
      </c>
      <c r="D936" s="470" t="s">
        <v>1654</v>
      </c>
      <c r="E936" s="394">
        <v>198045</v>
      </c>
      <c r="F936" s="480"/>
      <c r="G936" s="480"/>
      <c r="H936" s="480"/>
      <c r="I936" s="480"/>
      <c r="J936" s="394" t="s">
        <v>798</v>
      </c>
      <c r="K936" s="394" t="s">
        <v>798</v>
      </c>
      <c r="L936" s="394" t="s">
        <v>798</v>
      </c>
      <c r="M936" s="394" t="s">
        <v>795</v>
      </c>
      <c r="N936" s="394">
        <v>20.71759033</v>
      </c>
      <c r="O936" s="394">
        <v>92.426422119999998</v>
      </c>
      <c r="P936" s="394" t="s">
        <v>799</v>
      </c>
      <c r="Q936" s="480" t="s">
        <v>2681</v>
      </c>
      <c r="R936" s="481"/>
      <c r="S936" s="478"/>
      <c r="T936" s="482">
        <v>43580</v>
      </c>
      <c r="U936" s="483" t="s">
        <v>2735</v>
      </c>
      <c r="V936" s="394" t="s">
        <v>567</v>
      </c>
      <c r="W936" s="421"/>
      <c r="X936" s="539"/>
      <c r="Y936" s="539"/>
      <c r="Z936" s="539"/>
    </row>
    <row r="937" spans="1:26" ht="14.25" customHeight="1">
      <c r="A937" s="418" t="s">
        <v>2705</v>
      </c>
      <c r="B937" s="440" t="s">
        <v>309</v>
      </c>
      <c r="C937" s="439" t="s">
        <v>2066</v>
      </c>
      <c r="D937" s="470"/>
      <c r="E937" s="418">
        <v>220744</v>
      </c>
      <c r="F937" s="394"/>
      <c r="G937" s="394"/>
      <c r="H937" s="394"/>
      <c r="I937" s="394"/>
      <c r="J937" s="394" t="s">
        <v>798</v>
      </c>
      <c r="K937" s="418" t="s">
        <v>798</v>
      </c>
      <c r="L937" s="418" t="s">
        <v>798</v>
      </c>
      <c r="M937" s="394" t="s">
        <v>298</v>
      </c>
      <c r="N937" s="394">
        <v>20.71612167</v>
      </c>
      <c r="O937" s="394">
        <v>92.442459110000001</v>
      </c>
      <c r="P937" s="394"/>
      <c r="Q937" s="394"/>
      <c r="R937" s="421"/>
      <c r="S937" s="395"/>
      <c r="T937" s="397">
        <v>43300</v>
      </c>
      <c r="U937" s="396"/>
      <c r="V937" s="394"/>
      <c r="W937" s="539"/>
      <c r="X937" s="539"/>
      <c r="Y937" s="539"/>
      <c r="Z937" s="539"/>
    </row>
    <row r="938" spans="1:26" ht="14.25" customHeight="1">
      <c r="A938" s="418" t="s">
        <v>2705</v>
      </c>
      <c r="B938" s="440" t="s">
        <v>309</v>
      </c>
      <c r="C938" s="439" t="s">
        <v>2067</v>
      </c>
      <c r="D938" s="470"/>
      <c r="E938" s="418"/>
      <c r="F938" s="418"/>
      <c r="G938" s="418"/>
      <c r="H938" s="394"/>
      <c r="I938" s="394"/>
      <c r="J938" s="394" t="s">
        <v>798</v>
      </c>
      <c r="K938" s="418" t="s">
        <v>798</v>
      </c>
      <c r="L938" s="418" t="s">
        <v>798</v>
      </c>
      <c r="M938" s="394" t="s">
        <v>2089</v>
      </c>
      <c r="N938" s="394"/>
      <c r="O938" s="418"/>
      <c r="P938" s="418"/>
      <c r="Q938" s="394"/>
      <c r="R938" s="545"/>
      <c r="S938" s="546"/>
      <c r="T938" s="397">
        <v>43300</v>
      </c>
      <c r="U938" s="423"/>
      <c r="V938" s="418"/>
      <c r="W938" s="539"/>
      <c r="X938" s="539"/>
      <c r="Y938" s="539"/>
      <c r="Z938" s="539"/>
    </row>
    <row r="939" spans="1:26" ht="14.25" customHeight="1">
      <c r="A939" s="418" t="s">
        <v>2705</v>
      </c>
      <c r="B939" s="440" t="s">
        <v>309</v>
      </c>
      <c r="C939" s="439" t="s">
        <v>908</v>
      </c>
      <c r="D939" s="470"/>
      <c r="E939" s="539">
        <v>197938</v>
      </c>
      <c r="F939" s="394"/>
      <c r="G939" s="394"/>
      <c r="H939" s="394"/>
      <c r="I939" s="394"/>
      <c r="J939" s="394" t="s">
        <v>798</v>
      </c>
      <c r="K939" s="394" t="s">
        <v>798</v>
      </c>
      <c r="L939" s="394" t="s">
        <v>798</v>
      </c>
      <c r="M939" s="394" t="s">
        <v>795</v>
      </c>
      <c r="N939" s="394">
        <v>20.84098053</v>
      </c>
      <c r="O939" s="394">
        <v>92.35720062</v>
      </c>
      <c r="P939" s="394"/>
      <c r="Q939" s="394"/>
      <c r="R939" s="421"/>
      <c r="S939" s="422"/>
      <c r="T939" s="397">
        <v>43300</v>
      </c>
      <c r="U939" s="396"/>
      <c r="V939" s="418"/>
      <c r="W939" s="539"/>
      <c r="X939" s="539"/>
      <c r="Y939" s="539"/>
      <c r="Z939" s="539"/>
    </row>
    <row r="940" spans="1:26" ht="14.25" customHeight="1">
      <c r="A940" s="539" t="s">
        <v>2705</v>
      </c>
      <c r="B940" s="563" t="s">
        <v>309</v>
      </c>
      <c r="C940" s="562" t="s">
        <v>674</v>
      </c>
      <c r="D940" s="470" t="s">
        <v>1654</v>
      </c>
      <c r="E940" s="394">
        <v>197903</v>
      </c>
      <c r="F940" s="394"/>
      <c r="G940" s="394"/>
      <c r="H940" s="394"/>
      <c r="I940" s="394"/>
      <c r="J940" s="394" t="s">
        <v>798</v>
      </c>
      <c r="K940" s="394" t="s">
        <v>798</v>
      </c>
      <c r="L940" s="394" t="s">
        <v>798</v>
      </c>
      <c r="M940" s="394" t="s">
        <v>795</v>
      </c>
      <c r="N940" s="418">
        <v>21.000970840000001</v>
      </c>
      <c r="O940" s="418">
        <v>92.334213259999999</v>
      </c>
      <c r="P940" s="394" t="s">
        <v>799</v>
      </c>
      <c r="Q940" s="394" t="s">
        <v>802</v>
      </c>
      <c r="R940" s="545"/>
      <c r="S940" s="395"/>
      <c r="T940" s="397">
        <v>42926</v>
      </c>
      <c r="U940" s="547" t="s">
        <v>803</v>
      </c>
      <c r="V940" s="562"/>
      <c r="W940" s="539"/>
      <c r="X940" s="539"/>
      <c r="Y940" s="539"/>
      <c r="Z940" s="539"/>
    </row>
    <row r="941" spans="1:26" ht="14.25" customHeight="1">
      <c r="A941" s="418" t="s">
        <v>2705</v>
      </c>
      <c r="B941" s="440" t="s">
        <v>309</v>
      </c>
      <c r="C941" s="439" t="s">
        <v>532</v>
      </c>
      <c r="D941" s="470" t="s">
        <v>1654</v>
      </c>
      <c r="E941" s="418">
        <v>198026</v>
      </c>
      <c r="F941" s="418"/>
      <c r="G941" s="418"/>
      <c r="H941" s="418"/>
      <c r="I941" s="418"/>
      <c r="J941" s="394" t="s">
        <v>798</v>
      </c>
      <c r="K941" s="418" t="s">
        <v>798</v>
      </c>
      <c r="L941" s="418" t="s">
        <v>798</v>
      </c>
      <c r="M941" s="394" t="s">
        <v>795</v>
      </c>
      <c r="N941" s="418">
        <v>20.671619419999999</v>
      </c>
      <c r="O941" s="418">
        <v>92.473846440000003</v>
      </c>
      <c r="P941" s="394" t="s">
        <v>799</v>
      </c>
      <c r="Q941" s="394" t="s">
        <v>780</v>
      </c>
      <c r="R941" s="421"/>
      <c r="S941" s="422"/>
      <c r="T941" s="397"/>
      <c r="U941" s="423"/>
      <c r="V941" s="418" t="s">
        <v>925</v>
      </c>
      <c r="W941" s="539"/>
      <c r="X941" s="539"/>
      <c r="Y941" s="539"/>
      <c r="Z941" s="539"/>
    </row>
    <row r="942" spans="1:26" ht="14.25" customHeight="1">
      <c r="A942" s="418" t="s">
        <v>2705</v>
      </c>
      <c r="B942" s="440" t="s">
        <v>341</v>
      </c>
      <c r="C942" s="439" t="s">
        <v>499</v>
      </c>
      <c r="D942" s="470" t="s">
        <v>1654</v>
      </c>
      <c r="E942" s="394">
        <v>197602</v>
      </c>
      <c r="F942" s="394"/>
      <c r="G942" s="394"/>
      <c r="H942" s="418"/>
      <c r="I942" s="394"/>
      <c r="J942" s="394" t="s">
        <v>798</v>
      </c>
      <c r="K942" s="394" t="s">
        <v>798</v>
      </c>
      <c r="L942" s="394" t="s">
        <v>798</v>
      </c>
      <c r="M942" s="394" t="s">
        <v>795</v>
      </c>
      <c r="N942" s="418">
        <v>20.547620770000002</v>
      </c>
      <c r="O942" s="418">
        <v>92.671058650000006</v>
      </c>
      <c r="P942" s="394" t="s">
        <v>799</v>
      </c>
      <c r="Q942" s="394" t="s">
        <v>780</v>
      </c>
      <c r="R942" s="421"/>
      <c r="S942" s="422"/>
      <c r="T942" s="397"/>
      <c r="U942" s="396"/>
      <c r="V942" s="394" t="s">
        <v>499</v>
      </c>
      <c r="W942" s="421"/>
      <c r="X942" s="539"/>
      <c r="Y942" s="539"/>
      <c r="Z942" s="539"/>
    </row>
    <row r="943" spans="1:26" ht="14.25" customHeight="1">
      <c r="A943" s="539" t="s">
        <v>2705</v>
      </c>
      <c r="B943" s="445" t="s">
        <v>341</v>
      </c>
      <c r="C943" s="446" t="s">
        <v>505</v>
      </c>
      <c r="D943" s="420" t="s">
        <v>1654</v>
      </c>
      <c r="E943" s="394" t="s">
        <v>1381</v>
      </c>
      <c r="F943" s="571"/>
      <c r="G943" s="394"/>
      <c r="H943" s="394" t="s">
        <v>42</v>
      </c>
      <c r="I943" s="394"/>
      <c r="J943" s="394" t="s">
        <v>798</v>
      </c>
      <c r="K943" s="394" t="s">
        <v>798</v>
      </c>
      <c r="L943" s="394" t="s">
        <v>1654</v>
      </c>
      <c r="M943" s="394" t="s">
        <v>795</v>
      </c>
      <c r="N943" s="394">
        <v>20.569219</v>
      </c>
      <c r="O943" s="394">
        <v>92.640022000000002</v>
      </c>
      <c r="P943" s="394" t="s">
        <v>761</v>
      </c>
      <c r="Q943" s="394" t="s">
        <v>780</v>
      </c>
      <c r="R943" s="429"/>
      <c r="S943" s="395"/>
      <c r="T943" s="397"/>
      <c r="U943" s="547"/>
      <c r="V943" s="394" t="s">
        <v>505</v>
      </c>
      <c r="W943" s="421"/>
      <c r="X943" s="539"/>
      <c r="Y943" s="539"/>
      <c r="Z943" s="539"/>
    </row>
    <row r="944" spans="1:26" ht="14.25" customHeight="1">
      <c r="A944" s="418" t="s">
        <v>2705</v>
      </c>
      <c r="B944" s="440" t="s">
        <v>341</v>
      </c>
      <c r="C944" s="439" t="s">
        <v>502</v>
      </c>
      <c r="D944" s="470" t="s">
        <v>1654</v>
      </c>
      <c r="E944" s="394">
        <v>197593</v>
      </c>
      <c r="F944" s="394"/>
      <c r="G944" s="394"/>
      <c r="H944" s="394"/>
      <c r="I944" s="394"/>
      <c r="J944" s="394" t="s">
        <v>798</v>
      </c>
      <c r="K944" s="394" t="s">
        <v>798</v>
      </c>
      <c r="L944" s="394" t="s">
        <v>798</v>
      </c>
      <c r="M944" s="394" t="s">
        <v>795</v>
      </c>
      <c r="N944" s="394">
        <v>20.555610659999999</v>
      </c>
      <c r="O944" s="394">
        <v>92.643516539999993</v>
      </c>
      <c r="P944" s="394" t="s">
        <v>799</v>
      </c>
      <c r="Q944" s="394" t="s">
        <v>802</v>
      </c>
      <c r="R944" s="421"/>
      <c r="S944" s="395"/>
      <c r="T944" s="397">
        <v>42926</v>
      </c>
      <c r="U944" s="396" t="s">
        <v>803</v>
      </c>
      <c r="V944" s="394"/>
      <c r="W944" s="421"/>
      <c r="X944" s="539"/>
      <c r="Y944" s="539"/>
      <c r="Z944" s="539"/>
    </row>
    <row r="945" spans="1:26" ht="14.25" customHeight="1">
      <c r="A945" s="418" t="s">
        <v>2705</v>
      </c>
      <c r="B945" s="440" t="s">
        <v>341</v>
      </c>
      <c r="C945" s="439" t="s">
        <v>503</v>
      </c>
      <c r="D945" s="470" t="s">
        <v>1654</v>
      </c>
      <c r="E945" s="394">
        <v>197593</v>
      </c>
      <c r="F945" s="394"/>
      <c r="G945" s="394"/>
      <c r="H945" s="394"/>
      <c r="I945" s="418"/>
      <c r="J945" s="394" t="s">
        <v>798</v>
      </c>
      <c r="K945" s="394" t="s">
        <v>798</v>
      </c>
      <c r="L945" s="394" t="s">
        <v>798</v>
      </c>
      <c r="M945" s="394" t="s">
        <v>298</v>
      </c>
      <c r="N945" s="418">
        <v>20.555610659999999</v>
      </c>
      <c r="O945" s="418">
        <v>92.643516539999993</v>
      </c>
      <c r="P945" s="394" t="s">
        <v>799</v>
      </c>
      <c r="Q945" s="394" t="s">
        <v>780</v>
      </c>
      <c r="R945" s="421"/>
      <c r="S945" s="422"/>
      <c r="T945" s="397" t="s">
        <v>805</v>
      </c>
      <c r="U945" s="396"/>
      <c r="V945" s="394"/>
      <c r="W945" s="421"/>
      <c r="X945" s="539"/>
      <c r="Y945" s="539"/>
      <c r="Z945" s="539"/>
    </row>
    <row r="946" spans="1:26" ht="14.25" customHeight="1">
      <c r="A946" s="418" t="s">
        <v>2705</v>
      </c>
      <c r="B946" s="440" t="s">
        <v>341</v>
      </c>
      <c r="C946" s="439" t="s">
        <v>524</v>
      </c>
      <c r="D946" s="470" t="s">
        <v>1654</v>
      </c>
      <c r="E946" s="394">
        <v>197691</v>
      </c>
      <c r="F946" s="394"/>
      <c r="G946" s="394"/>
      <c r="H946" s="394"/>
      <c r="I946" s="394"/>
      <c r="J946" s="418" t="s">
        <v>798</v>
      </c>
      <c r="K946" s="394" t="s">
        <v>798</v>
      </c>
      <c r="L946" s="394" t="s">
        <v>798</v>
      </c>
      <c r="M946" s="394" t="s">
        <v>298</v>
      </c>
      <c r="N946" s="394">
        <v>20.65517998</v>
      </c>
      <c r="O946" s="394">
        <v>92.720321659999996</v>
      </c>
      <c r="P946" s="394" t="s">
        <v>799</v>
      </c>
      <c r="Q946" s="394" t="s">
        <v>780</v>
      </c>
      <c r="R946" s="549"/>
      <c r="S946" s="550"/>
      <c r="T946" s="397" t="s">
        <v>805</v>
      </c>
      <c r="U946" s="396"/>
      <c r="V946" s="394"/>
      <c r="W946" s="421"/>
      <c r="X946" s="539"/>
      <c r="Y946" s="539"/>
      <c r="Z946" s="539"/>
    </row>
    <row r="947" spans="1:26" ht="14.25" customHeight="1">
      <c r="A947" s="418" t="s">
        <v>2705</v>
      </c>
      <c r="B947" s="440" t="s">
        <v>341</v>
      </c>
      <c r="C947" s="439" t="s">
        <v>470</v>
      </c>
      <c r="D947" s="470" t="s">
        <v>2312</v>
      </c>
      <c r="E947" s="543" t="s">
        <v>1373</v>
      </c>
      <c r="F947" s="394" t="s">
        <v>470</v>
      </c>
      <c r="G947" s="394" t="s">
        <v>470</v>
      </c>
      <c r="H947" s="394"/>
      <c r="I947" s="394"/>
      <c r="J947" s="418" t="s">
        <v>798</v>
      </c>
      <c r="K947" s="394" t="s">
        <v>798</v>
      </c>
      <c r="L947" s="394" t="s">
        <v>883</v>
      </c>
      <c r="M947" s="394" t="s">
        <v>795</v>
      </c>
      <c r="N947" s="394">
        <v>20.399269</v>
      </c>
      <c r="O947" s="394">
        <v>92.781294000000003</v>
      </c>
      <c r="P947" s="394" t="s">
        <v>799</v>
      </c>
      <c r="Q947" s="394" t="s">
        <v>780</v>
      </c>
      <c r="R947" s="421">
        <v>32</v>
      </c>
      <c r="S947" s="422">
        <v>157</v>
      </c>
      <c r="T947" s="397"/>
      <c r="U947" s="396"/>
      <c r="V947" s="394" t="s">
        <v>470</v>
      </c>
      <c r="W947" s="421"/>
      <c r="X947" s="539"/>
      <c r="Y947" s="539"/>
      <c r="Z947" s="539"/>
    </row>
    <row r="948" spans="1:26" ht="14.25" customHeight="1">
      <c r="A948" s="549" t="s">
        <v>2705</v>
      </c>
      <c r="B948" s="574" t="s">
        <v>341</v>
      </c>
      <c r="C948" s="575" t="s">
        <v>2879</v>
      </c>
      <c r="D948" s="544"/>
      <c r="E948" s="394" t="s">
        <v>2880</v>
      </c>
      <c r="F948" s="394"/>
      <c r="G948" s="394"/>
      <c r="H948" s="394"/>
      <c r="I948" s="418"/>
      <c r="J948" s="394" t="s">
        <v>2714</v>
      </c>
      <c r="K948" s="394" t="s">
        <v>2676</v>
      </c>
      <c r="L948" s="394" t="s">
        <v>2676</v>
      </c>
      <c r="M948" s="394"/>
      <c r="N948" s="418"/>
      <c r="O948" s="418"/>
      <c r="P948" s="394"/>
      <c r="Q948" s="394"/>
      <c r="R948" s="553"/>
      <c r="S948" s="422"/>
      <c r="T948" s="397">
        <v>43591</v>
      </c>
      <c r="U948" s="553"/>
      <c r="V948" s="550" t="s">
        <v>2844</v>
      </c>
      <c r="W948" s="421"/>
      <c r="X948" s="539"/>
      <c r="Y948" s="539"/>
      <c r="Z948" s="539"/>
    </row>
    <row r="949" spans="1:26" ht="14.25" customHeight="1">
      <c r="A949" s="418" t="s">
        <v>2705</v>
      </c>
      <c r="B949" s="440" t="s">
        <v>341</v>
      </c>
      <c r="C949" s="439" t="s">
        <v>539</v>
      </c>
      <c r="D949" s="470" t="s">
        <v>1654</v>
      </c>
      <c r="E949" s="394">
        <v>197674</v>
      </c>
      <c r="F949" s="394"/>
      <c r="G949" s="394"/>
      <c r="H949" s="418"/>
      <c r="I949" s="418"/>
      <c r="J949" s="394" t="s">
        <v>798</v>
      </c>
      <c r="K949" s="418" t="s">
        <v>798</v>
      </c>
      <c r="L949" s="418" t="s">
        <v>798</v>
      </c>
      <c r="M949" s="394" t="s">
        <v>795</v>
      </c>
      <c r="N949" s="418">
        <v>20.67845917</v>
      </c>
      <c r="O949" s="418">
        <v>92.663757320000002</v>
      </c>
      <c r="P949" s="394" t="s">
        <v>799</v>
      </c>
      <c r="Q949" s="394" t="s">
        <v>780</v>
      </c>
      <c r="R949" s="421"/>
      <c r="S949" s="422"/>
      <c r="T949" s="397" t="s">
        <v>805</v>
      </c>
      <c r="U949" s="396"/>
      <c r="V949" s="394"/>
      <c r="W949" s="421"/>
      <c r="X949" s="539"/>
      <c r="Y949" s="539"/>
      <c r="Z949" s="539"/>
    </row>
    <row r="950" spans="1:26" ht="14.25" customHeight="1">
      <c r="A950" s="418" t="s">
        <v>2705</v>
      </c>
      <c r="B950" s="563" t="s">
        <v>341</v>
      </c>
      <c r="C950" s="562" t="s">
        <v>907</v>
      </c>
      <c r="D950" s="470" t="s">
        <v>1654</v>
      </c>
      <c r="E950" s="539">
        <v>197603</v>
      </c>
      <c r="F950" s="539"/>
      <c r="G950" s="539"/>
      <c r="H950" s="539"/>
      <c r="I950" s="539"/>
      <c r="J950" s="394" t="s">
        <v>798</v>
      </c>
      <c r="K950" s="394" t="s">
        <v>798</v>
      </c>
      <c r="L950" s="394" t="s">
        <v>798</v>
      </c>
      <c r="M950" s="539" t="s">
        <v>795</v>
      </c>
      <c r="N950" s="539">
        <v>20.55364037</v>
      </c>
      <c r="O950" s="539">
        <v>92.674217220000003</v>
      </c>
      <c r="P950" s="394" t="s">
        <v>799</v>
      </c>
      <c r="Q950" s="539"/>
      <c r="R950" s="545"/>
      <c r="S950" s="546"/>
      <c r="T950" s="565"/>
      <c r="U950" s="547"/>
      <c r="V950" s="539" t="s">
        <v>907</v>
      </c>
      <c r="W950" s="421"/>
      <c r="X950" s="539"/>
      <c r="Y950" s="539"/>
      <c r="Z950" s="539"/>
    </row>
    <row r="951" spans="1:26" ht="14.25" customHeight="1">
      <c r="A951" s="418" t="s">
        <v>2705</v>
      </c>
      <c r="B951" s="563" t="s">
        <v>341</v>
      </c>
      <c r="C951" s="562" t="s">
        <v>374</v>
      </c>
      <c r="D951" s="470" t="s">
        <v>1654</v>
      </c>
      <c r="E951" s="394">
        <v>220977</v>
      </c>
      <c r="F951" s="394" t="s">
        <v>2757</v>
      </c>
      <c r="G951" s="394"/>
      <c r="H951" s="394"/>
      <c r="I951" s="394"/>
      <c r="J951" s="394" t="s">
        <v>798</v>
      </c>
      <c r="K951" s="394" t="s">
        <v>798</v>
      </c>
      <c r="L951" s="394" t="s">
        <v>798</v>
      </c>
      <c r="M951" s="394" t="s">
        <v>298</v>
      </c>
      <c r="N951" s="394"/>
      <c r="O951" s="539"/>
      <c r="P951" s="394" t="s">
        <v>799</v>
      </c>
      <c r="Q951" s="394" t="s">
        <v>802</v>
      </c>
      <c r="R951" s="545"/>
      <c r="S951" s="422"/>
      <c r="T951" s="397">
        <v>42926</v>
      </c>
      <c r="U951" s="396" t="s">
        <v>803</v>
      </c>
      <c r="V951" s="394"/>
      <c r="W951" s="421"/>
      <c r="X951" s="539"/>
      <c r="Y951" s="539"/>
      <c r="Z951" s="539"/>
    </row>
    <row r="952" spans="1:26" ht="14.25" customHeight="1">
      <c r="A952" s="549" t="s">
        <v>2705</v>
      </c>
      <c r="B952" s="445" t="s">
        <v>341</v>
      </c>
      <c r="C952" s="446" t="s">
        <v>2878</v>
      </c>
      <c r="D952" s="420"/>
      <c r="E952" s="394">
        <v>220693</v>
      </c>
      <c r="F952" s="394"/>
      <c r="G952" s="394"/>
      <c r="H952" s="418"/>
      <c r="I952" s="418"/>
      <c r="J952" s="394" t="s">
        <v>2714</v>
      </c>
      <c r="K952" s="394" t="s">
        <v>2676</v>
      </c>
      <c r="L952" s="394" t="s">
        <v>2676</v>
      </c>
      <c r="M952" s="394"/>
      <c r="N952" s="418">
        <v>20.586620330810501</v>
      </c>
      <c r="O952" s="418">
        <v>92.689620971679702</v>
      </c>
      <c r="P952" s="394"/>
      <c r="Q952" s="394"/>
      <c r="R952" s="429"/>
      <c r="S952" s="422"/>
      <c r="T952" s="397">
        <v>43591</v>
      </c>
      <c r="U952" s="553"/>
      <c r="V952" s="394" t="s">
        <v>2843</v>
      </c>
      <c r="W952" s="421"/>
      <c r="X952" s="539"/>
      <c r="Y952" s="539"/>
      <c r="Z952" s="539"/>
    </row>
    <row r="953" spans="1:26" ht="14.25" customHeight="1">
      <c r="A953" s="418" t="s">
        <v>2705</v>
      </c>
      <c r="B953" s="440" t="s">
        <v>341</v>
      </c>
      <c r="C953" s="439" t="s">
        <v>482</v>
      </c>
      <c r="D953" s="470" t="s">
        <v>1654</v>
      </c>
      <c r="E953" s="394">
        <v>197631</v>
      </c>
      <c r="F953" s="394" t="s">
        <v>477</v>
      </c>
      <c r="G953" s="394"/>
      <c r="H953" s="418"/>
      <c r="I953" s="418"/>
      <c r="J953" s="394" t="s">
        <v>798</v>
      </c>
      <c r="K953" s="394" t="s">
        <v>798</v>
      </c>
      <c r="L953" s="394" t="s">
        <v>798</v>
      </c>
      <c r="M953" s="394" t="s">
        <v>298</v>
      </c>
      <c r="N953" s="418">
        <v>20.473930360000001</v>
      </c>
      <c r="O953" s="418">
        <v>92.668853760000005</v>
      </c>
      <c r="P953" s="394" t="s">
        <v>799</v>
      </c>
      <c r="Q953" s="394" t="s">
        <v>802</v>
      </c>
      <c r="R953" s="545"/>
      <c r="S953" s="546"/>
      <c r="T953" s="397">
        <v>42926</v>
      </c>
      <c r="U953" s="396" t="s">
        <v>803</v>
      </c>
      <c r="V953" s="394"/>
      <c r="W953" s="421"/>
      <c r="X953" s="539"/>
      <c r="Y953" s="539"/>
      <c r="Z953" s="539"/>
    </row>
    <row r="954" spans="1:26" ht="14.25" customHeight="1">
      <c r="A954" s="418" t="s">
        <v>2705</v>
      </c>
      <c r="B954" s="440" t="s">
        <v>341</v>
      </c>
      <c r="C954" s="439" t="s">
        <v>498</v>
      </c>
      <c r="D954" s="470" t="s">
        <v>1654</v>
      </c>
      <c r="E954" s="418">
        <v>197601</v>
      </c>
      <c r="F954" s="539"/>
      <c r="G954" s="394"/>
      <c r="H954" s="418"/>
      <c r="I954" s="394"/>
      <c r="J954" s="394" t="s">
        <v>798</v>
      </c>
      <c r="K954" s="394" t="s">
        <v>798</v>
      </c>
      <c r="L954" s="394" t="s">
        <v>798</v>
      </c>
      <c r="M954" s="394" t="s">
        <v>795</v>
      </c>
      <c r="N954" s="418">
        <v>20.54644012</v>
      </c>
      <c r="O954" s="418">
        <v>92.648399350000005</v>
      </c>
      <c r="P954" s="394" t="s">
        <v>799</v>
      </c>
      <c r="Q954" s="394" t="s">
        <v>780</v>
      </c>
      <c r="R954" s="545"/>
      <c r="S954" s="546"/>
      <c r="T954" s="397"/>
      <c r="U954" s="396"/>
      <c r="V954" s="394" t="s">
        <v>498</v>
      </c>
      <c r="W954" s="421"/>
      <c r="X954" s="539"/>
      <c r="Y954" s="539"/>
      <c r="Z954" s="539"/>
    </row>
    <row r="955" spans="1:26" ht="14.25" customHeight="1">
      <c r="A955" s="418" t="s">
        <v>2705</v>
      </c>
      <c r="B955" s="440" t="s">
        <v>341</v>
      </c>
      <c r="C955" s="439" t="s">
        <v>471</v>
      </c>
      <c r="D955" s="470" t="s">
        <v>1654</v>
      </c>
      <c r="E955" s="394" t="s">
        <v>1375</v>
      </c>
      <c r="F955" s="394"/>
      <c r="G955" s="394"/>
      <c r="H955" s="394" t="s">
        <v>42</v>
      </c>
      <c r="I955" s="394"/>
      <c r="J955" s="394" t="s">
        <v>798</v>
      </c>
      <c r="K955" s="394" t="s">
        <v>798</v>
      </c>
      <c r="L955" s="394" t="s">
        <v>1654</v>
      </c>
      <c r="M955" s="394" t="s">
        <v>795</v>
      </c>
      <c r="N955" s="394">
        <v>20.408453000000002</v>
      </c>
      <c r="O955" s="394">
        <v>92.660360999999995</v>
      </c>
      <c r="P955" s="394" t="s">
        <v>761</v>
      </c>
      <c r="Q955" s="394" t="s">
        <v>780</v>
      </c>
      <c r="R955" s="421"/>
      <c r="S955" s="546"/>
      <c r="T955" s="397"/>
      <c r="U955" s="396" t="s">
        <v>1901</v>
      </c>
      <c r="V955" s="394" t="s">
        <v>471</v>
      </c>
      <c r="W955" s="421"/>
      <c r="X955" s="539"/>
      <c r="Y955" s="539"/>
      <c r="Z955" s="539"/>
    </row>
    <row r="956" spans="1:26" ht="14.25" customHeight="1">
      <c r="A956" s="418" t="s">
        <v>2705</v>
      </c>
      <c r="B956" s="440" t="s">
        <v>341</v>
      </c>
      <c r="C956" s="439" t="s">
        <v>892</v>
      </c>
      <c r="D956" s="470" t="s">
        <v>1654</v>
      </c>
      <c r="E956" s="394">
        <v>197650</v>
      </c>
      <c r="F956" s="394"/>
      <c r="G956" s="394"/>
      <c r="H956" s="418"/>
      <c r="I956" s="418"/>
      <c r="J956" s="394" t="s">
        <v>879</v>
      </c>
      <c r="K956" s="394" t="s">
        <v>798</v>
      </c>
      <c r="L956" s="394" t="s">
        <v>798</v>
      </c>
      <c r="M956" s="394" t="s">
        <v>298</v>
      </c>
      <c r="N956" s="418">
        <v>20.397039410000001</v>
      </c>
      <c r="O956" s="418">
        <v>92.664451600000007</v>
      </c>
      <c r="P956" s="394" t="s">
        <v>799</v>
      </c>
      <c r="Q956" s="394"/>
      <c r="R956" s="545"/>
      <c r="S956" s="546"/>
      <c r="T956" s="397">
        <v>42849</v>
      </c>
      <c r="U956" s="396" t="s">
        <v>893</v>
      </c>
      <c r="V956" s="418"/>
      <c r="W956" s="421"/>
      <c r="X956" s="539"/>
      <c r="Y956" s="539"/>
      <c r="Z956" s="539"/>
    </row>
    <row r="957" spans="1:26" ht="14.25" customHeight="1">
      <c r="A957" s="418" t="s">
        <v>2705</v>
      </c>
      <c r="B957" s="440" t="s">
        <v>341</v>
      </c>
      <c r="C957" s="439" t="s">
        <v>507</v>
      </c>
      <c r="D957" s="470" t="s">
        <v>1654</v>
      </c>
      <c r="E957" s="394">
        <v>197591</v>
      </c>
      <c r="F957" s="394"/>
      <c r="G957" s="394"/>
      <c r="H957" s="394"/>
      <c r="I957" s="418"/>
      <c r="J957" s="394" t="s">
        <v>798</v>
      </c>
      <c r="K957" s="394" t="s">
        <v>798</v>
      </c>
      <c r="L957" s="394" t="s">
        <v>798</v>
      </c>
      <c r="M957" s="394" t="s">
        <v>795</v>
      </c>
      <c r="N957" s="418">
        <v>20.581470490000001</v>
      </c>
      <c r="O957" s="418">
        <v>92.643272400000001</v>
      </c>
      <c r="P957" s="394" t="s">
        <v>799</v>
      </c>
      <c r="Q957" s="394" t="s">
        <v>780</v>
      </c>
      <c r="R957" s="545"/>
      <c r="S957" s="546"/>
      <c r="T957" s="397"/>
      <c r="U957" s="396" t="s">
        <v>803</v>
      </c>
      <c r="V957" s="394" t="s">
        <v>507</v>
      </c>
      <c r="W957" s="421"/>
      <c r="X957" s="539"/>
      <c r="Y957" s="539"/>
      <c r="Z957" s="539"/>
    </row>
    <row r="958" spans="1:26" ht="14.25" customHeight="1">
      <c r="A958" s="418" t="s">
        <v>2705</v>
      </c>
      <c r="B958" s="187" t="s">
        <v>341</v>
      </c>
      <c r="C958" s="188" t="s">
        <v>1097</v>
      </c>
      <c r="D958" s="544" t="s">
        <v>1654</v>
      </c>
      <c r="E958" s="182"/>
      <c r="F958" s="182"/>
      <c r="G958" s="182"/>
      <c r="H958" s="182"/>
      <c r="I958" s="182"/>
      <c r="J958" s="394" t="s">
        <v>798</v>
      </c>
      <c r="K958" s="394" t="s">
        <v>798</v>
      </c>
      <c r="L958" s="394" t="s">
        <v>798</v>
      </c>
      <c r="M958" s="182" t="s">
        <v>811</v>
      </c>
      <c r="N958" s="182"/>
      <c r="O958" s="182"/>
      <c r="P958" s="394" t="s">
        <v>799</v>
      </c>
      <c r="Q958" s="182" t="s">
        <v>802</v>
      </c>
      <c r="R958" s="183"/>
      <c r="S958" s="181"/>
      <c r="T958" s="184">
        <v>42926</v>
      </c>
      <c r="U958" s="185" t="s">
        <v>803</v>
      </c>
      <c r="V958" s="182"/>
      <c r="W958" s="421"/>
      <c r="X958" s="539"/>
      <c r="Y958" s="539"/>
      <c r="Z958" s="539"/>
    </row>
    <row r="959" spans="1:26" ht="14.25" customHeight="1">
      <c r="A959" s="418" t="s">
        <v>2705</v>
      </c>
      <c r="B959" s="574" t="s">
        <v>341</v>
      </c>
      <c r="C959" s="575" t="s">
        <v>506</v>
      </c>
      <c r="D959" s="544" t="s">
        <v>1654</v>
      </c>
      <c r="E959" s="394">
        <v>197590</v>
      </c>
      <c r="F959" s="394"/>
      <c r="G959" s="394"/>
      <c r="H959" s="394"/>
      <c r="I959" s="539"/>
      <c r="J959" s="394" t="s">
        <v>798</v>
      </c>
      <c r="K959" s="394" t="s">
        <v>798</v>
      </c>
      <c r="L959" s="539" t="s">
        <v>798</v>
      </c>
      <c r="M959" s="394" t="s">
        <v>298</v>
      </c>
      <c r="N959" s="418">
        <v>20.56975937</v>
      </c>
      <c r="O959" s="572">
        <v>92.641799930000005</v>
      </c>
      <c r="P959" s="394" t="s">
        <v>799</v>
      </c>
      <c r="Q959" s="394" t="s">
        <v>780</v>
      </c>
      <c r="R959" s="553"/>
      <c r="S959" s="546"/>
      <c r="T959" s="397"/>
      <c r="U959" s="396" t="s">
        <v>803</v>
      </c>
      <c r="V959" s="394" t="s">
        <v>506</v>
      </c>
      <c r="W959" s="545"/>
      <c r="X959" s="539"/>
      <c r="Y959" s="539"/>
      <c r="Z959" s="539"/>
    </row>
    <row r="960" spans="1:26" ht="14.25" customHeight="1">
      <c r="A960" s="418" t="s">
        <v>2705</v>
      </c>
      <c r="B960" s="574" t="s">
        <v>341</v>
      </c>
      <c r="C960" s="575" t="s">
        <v>913</v>
      </c>
      <c r="D960" s="544" t="s">
        <v>1654</v>
      </c>
      <c r="E960" s="539">
        <v>197585</v>
      </c>
      <c r="F960" s="539"/>
      <c r="G960" s="539"/>
      <c r="H960" s="539"/>
      <c r="I960" s="539"/>
      <c r="J960" s="539" t="s">
        <v>798</v>
      </c>
      <c r="K960" s="539" t="s">
        <v>798</v>
      </c>
      <c r="L960" s="539" t="s">
        <v>798</v>
      </c>
      <c r="M960" s="539" t="s">
        <v>298</v>
      </c>
      <c r="N960" s="539">
        <v>20.585840229999999</v>
      </c>
      <c r="O960" s="539">
        <v>92.670722960000006</v>
      </c>
      <c r="P960" s="539" t="s">
        <v>799</v>
      </c>
      <c r="Q960" s="539"/>
      <c r="R960" s="553"/>
      <c r="S960" s="546"/>
      <c r="T960" s="565"/>
      <c r="U960" s="547"/>
      <c r="V960" s="539" t="s">
        <v>913</v>
      </c>
      <c r="W960" s="545"/>
      <c r="X960" s="539"/>
      <c r="Y960" s="539"/>
      <c r="Z960" s="539"/>
    </row>
    <row r="961" spans="1:26" ht="14.25" customHeight="1">
      <c r="A961" s="549" t="s">
        <v>2705</v>
      </c>
      <c r="B961" s="574" t="s">
        <v>341</v>
      </c>
      <c r="C961" s="575" t="s">
        <v>2877</v>
      </c>
      <c r="D961" s="544"/>
      <c r="E961" s="394">
        <v>197581</v>
      </c>
      <c r="F961" s="394"/>
      <c r="G961" s="394"/>
      <c r="H961" s="418"/>
      <c r="I961" s="418"/>
      <c r="J961" s="394" t="s">
        <v>2714</v>
      </c>
      <c r="K961" s="394" t="s">
        <v>2676</v>
      </c>
      <c r="L961" s="394" t="s">
        <v>2676</v>
      </c>
      <c r="M961" s="394"/>
      <c r="N961" s="418">
        <v>20.631229400634801</v>
      </c>
      <c r="O961" s="418">
        <v>92.641532897949205</v>
      </c>
      <c r="P961" s="394"/>
      <c r="Q961" s="394"/>
      <c r="R961" s="553"/>
      <c r="S961" s="546"/>
      <c r="T961" s="397">
        <v>43591</v>
      </c>
      <c r="U961" s="553"/>
      <c r="V961" s="394" t="s">
        <v>2842</v>
      </c>
      <c r="W961" s="421"/>
      <c r="X961" s="539"/>
      <c r="Y961" s="539"/>
      <c r="Z961" s="539"/>
    </row>
    <row r="962" spans="1:26" ht="14.25" customHeight="1">
      <c r="A962" s="418" t="s">
        <v>2705</v>
      </c>
      <c r="B962" s="440" t="s">
        <v>341</v>
      </c>
      <c r="C962" s="439" t="s">
        <v>582</v>
      </c>
      <c r="D962" s="544" t="s">
        <v>1654</v>
      </c>
      <c r="E962" s="394">
        <v>197616</v>
      </c>
      <c r="F962" s="394" t="s">
        <v>486</v>
      </c>
      <c r="G962" s="394"/>
      <c r="H962" s="418"/>
      <c r="I962" s="418"/>
      <c r="J962" s="394" t="s">
        <v>798</v>
      </c>
      <c r="K962" s="394" t="s">
        <v>798</v>
      </c>
      <c r="L962" s="394" t="s">
        <v>798</v>
      </c>
      <c r="M962" s="394" t="s">
        <v>298</v>
      </c>
      <c r="N962" s="418">
        <v>20.495670319999999</v>
      </c>
      <c r="O962" s="418">
        <v>92.651496890000004</v>
      </c>
      <c r="P962" s="394" t="s">
        <v>799</v>
      </c>
      <c r="Q962" s="394" t="s">
        <v>802</v>
      </c>
      <c r="R962" s="543"/>
      <c r="S962" s="543"/>
      <c r="T962" s="397">
        <v>42926</v>
      </c>
      <c r="U962" s="396" t="s">
        <v>803</v>
      </c>
      <c r="V962" s="394"/>
      <c r="W962" s="421"/>
      <c r="X962" s="539"/>
      <c r="Y962" s="539"/>
      <c r="Z962" s="539"/>
    </row>
    <row r="963" spans="1:26" ht="14.25" customHeight="1">
      <c r="A963" s="418" t="s">
        <v>2705</v>
      </c>
      <c r="B963" s="440" t="s">
        <v>341</v>
      </c>
      <c r="C963" s="439" t="s">
        <v>541</v>
      </c>
      <c r="D963" s="470" t="s">
        <v>1654</v>
      </c>
      <c r="E963" s="394">
        <v>197670</v>
      </c>
      <c r="F963" s="419"/>
      <c r="G963" s="394"/>
      <c r="H963" s="394"/>
      <c r="I963" s="418"/>
      <c r="J963" s="394" t="s">
        <v>798</v>
      </c>
      <c r="K963" s="394" t="s">
        <v>798</v>
      </c>
      <c r="L963" s="394" t="s">
        <v>798</v>
      </c>
      <c r="M963" s="394" t="s">
        <v>795</v>
      </c>
      <c r="N963" s="418">
        <v>20.6833992</v>
      </c>
      <c r="O963" s="418">
        <v>92.656608579999997</v>
      </c>
      <c r="P963" s="394" t="s">
        <v>799</v>
      </c>
      <c r="Q963" s="394" t="s">
        <v>780</v>
      </c>
      <c r="R963" s="549"/>
      <c r="S963" s="550"/>
      <c r="T963" s="397" t="s">
        <v>805</v>
      </c>
      <c r="U963" s="396"/>
      <c r="V963" s="394"/>
      <c r="W963" s="421"/>
      <c r="X963" s="539"/>
      <c r="Y963" s="539"/>
      <c r="Z963" s="539"/>
    </row>
    <row r="964" spans="1:26" ht="14.25" customHeight="1">
      <c r="A964" s="418" t="s">
        <v>2705</v>
      </c>
      <c r="B964" s="440" t="s">
        <v>341</v>
      </c>
      <c r="C964" s="439" t="s">
        <v>473</v>
      </c>
      <c r="D964" s="470" t="s">
        <v>1654</v>
      </c>
      <c r="E964" s="394" t="s">
        <v>1377</v>
      </c>
      <c r="F964" s="394"/>
      <c r="G964" s="394"/>
      <c r="H964" s="418" t="s">
        <v>42</v>
      </c>
      <c r="I964" s="418"/>
      <c r="J964" s="394" t="s">
        <v>798</v>
      </c>
      <c r="K964" s="394" t="s">
        <v>798</v>
      </c>
      <c r="L964" s="394" t="s">
        <v>1654</v>
      </c>
      <c r="M964" s="394" t="s">
        <v>795</v>
      </c>
      <c r="N964" s="418">
        <v>20.447261000000001</v>
      </c>
      <c r="O964" s="418">
        <v>92.639589000000001</v>
      </c>
      <c r="P964" s="394" t="s">
        <v>761</v>
      </c>
      <c r="Q964" s="394" t="s">
        <v>780</v>
      </c>
      <c r="R964" s="421"/>
      <c r="S964" s="421"/>
      <c r="T964" s="397"/>
      <c r="U964" s="396" t="s">
        <v>1901</v>
      </c>
      <c r="V964" s="394" t="s">
        <v>473</v>
      </c>
      <c r="W964" s="421"/>
      <c r="X964" s="539"/>
      <c r="Y964" s="539"/>
      <c r="Z964" s="539"/>
    </row>
    <row r="965" spans="1:26" ht="14.25" customHeight="1">
      <c r="A965" s="418" t="s">
        <v>2705</v>
      </c>
      <c r="B965" s="440" t="s">
        <v>341</v>
      </c>
      <c r="C965" s="439" t="s">
        <v>897</v>
      </c>
      <c r="D965" s="470" t="s">
        <v>1654</v>
      </c>
      <c r="E965" s="394">
        <v>197654</v>
      </c>
      <c r="F965" s="394"/>
      <c r="G965" s="394"/>
      <c r="H965" s="418"/>
      <c r="I965" s="418"/>
      <c r="J965" s="394" t="s">
        <v>879</v>
      </c>
      <c r="K965" s="394" t="s">
        <v>798</v>
      </c>
      <c r="L965" s="394" t="s">
        <v>798</v>
      </c>
      <c r="M965" s="394" t="s">
        <v>298</v>
      </c>
      <c r="N965" s="418">
        <v>20.447399140000002</v>
      </c>
      <c r="O965" s="418">
        <v>92.630462649999998</v>
      </c>
      <c r="P965" s="394" t="s">
        <v>799</v>
      </c>
      <c r="Q965" s="394"/>
      <c r="R965" s="549"/>
      <c r="S965" s="550"/>
      <c r="T965" s="397">
        <v>42849</v>
      </c>
      <c r="U965" s="396" t="s">
        <v>893</v>
      </c>
      <c r="V965" s="394" t="s">
        <v>473</v>
      </c>
      <c r="W965" s="421"/>
      <c r="X965" s="539"/>
      <c r="Y965" s="539"/>
      <c r="Z965" s="539"/>
    </row>
    <row r="966" spans="1:26" ht="14.25" customHeight="1">
      <c r="A966" s="418" t="s">
        <v>2705</v>
      </c>
      <c r="B966" s="440" t="s">
        <v>341</v>
      </c>
      <c r="C966" s="439" t="s">
        <v>522</v>
      </c>
      <c r="D966" s="470" t="s">
        <v>1654</v>
      </c>
      <c r="E966" s="394">
        <v>197695</v>
      </c>
      <c r="F966" s="394" t="s">
        <v>2758</v>
      </c>
      <c r="G966" s="394"/>
      <c r="H966" s="418"/>
      <c r="I966" s="418"/>
      <c r="J966" s="394" t="s">
        <v>798</v>
      </c>
      <c r="K966" s="394" t="s">
        <v>798</v>
      </c>
      <c r="L966" s="418" t="s">
        <v>798</v>
      </c>
      <c r="M966" s="394" t="s">
        <v>298</v>
      </c>
      <c r="N966" s="418">
        <v>20.651939389999999</v>
      </c>
      <c r="O966" s="418">
        <v>92.684577939999997</v>
      </c>
      <c r="P966" s="394" t="s">
        <v>799</v>
      </c>
      <c r="Q966" s="394" t="s">
        <v>802</v>
      </c>
      <c r="R966" s="425"/>
      <c r="S966" s="426"/>
      <c r="T966" s="397">
        <v>42926</v>
      </c>
      <c r="U966" s="396" t="s">
        <v>803</v>
      </c>
      <c r="V966" s="394"/>
      <c r="W966" s="421"/>
      <c r="X966" s="539"/>
      <c r="Y966" s="539"/>
      <c r="Z966" s="539"/>
    </row>
    <row r="967" spans="1:26" ht="14.25" customHeight="1">
      <c r="A967" s="418" t="s">
        <v>2705</v>
      </c>
      <c r="B967" s="440" t="s">
        <v>341</v>
      </c>
      <c r="C967" s="439" t="s">
        <v>477</v>
      </c>
      <c r="D967" s="470" t="s">
        <v>1654</v>
      </c>
      <c r="E967" s="394">
        <v>197629</v>
      </c>
      <c r="F967" s="543" t="s">
        <v>477</v>
      </c>
      <c r="G967" s="394"/>
      <c r="H967" s="418"/>
      <c r="I967" s="418"/>
      <c r="J967" s="394" t="s">
        <v>798</v>
      </c>
      <c r="K967" s="394" t="s">
        <v>798</v>
      </c>
      <c r="L967" s="418" t="s">
        <v>798</v>
      </c>
      <c r="M967" s="394" t="s">
        <v>298</v>
      </c>
      <c r="N967" s="418">
        <v>20.463909149999999</v>
      </c>
      <c r="O967" s="418">
        <v>92.675468440000003</v>
      </c>
      <c r="P967" s="418" t="s">
        <v>799</v>
      </c>
      <c r="Q967" s="394" t="s">
        <v>802</v>
      </c>
      <c r="R967" s="421"/>
      <c r="S967" s="421"/>
      <c r="T967" s="397">
        <v>42926</v>
      </c>
      <c r="U967" s="396" t="s">
        <v>803</v>
      </c>
      <c r="V967" s="394"/>
      <c r="W967" s="421"/>
      <c r="X967" s="539"/>
      <c r="Y967" s="539"/>
      <c r="Z967" s="539"/>
    </row>
    <row r="968" spans="1:26" ht="14.25" customHeight="1">
      <c r="A968" s="418" t="s">
        <v>2705</v>
      </c>
      <c r="B968" s="440" t="s">
        <v>341</v>
      </c>
      <c r="C968" s="584" t="s">
        <v>517</v>
      </c>
      <c r="D968" s="470" t="s">
        <v>1654</v>
      </c>
      <c r="E968" s="394">
        <v>197706</v>
      </c>
      <c r="F968" s="539" t="s">
        <v>517</v>
      </c>
      <c r="G968" s="394"/>
      <c r="H968" s="418"/>
      <c r="I968" s="555"/>
      <c r="J968" s="394" t="s">
        <v>798</v>
      </c>
      <c r="K968" s="394" t="s">
        <v>798</v>
      </c>
      <c r="L968" s="555" t="s">
        <v>798</v>
      </c>
      <c r="M968" s="394" t="s">
        <v>298</v>
      </c>
      <c r="N968" s="418">
        <v>20.643590929999998</v>
      </c>
      <c r="O968" s="418">
        <v>92.722618100000005</v>
      </c>
      <c r="P968" s="394" t="s">
        <v>799</v>
      </c>
      <c r="Q968" s="394" t="s">
        <v>780</v>
      </c>
      <c r="R968" s="421"/>
      <c r="S968" s="421"/>
      <c r="T968" s="397" t="s">
        <v>805</v>
      </c>
      <c r="U968" s="396"/>
      <c r="V968" s="394"/>
      <c r="W968" s="577"/>
      <c r="X968" s="539"/>
      <c r="Y968" s="539"/>
      <c r="Z968" s="539"/>
    </row>
    <row r="969" spans="1:26" ht="14.25" customHeight="1">
      <c r="A969" s="418" t="s">
        <v>2705</v>
      </c>
      <c r="B969" s="580" t="s">
        <v>341</v>
      </c>
      <c r="C969" s="585" t="s">
        <v>915</v>
      </c>
      <c r="D969" s="470" t="s">
        <v>1654</v>
      </c>
      <c r="E969" s="578">
        <v>197583</v>
      </c>
      <c r="F969" s="581"/>
      <c r="G969" s="581"/>
      <c r="H969" s="581"/>
      <c r="I969" s="555"/>
      <c r="J969" s="581" t="s">
        <v>798</v>
      </c>
      <c r="K969" s="581" t="s">
        <v>798</v>
      </c>
      <c r="L969" s="555" t="s">
        <v>798</v>
      </c>
      <c r="M969" s="581"/>
      <c r="N969" s="581">
        <v>20.598709110000001</v>
      </c>
      <c r="O969" s="581">
        <v>92.664337160000002</v>
      </c>
      <c r="P969" s="581" t="s">
        <v>799</v>
      </c>
      <c r="Q969" s="581"/>
      <c r="R969" s="421"/>
      <c r="S969" s="421"/>
      <c r="T969" s="582"/>
      <c r="U969" s="583"/>
      <c r="V969" s="581" t="s">
        <v>915</v>
      </c>
      <c r="W969" s="577"/>
      <c r="X969" s="539"/>
      <c r="Y969" s="539"/>
      <c r="Z969" s="539"/>
    </row>
    <row r="970" spans="1:26" ht="14.25" customHeight="1">
      <c r="A970" s="418" t="s">
        <v>2705</v>
      </c>
      <c r="B970" s="440" t="s">
        <v>341</v>
      </c>
      <c r="C970" s="439" t="s">
        <v>489</v>
      </c>
      <c r="D970" s="470" t="s">
        <v>1654</v>
      </c>
      <c r="E970" s="394">
        <v>197615</v>
      </c>
      <c r="F970" s="394"/>
      <c r="G970" s="394"/>
      <c r="H970" s="394"/>
      <c r="I970" s="394"/>
      <c r="J970" s="418" t="s">
        <v>798</v>
      </c>
      <c r="K970" s="418" t="s">
        <v>798</v>
      </c>
      <c r="L970" s="418" t="s">
        <v>798</v>
      </c>
      <c r="M970" s="394" t="s">
        <v>298</v>
      </c>
      <c r="N970" s="418">
        <v>20.502599719999999</v>
      </c>
      <c r="O970" s="418">
        <v>92.6474762</v>
      </c>
      <c r="P970" s="394" t="s">
        <v>799</v>
      </c>
      <c r="Q970" s="394" t="s">
        <v>802</v>
      </c>
      <c r="R970" s="425"/>
      <c r="S970" s="426"/>
      <c r="T970" s="397">
        <v>42926</v>
      </c>
      <c r="U970" s="396" t="s">
        <v>803</v>
      </c>
      <c r="V970" s="394"/>
      <c r="W970" s="421"/>
      <c r="X970" s="539"/>
      <c r="Y970" s="539"/>
      <c r="Z970" s="539"/>
    </row>
    <row r="971" spans="1:26" ht="14.25" customHeight="1">
      <c r="A971" s="418" t="s">
        <v>2705</v>
      </c>
      <c r="B971" s="440" t="s">
        <v>341</v>
      </c>
      <c r="C971" s="439" t="s">
        <v>906</v>
      </c>
      <c r="D971" s="470" t="s">
        <v>1654</v>
      </c>
      <c r="E971" s="394">
        <v>197608</v>
      </c>
      <c r="F971" s="418"/>
      <c r="G971" s="394"/>
      <c r="H971" s="394"/>
      <c r="I971" s="394"/>
      <c r="J971" s="394" t="s">
        <v>798</v>
      </c>
      <c r="K971" s="394" t="s">
        <v>798</v>
      </c>
      <c r="L971" s="394" t="s">
        <v>798</v>
      </c>
      <c r="M971" s="394" t="s">
        <v>298</v>
      </c>
      <c r="N971" s="418">
        <v>20.521270749999999</v>
      </c>
      <c r="O971" s="418">
        <v>92.686096190000001</v>
      </c>
      <c r="P971" s="394" t="s">
        <v>799</v>
      </c>
      <c r="Q971" s="394"/>
      <c r="R971" s="549"/>
      <c r="S971" s="550"/>
      <c r="T971" s="397"/>
      <c r="U971" s="396"/>
      <c r="V971" s="394" t="s">
        <v>906</v>
      </c>
      <c r="W971" s="421"/>
      <c r="X971" s="539"/>
      <c r="Y971" s="539"/>
      <c r="Z971" s="539"/>
    </row>
    <row r="972" spans="1:26" ht="14.25" customHeight="1">
      <c r="A972" s="418" t="s">
        <v>2705</v>
      </c>
      <c r="B972" s="440" t="s">
        <v>341</v>
      </c>
      <c r="C972" s="439" t="s">
        <v>484</v>
      </c>
      <c r="D972" s="470" t="s">
        <v>1654</v>
      </c>
      <c r="E972" s="394">
        <v>197618</v>
      </c>
      <c r="F972" s="419"/>
      <c r="G972" s="394"/>
      <c r="H972" s="394"/>
      <c r="I972" s="394"/>
      <c r="J972" s="394" t="s">
        <v>798</v>
      </c>
      <c r="K972" s="394" t="s">
        <v>798</v>
      </c>
      <c r="L972" s="394" t="s">
        <v>798</v>
      </c>
      <c r="M972" s="394" t="s">
        <v>298</v>
      </c>
      <c r="N972" s="418">
        <v>20.480100629999999</v>
      </c>
      <c r="O972" s="418">
        <v>92.70481873</v>
      </c>
      <c r="P972" s="394" t="s">
        <v>799</v>
      </c>
      <c r="Q972" s="394" t="s">
        <v>802</v>
      </c>
      <c r="R972" s="421"/>
      <c r="S972" s="421"/>
      <c r="T972" s="397">
        <v>42926</v>
      </c>
      <c r="U972" s="396" t="s">
        <v>803</v>
      </c>
      <c r="V972" s="394"/>
      <c r="W972" s="421"/>
      <c r="X972" s="539"/>
      <c r="Y972" s="539"/>
      <c r="Z972" s="539"/>
    </row>
    <row r="973" spans="1:26" ht="14.25" customHeight="1">
      <c r="A973" s="418" t="s">
        <v>2705</v>
      </c>
      <c r="B973" s="440" t="s">
        <v>341</v>
      </c>
      <c r="C973" s="439" t="s">
        <v>516</v>
      </c>
      <c r="D973" s="470" t="s">
        <v>1654</v>
      </c>
      <c r="E973" s="394">
        <v>197707</v>
      </c>
      <c r="F973" s="394"/>
      <c r="G973" s="394"/>
      <c r="H973" s="418"/>
      <c r="I973" s="418"/>
      <c r="J973" s="394" t="s">
        <v>798</v>
      </c>
      <c r="K973" s="394" t="s">
        <v>798</v>
      </c>
      <c r="L973" s="394" t="s">
        <v>798</v>
      </c>
      <c r="M973" s="394" t="s">
        <v>298</v>
      </c>
      <c r="N973" s="418">
        <v>20.639530180000001</v>
      </c>
      <c r="O973" s="418">
        <v>92.721908569999997</v>
      </c>
      <c r="P973" s="394" t="s">
        <v>799</v>
      </c>
      <c r="Q973" s="394" t="s">
        <v>780</v>
      </c>
      <c r="R973" s="421"/>
      <c r="S973" s="545"/>
      <c r="T973" s="397" t="s">
        <v>805</v>
      </c>
      <c r="U973" s="396"/>
      <c r="V973" s="394"/>
      <c r="W973" s="421"/>
      <c r="X973" s="539"/>
      <c r="Y973" s="539"/>
      <c r="Z973" s="539"/>
    </row>
    <row r="974" spans="1:26" ht="14.25" customHeight="1">
      <c r="A974" s="418" t="s">
        <v>2705</v>
      </c>
      <c r="B974" s="440" t="s">
        <v>341</v>
      </c>
      <c r="C974" s="439" t="s">
        <v>508</v>
      </c>
      <c r="D974" s="470" t="s">
        <v>1654</v>
      </c>
      <c r="E974" s="418">
        <v>197580</v>
      </c>
      <c r="F974" s="418"/>
      <c r="G974" s="418"/>
      <c r="H974" s="418"/>
      <c r="I974" s="418"/>
      <c r="J974" s="394" t="s">
        <v>798</v>
      </c>
      <c r="K974" s="394" t="s">
        <v>798</v>
      </c>
      <c r="L974" s="394" t="s">
        <v>798</v>
      </c>
      <c r="M974" s="394" t="s">
        <v>298</v>
      </c>
      <c r="N974" s="418">
        <v>20.582699999999999</v>
      </c>
      <c r="O974" s="418">
        <v>92.664699999999996</v>
      </c>
      <c r="P974" s="394" t="s">
        <v>799</v>
      </c>
      <c r="Q974" s="394" t="s">
        <v>780</v>
      </c>
      <c r="R974" s="545"/>
      <c r="S974" s="545"/>
      <c r="T974" s="397"/>
      <c r="U974" s="396"/>
      <c r="V974" s="394" t="s">
        <v>508</v>
      </c>
      <c r="W974" s="421"/>
      <c r="X974" s="539"/>
      <c r="Y974" s="539"/>
      <c r="Z974" s="539"/>
    </row>
    <row r="975" spans="1:26" ht="14.25" customHeight="1">
      <c r="A975" s="418" t="s">
        <v>2705</v>
      </c>
      <c r="B975" s="440" t="s">
        <v>341</v>
      </c>
      <c r="C975" s="439" t="s">
        <v>481</v>
      </c>
      <c r="D975" s="470" t="s">
        <v>1654</v>
      </c>
      <c r="E975" s="394">
        <v>197630</v>
      </c>
      <c r="F975" s="394"/>
      <c r="G975" s="394"/>
      <c r="H975" s="394"/>
      <c r="I975" s="394"/>
      <c r="J975" s="394" t="s">
        <v>798</v>
      </c>
      <c r="K975" s="394" t="s">
        <v>798</v>
      </c>
      <c r="L975" s="394" t="s">
        <v>798</v>
      </c>
      <c r="M975" s="394" t="s">
        <v>298</v>
      </c>
      <c r="N975" s="418">
        <v>20.470119480000001</v>
      </c>
      <c r="O975" s="418">
        <v>92.672653199999999</v>
      </c>
      <c r="P975" s="394" t="s">
        <v>799</v>
      </c>
      <c r="Q975" s="394" t="s">
        <v>802</v>
      </c>
      <c r="R975" s="549"/>
      <c r="S975" s="550"/>
      <c r="T975" s="397">
        <v>42926</v>
      </c>
      <c r="U975" s="396" t="s">
        <v>803</v>
      </c>
      <c r="V975" s="394"/>
      <c r="W975" s="421"/>
      <c r="X975" s="539"/>
      <c r="Y975" s="539"/>
      <c r="Z975" s="539"/>
    </row>
    <row r="976" spans="1:26" ht="14.25" customHeight="1">
      <c r="A976" s="418" t="s">
        <v>2705</v>
      </c>
      <c r="B976" s="440" t="s">
        <v>341</v>
      </c>
      <c r="C976" s="439" t="s">
        <v>1911</v>
      </c>
      <c r="D976" s="470"/>
      <c r="E976" s="394">
        <v>197611</v>
      </c>
      <c r="F976" s="394" t="s">
        <v>1911</v>
      </c>
      <c r="G976" s="394"/>
      <c r="H976" s="394"/>
      <c r="I976" s="394"/>
      <c r="J976" s="394" t="s">
        <v>798</v>
      </c>
      <c r="K976" s="394" t="s">
        <v>798</v>
      </c>
      <c r="L976" s="394" t="s">
        <v>798</v>
      </c>
      <c r="M976" s="394" t="s">
        <v>298</v>
      </c>
      <c r="N976" s="394">
        <v>20.504730219999999</v>
      </c>
      <c r="O976" s="394">
        <v>92.6831131</v>
      </c>
      <c r="P976" s="394" t="s">
        <v>799</v>
      </c>
      <c r="Q976" s="394" t="s">
        <v>1908</v>
      </c>
      <c r="R976" s="421"/>
      <c r="S976" s="421"/>
      <c r="T976" s="397">
        <v>43245</v>
      </c>
      <c r="U976" s="396"/>
      <c r="V976" s="394"/>
      <c r="W976" s="421"/>
      <c r="X976" s="539"/>
      <c r="Y976" s="539"/>
      <c r="Z976" s="539"/>
    </row>
    <row r="977" spans="1:26" ht="14.25" customHeight="1">
      <c r="A977" s="418" t="s">
        <v>2705</v>
      </c>
      <c r="B977" s="440" t="s">
        <v>341</v>
      </c>
      <c r="C977" s="439" t="s">
        <v>1912</v>
      </c>
      <c r="D977" s="470"/>
      <c r="E977" s="394">
        <v>197613</v>
      </c>
      <c r="F977" s="419"/>
      <c r="G977" s="394"/>
      <c r="H977" s="394"/>
      <c r="I977" s="418"/>
      <c r="J977" s="418" t="s">
        <v>798</v>
      </c>
      <c r="K977" s="418" t="s">
        <v>798</v>
      </c>
      <c r="L977" s="418" t="s">
        <v>798</v>
      </c>
      <c r="M977" s="394" t="s">
        <v>298</v>
      </c>
      <c r="N977" s="418">
        <v>20.49729919</v>
      </c>
      <c r="O977" s="418">
        <v>92.683097840000002</v>
      </c>
      <c r="P977" s="394" t="s">
        <v>799</v>
      </c>
      <c r="Q977" s="394" t="s">
        <v>1908</v>
      </c>
      <c r="R977" s="421"/>
      <c r="S977" s="421"/>
      <c r="T977" s="397">
        <v>43245</v>
      </c>
      <c r="U977" s="396"/>
      <c r="V977" s="394"/>
      <c r="W977" s="421"/>
      <c r="X977" s="539"/>
      <c r="Y977" s="539"/>
      <c r="Z977" s="539"/>
    </row>
    <row r="978" spans="1:26" ht="14.25" customHeight="1">
      <c r="A978" s="418" t="s">
        <v>2705</v>
      </c>
      <c r="B978" s="563" t="s">
        <v>341</v>
      </c>
      <c r="C978" s="562" t="s">
        <v>492</v>
      </c>
      <c r="D978" s="470" t="s">
        <v>1654</v>
      </c>
      <c r="E978" s="539">
        <v>197596</v>
      </c>
      <c r="F978" s="394"/>
      <c r="G978" s="394"/>
      <c r="H978" s="539"/>
      <c r="I978" s="539"/>
      <c r="J978" s="539" t="s">
        <v>798</v>
      </c>
      <c r="K978" s="539" t="s">
        <v>798</v>
      </c>
      <c r="L978" s="539" t="s">
        <v>798</v>
      </c>
      <c r="M978" s="539" t="s">
        <v>298</v>
      </c>
      <c r="N978" s="539">
        <v>20.511900000000001</v>
      </c>
      <c r="O978" s="539">
        <v>92.645300000000006</v>
      </c>
      <c r="P978" s="394" t="s">
        <v>799</v>
      </c>
      <c r="Q978" s="539" t="s">
        <v>780</v>
      </c>
      <c r="R978" s="421"/>
      <c r="S978" s="421"/>
      <c r="T978" s="565"/>
      <c r="U978" s="547"/>
      <c r="V978" s="394" t="s">
        <v>492</v>
      </c>
      <c r="W978" s="421"/>
      <c r="X978" s="539"/>
      <c r="Y978" s="539"/>
      <c r="Z978" s="539"/>
    </row>
    <row r="979" spans="1:26" ht="14.25" customHeight="1">
      <c r="A979" s="418" t="s">
        <v>2705</v>
      </c>
      <c r="B979" s="440" t="s">
        <v>341</v>
      </c>
      <c r="C979" s="439" t="s">
        <v>474</v>
      </c>
      <c r="D979" s="470" t="s">
        <v>1654</v>
      </c>
      <c r="E979" s="394">
        <v>197621</v>
      </c>
      <c r="F979" s="394"/>
      <c r="G979" s="394"/>
      <c r="H979" s="394"/>
      <c r="I979" s="394"/>
      <c r="J979" s="394" t="s">
        <v>798</v>
      </c>
      <c r="K979" s="394" t="s">
        <v>798</v>
      </c>
      <c r="L979" s="394" t="s">
        <v>798</v>
      </c>
      <c r="M979" s="394" t="s">
        <v>298</v>
      </c>
      <c r="N979" s="418">
        <v>20.453830719999999</v>
      </c>
      <c r="O979" s="418">
        <v>92.683090210000003</v>
      </c>
      <c r="P979" s="394" t="s">
        <v>799</v>
      </c>
      <c r="Q979" s="394" t="s">
        <v>802</v>
      </c>
      <c r="R979" s="549"/>
      <c r="S979" s="550"/>
      <c r="T979" s="397">
        <v>42926</v>
      </c>
      <c r="U979" s="396" t="s">
        <v>803</v>
      </c>
      <c r="V979" s="394"/>
      <c r="W979" s="421"/>
      <c r="X979" s="539"/>
      <c r="Y979" s="539"/>
      <c r="Z979" s="539"/>
    </row>
    <row r="980" spans="1:26" ht="14.25" customHeight="1">
      <c r="A980" s="418" t="s">
        <v>2705</v>
      </c>
      <c r="B980" s="440" t="s">
        <v>341</v>
      </c>
      <c r="C980" s="439" t="s">
        <v>515</v>
      </c>
      <c r="D980" s="470" t="s">
        <v>1654</v>
      </c>
      <c r="E980" s="394">
        <v>197690</v>
      </c>
      <c r="F980" s="539"/>
      <c r="G980" s="394"/>
      <c r="H980" s="394"/>
      <c r="I980" s="394"/>
      <c r="J980" s="394" t="s">
        <v>798</v>
      </c>
      <c r="K980" s="394" t="s">
        <v>798</v>
      </c>
      <c r="L980" s="394" t="s">
        <v>798</v>
      </c>
      <c r="M980" s="394" t="s">
        <v>298</v>
      </c>
      <c r="N980" s="418">
        <v>20.636510850000001</v>
      </c>
      <c r="O980" s="418">
        <v>92.713378910000003</v>
      </c>
      <c r="P980" s="394" t="s">
        <v>799</v>
      </c>
      <c r="Q980" s="394" t="s">
        <v>780</v>
      </c>
      <c r="R980" s="545"/>
      <c r="S980" s="545"/>
      <c r="T980" s="397" t="s">
        <v>805</v>
      </c>
      <c r="U980" s="396"/>
      <c r="V980" s="394"/>
      <c r="W980" s="421"/>
      <c r="X980" s="539"/>
      <c r="Y980" s="539"/>
      <c r="Z980" s="539"/>
    </row>
    <row r="981" spans="1:26" ht="14.25" customHeight="1">
      <c r="A981" s="539" t="s">
        <v>2705</v>
      </c>
      <c r="B981" s="563" t="s">
        <v>341</v>
      </c>
      <c r="C981" s="562" t="s">
        <v>501</v>
      </c>
      <c r="D981" s="470" t="s">
        <v>1654</v>
      </c>
      <c r="E981" s="394">
        <v>197597</v>
      </c>
      <c r="F981" s="543"/>
      <c r="G981" s="394"/>
      <c r="H981" s="394"/>
      <c r="I981" s="394"/>
      <c r="J981" s="394" t="s">
        <v>798</v>
      </c>
      <c r="K981" s="394" t="s">
        <v>798</v>
      </c>
      <c r="L981" s="394" t="s">
        <v>798</v>
      </c>
      <c r="M981" s="394" t="s">
        <v>795</v>
      </c>
      <c r="N981" s="418">
        <v>20.550769809999998</v>
      </c>
      <c r="O981" s="418">
        <v>92.650512699999993</v>
      </c>
      <c r="P981" s="394" t="s">
        <v>799</v>
      </c>
      <c r="Q981" s="394" t="s">
        <v>780</v>
      </c>
      <c r="R981" s="545"/>
      <c r="S981" s="545"/>
      <c r="T981" s="397"/>
      <c r="U981" s="547"/>
      <c r="V981" s="394" t="s">
        <v>501</v>
      </c>
      <c r="W981" s="421"/>
      <c r="X981" s="539"/>
      <c r="Y981" s="539"/>
      <c r="Z981" s="539"/>
    </row>
    <row r="982" spans="1:26" ht="14.25" customHeight="1">
      <c r="A982" s="418" t="s">
        <v>2705</v>
      </c>
      <c r="B982" s="563" t="s">
        <v>341</v>
      </c>
      <c r="C982" s="562" t="s">
        <v>461</v>
      </c>
      <c r="D982" s="470" t="s">
        <v>2312</v>
      </c>
      <c r="E982" s="394" t="s">
        <v>1369</v>
      </c>
      <c r="F982" s="394"/>
      <c r="G982" s="394"/>
      <c r="H982" s="394"/>
      <c r="I982" s="394"/>
      <c r="J982" s="394" t="s">
        <v>798</v>
      </c>
      <c r="K982" s="394" t="s">
        <v>798</v>
      </c>
      <c r="L982" s="539" t="s">
        <v>883</v>
      </c>
      <c r="M982" s="394" t="s">
        <v>795</v>
      </c>
      <c r="N982" s="418">
        <v>20.335864000000001</v>
      </c>
      <c r="O982" s="418">
        <v>92.785706000000005</v>
      </c>
      <c r="P982" s="394" t="s">
        <v>799</v>
      </c>
      <c r="Q982" s="394" t="s">
        <v>780</v>
      </c>
      <c r="R982" s="545">
        <v>56</v>
      </c>
      <c r="S982" s="422">
        <v>332</v>
      </c>
      <c r="T982" s="397"/>
      <c r="U982" s="396"/>
      <c r="V982" s="394" t="s">
        <v>884</v>
      </c>
      <c r="W982" s="421"/>
      <c r="X982" s="539"/>
      <c r="Y982" s="539"/>
      <c r="Z982" s="539"/>
    </row>
    <row r="983" spans="1:26" ht="14.25" customHeight="1">
      <c r="A983" s="418" t="s">
        <v>2705</v>
      </c>
      <c r="B983" s="440" t="s">
        <v>341</v>
      </c>
      <c r="C983" s="439" t="s">
        <v>462</v>
      </c>
      <c r="D983" s="470" t="s">
        <v>1654</v>
      </c>
      <c r="E983" s="394">
        <v>197779</v>
      </c>
      <c r="F983" s="394"/>
      <c r="G983" s="394"/>
      <c r="H983" s="394"/>
      <c r="I983" s="394"/>
      <c r="J983" s="394" t="s">
        <v>798</v>
      </c>
      <c r="K983" s="394" t="s">
        <v>798</v>
      </c>
      <c r="L983" s="418" t="s">
        <v>798</v>
      </c>
      <c r="M983" s="394" t="s">
        <v>298</v>
      </c>
      <c r="N983" s="418">
        <v>20.339799880000001</v>
      </c>
      <c r="O983" s="418">
        <v>92.782653809999999</v>
      </c>
      <c r="P983" s="394" t="s">
        <v>799</v>
      </c>
      <c r="Q983" s="394" t="s">
        <v>780</v>
      </c>
      <c r="R983" s="425"/>
      <c r="S983" s="426"/>
      <c r="T983" s="397"/>
      <c r="U983" s="396"/>
      <c r="V983" s="394"/>
      <c r="W983" s="421"/>
      <c r="X983" s="539"/>
      <c r="Y983" s="539"/>
      <c r="Z983" s="539"/>
    </row>
    <row r="984" spans="1:26" ht="14.25" customHeight="1">
      <c r="A984" s="418" t="s">
        <v>2705</v>
      </c>
      <c r="B984" s="440" t="s">
        <v>341</v>
      </c>
      <c r="C984" s="439" t="s">
        <v>550</v>
      </c>
      <c r="D984" s="470" t="s">
        <v>1654</v>
      </c>
      <c r="E984" s="394">
        <v>197671</v>
      </c>
      <c r="F984" s="394"/>
      <c r="G984" s="394"/>
      <c r="H984" s="394"/>
      <c r="I984" s="418"/>
      <c r="J984" s="394" t="s">
        <v>798</v>
      </c>
      <c r="K984" s="394" t="s">
        <v>798</v>
      </c>
      <c r="L984" s="418" t="s">
        <v>798</v>
      </c>
      <c r="M984" s="394" t="s">
        <v>298</v>
      </c>
      <c r="N984" s="418">
        <v>20.694499969999999</v>
      </c>
      <c r="O984" s="418">
        <v>92.647750849999994</v>
      </c>
      <c r="P984" s="394" t="s">
        <v>799</v>
      </c>
      <c r="Q984" s="394" t="s">
        <v>780</v>
      </c>
      <c r="R984" s="421"/>
      <c r="S984" s="421"/>
      <c r="T984" s="397" t="s">
        <v>780</v>
      </c>
      <c r="U984" s="396"/>
      <c r="V984" s="394"/>
      <c r="W984" s="545"/>
      <c r="X984" s="539"/>
      <c r="Y984" s="539"/>
      <c r="Z984" s="539"/>
    </row>
    <row r="985" spans="1:26" ht="14.25" customHeight="1">
      <c r="A985" s="539" t="s">
        <v>2705</v>
      </c>
      <c r="B985" s="563" t="s">
        <v>341</v>
      </c>
      <c r="C985" s="562" t="s">
        <v>543</v>
      </c>
      <c r="D985" s="470" t="s">
        <v>1654</v>
      </c>
      <c r="E985" s="394">
        <v>197672</v>
      </c>
      <c r="F985" s="394" t="s">
        <v>543</v>
      </c>
      <c r="G985" s="394"/>
      <c r="H985" s="418"/>
      <c r="I985" s="418"/>
      <c r="J985" s="394" t="s">
        <v>798</v>
      </c>
      <c r="K985" s="394" t="s">
        <v>798</v>
      </c>
      <c r="L985" s="394" t="s">
        <v>798</v>
      </c>
      <c r="M985" s="394" t="s">
        <v>298</v>
      </c>
      <c r="N985" s="418">
        <v>20.686460490000002</v>
      </c>
      <c r="O985" s="418">
        <v>92.682327270000002</v>
      </c>
      <c r="P985" s="394" t="s">
        <v>799</v>
      </c>
      <c r="Q985" s="394" t="s">
        <v>780</v>
      </c>
      <c r="R985" s="545"/>
      <c r="S985" s="545"/>
      <c r="T985" s="397" t="s">
        <v>780</v>
      </c>
      <c r="U985" s="547"/>
      <c r="V985" s="562"/>
      <c r="W985" s="421"/>
      <c r="X985" s="539"/>
      <c r="Y985" s="539"/>
      <c r="Z985" s="539"/>
    </row>
    <row r="986" spans="1:26" ht="14.25" customHeight="1">
      <c r="A986" s="418" t="s">
        <v>2705</v>
      </c>
      <c r="B986" s="440" t="s">
        <v>341</v>
      </c>
      <c r="C986" s="439" t="s">
        <v>547</v>
      </c>
      <c r="D986" s="470" t="s">
        <v>1654</v>
      </c>
      <c r="E986" s="394">
        <v>197669</v>
      </c>
      <c r="F986" s="543"/>
      <c r="G986" s="394"/>
      <c r="H986" s="394"/>
      <c r="I986" s="394"/>
      <c r="J986" s="394" t="s">
        <v>2714</v>
      </c>
      <c r="K986" s="394" t="s">
        <v>2676</v>
      </c>
      <c r="L986" s="394" t="s">
        <v>2676</v>
      </c>
      <c r="M986" s="394" t="s">
        <v>298</v>
      </c>
      <c r="N986" s="394">
        <v>20.688629150000001</v>
      </c>
      <c r="O986" s="394">
        <v>92.652481080000001</v>
      </c>
      <c r="P986" s="394" t="s">
        <v>799</v>
      </c>
      <c r="Q986" s="394" t="s">
        <v>780</v>
      </c>
      <c r="R986" s="421"/>
      <c r="S986" s="421"/>
      <c r="T986" s="397" t="s">
        <v>805</v>
      </c>
      <c r="U986" s="396"/>
      <c r="V986" s="394"/>
      <c r="W986" s="421"/>
      <c r="X986" s="539"/>
      <c r="Y986" s="539"/>
      <c r="Z986" s="539"/>
    </row>
    <row r="987" spans="1:26" ht="14.25" customHeight="1">
      <c r="A987" s="539" t="s">
        <v>2705</v>
      </c>
      <c r="B987" s="570" t="s">
        <v>341</v>
      </c>
      <c r="C987" s="576" t="s">
        <v>493</v>
      </c>
      <c r="D987" s="470" t="s">
        <v>1654</v>
      </c>
      <c r="E987" s="555">
        <v>197609</v>
      </c>
      <c r="F987" s="394"/>
      <c r="G987" s="394"/>
      <c r="H987" s="555"/>
      <c r="I987" s="555"/>
      <c r="J987" s="555" t="s">
        <v>798</v>
      </c>
      <c r="K987" s="555" t="s">
        <v>798</v>
      </c>
      <c r="L987" s="555" t="s">
        <v>798</v>
      </c>
      <c r="M987" s="555" t="s">
        <v>298</v>
      </c>
      <c r="N987" s="555">
        <v>20.5177002</v>
      </c>
      <c r="O987" s="555">
        <v>92.660263060000005</v>
      </c>
      <c r="P987" s="394" t="s">
        <v>799</v>
      </c>
      <c r="Q987" s="556" t="s">
        <v>780</v>
      </c>
      <c r="R987" s="545"/>
      <c r="S987" s="545"/>
      <c r="T987" s="567"/>
      <c r="U987" s="555"/>
      <c r="V987" s="418" t="s">
        <v>493</v>
      </c>
      <c r="W987" s="421"/>
      <c r="X987" s="539"/>
      <c r="Y987" s="539"/>
      <c r="Z987" s="539"/>
    </row>
    <row r="988" spans="1:26" ht="14.25" customHeight="1">
      <c r="A988" s="418" t="s">
        <v>2705</v>
      </c>
      <c r="B988" s="440" t="s">
        <v>341</v>
      </c>
      <c r="C988" s="439" t="s">
        <v>497</v>
      </c>
      <c r="D988" s="470" t="s">
        <v>1654</v>
      </c>
      <c r="E988" s="418">
        <v>197599</v>
      </c>
      <c r="F988" s="418"/>
      <c r="G988" s="394"/>
      <c r="H988" s="394"/>
      <c r="I988" s="394"/>
      <c r="J988" s="394" t="s">
        <v>798</v>
      </c>
      <c r="K988" s="418" t="s">
        <v>798</v>
      </c>
      <c r="L988" s="418" t="s">
        <v>798</v>
      </c>
      <c r="M988" s="394" t="s">
        <v>298</v>
      </c>
      <c r="N988" s="394">
        <v>20.543479919999999</v>
      </c>
      <c r="O988" s="418">
        <v>92.676979059999994</v>
      </c>
      <c r="P988" s="394" t="s">
        <v>799</v>
      </c>
      <c r="Q988" s="394" t="s">
        <v>780</v>
      </c>
      <c r="R988" s="545"/>
      <c r="S988" s="545"/>
      <c r="T988" s="397"/>
      <c r="U988" s="396"/>
      <c r="V988" s="394" t="s">
        <v>497</v>
      </c>
      <c r="W988" s="421"/>
      <c r="X988" s="539"/>
      <c r="Y988" s="539"/>
      <c r="Z988" s="539"/>
    </row>
    <row r="989" spans="1:26" ht="14.25" customHeight="1">
      <c r="A989" s="418" t="s">
        <v>2705</v>
      </c>
      <c r="B989" s="440" t="s">
        <v>341</v>
      </c>
      <c r="C989" s="439" t="s">
        <v>538</v>
      </c>
      <c r="D989" s="544" t="s">
        <v>1654</v>
      </c>
      <c r="E989" s="394">
        <v>197683</v>
      </c>
      <c r="F989" s="543"/>
      <c r="G989" s="394"/>
      <c r="H989" s="394"/>
      <c r="I989" s="394"/>
      <c r="J989" s="394" t="s">
        <v>2714</v>
      </c>
      <c r="K989" s="394" t="s">
        <v>2676</v>
      </c>
      <c r="L989" s="394" t="s">
        <v>2676</v>
      </c>
      <c r="M989" s="394" t="s">
        <v>298</v>
      </c>
      <c r="N989" s="394">
        <v>20.678159709999999</v>
      </c>
      <c r="O989" s="394">
        <v>92.713821409999994</v>
      </c>
      <c r="P989" s="394" t="s">
        <v>799</v>
      </c>
      <c r="Q989" s="394" t="s">
        <v>780</v>
      </c>
      <c r="R989" s="543"/>
      <c r="S989" s="543"/>
      <c r="T989" s="397" t="s">
        <v>780</v>
      </c>
      <c r="U989" s="396"/>
      <c r="V989" s="394"/>
      <c r="W989" s="421"/>
      <c r="X989" s="539"/>
      <c r="Y989" s="539"/>
      <c r="Z989" s="539"/>
    </row>
    <row r="990" spans="1:26" ht="14.25" customHeight="1">
      <c r="A990" s="418" t="s">
        <v>2705</v>
      </c>
      <c r="B990" s="574" t="s">
        <v>341</v>
      </c>
      <c r="C990" s="575" t="s">
        <v>910</v>
      </c>
      <c r="D990" s="544" t="s">
        <v>1654</v>
      </c>
      <c r="E990" s="394">
        <v>220694</v>
      </c>
      <c r="F990" s="394"/>
      <c r="G990" s="394"/>
      <c r="H990" s="394"/>
      <c r="I990" s="394"/>
      <c r="J990" s="394" t="s">
        <v>798</v>
      </c>
      <c r="K990" s="394" t="s">
        <v>798</v>
      </c>
      <c r="L990" s="543" t="s">
        <v>798</v>
      </c>
      <c r="M990" s="394" t="s">
        <v>298</v>
      </c>
      <c r="N990" s="418">
        <v>20.581470490000001</v>
      </c>
      <c r="O990" s="418">
        <v>92.643272400000001</v>
      </c>
      <c r="P990" s="394" t="s">
        <v>799</v>
      </c>
      <c r="Q990" s="394"/>
      <c r="R990" s="553"/>
      <c r="S990" s="422"/>
      <c r="T990" s="397"/>
      <c r="U990" s="396"/>
      <c r="V990" s="394" t="s">
        <v>911</v>
      </c>
      <c r="W990" s="421"/>
      <c r="X990" s="539"/>
      <c r="Y990" s="539"/>
      <c r="Z990" s="539"/>
    </row>
    <row r="991" spans="1:26" ht="14.25" customHeight="1">
      <c r="A991" s="539" t="s">
        <v>2705</v>
      </c>
      <c r="B991" s="563" t="s">
        <v>341</v>
      </c>
      <c r="C991" s="562" t="s">
        <v>342</v>
      </c>
      <c r="D991" s="470" t="s">
        <v>1654</v>
      </c>
      <c r="E991" s="394"/>
      <c r="F991" s="394"/>
      <c r="G991" s="394"/>
      <c r="H991" s="394"/>
      <c r="I991" s="418"/>
      <c r="J991" s="394" t="s">
        <v>798</v>
      </c>
      <c r="K991" s="394" t="s">
        <v>798</v>
      </c>
      <c r="L991" s="394" t="s">
        <v>798</v>
      </c>
      <c r="M991" s="394" t="s">
        <v>298</v>
      </c>
      <c r="N991" s="418"/>
      <c r="O991" s="418"/>
      <c r="P991" s="394" t="s">
        <v>799</v>
      </c>
      <c r="Q991" s="394" t="s">
        <v>780</v>
      </c>
      <c r="R991" s="549"/>
      <c r="S991" s="550"/>
      <c r="T991" s="397" t="s">
        <v>805</v>
      </c>
      <c r="U991" s="547"/>
      <c r="V991" s="394"/>
      <c r="W991" s="421"/>
      <c r="X991" s="539"/>
      <c r="Y991" s="539"/>
      <c r="Z991" s="539"/>
    </row>
    <row r="992" spans="1:26" ht="14.25" customHeight="1">
      <c r="A992" s="418" t="s">
        <v>2705</v>
      </c>
      <c r="B992" s="440" t="s">
        <v>341</v>
      </c>
      <c r="C992" s="439" t="s">
        <v>2759</v>
      </c>
      <c r="D992" s="470" t="s">
        <v>1654</v>
      </c>
      <c r="E992" s="394">
        <v>197586</v>
      </c>
      <c r="F992" s="394" t="s">
        <v>2026</v>
      </c>
      <c r="G992" s="394"/>
      <c r="H992" s="394"/>
      <c r="I992" s="394"/>
      <c r="J992" s="394" t="s">
        <v>798</v>
      </c>
      <c r="K992" s="394" t="s">
        <v>798</v>
      </c>
      <c r="L992" s="394" t="s">
        <v>798</v>
      </c>
      <c r="M992" s="394" t="s">
        <v>298</v>
      </c>
      <c r="N992" s="394">
        <v>20.58996964</v>
      </c>
      <c r="O992" s="394">
        <v>92.691757199999998</v>
      </c>
      <c r="P992" s="394" t="s">
        <v>799</v>
      </c>
      <c r="Q992" s="394" t="s">
        <v>780</v>
      </c>
      <c r="R992" s="421"/>
      <c r="S992" s="545"/>
      <c r="T992" s="397"/>
      <c r="U992" s="396"/>
      <c r="V992" s="394" t="s">
        <v>510</v>
      </c>
      <c r="W992" s="579"/>
      <c r="X992" s="539"/>
      <c r="Y992" s="539"/>
      <c r="Z992" s="539"/>
    </row>
    <row r="993" spans="1:26" ht="14.25" customHeight="1">
      <c r="A993" s="418" t="s">
        <v>2705</v>
      </c>
      <c r="B993" s="440" t="s">
        <v>341</v>
      </c>
      <c r="C993" s="439" t="s">
        <v>2876</v>
      </c>
      <c r="D993" s="470" t="s">
        <v>1654</v>
      </c>
      <c r="E993" s="394">
        <v>197589</v>
      </c>
      <c r="F993" s="394" t="s">
        <v>908</v>
      </c>
      <c r="G993" s="394"/>
      <c r="H993" s="418"/>
      <c r="I993" s="418"/>
      <c r="J993" s="394" t="s">
        <v>2714</v>
      </c>
      <c r="K993" s="394" t="s">
        <v>2676</v>
      </c>
      <c r="L993" s="394" t="s">
        <v>2676</v>
      </c>
      <c r="M993" s="394"/>
      <c r="N993" s="418">
        <v>20.575780868530298</v>
      </c>
      <c r="O993" s="418">
        <v>92.670402526855497</v>
      </c>
      <c r="P993" s="394"/>
      <c r="Q993" s="394"/>
      <c r="R993" s="421"/>
      <c r="S993" s="546"/>
      <c r="T993" s="397"/>
      <c r="U993" s="396"/>
      <c r="V993" s="394" t="s">
        <v>2840</v>
      </c>
      <c r="W993" s="421"/>
      <c r="X993" s="539"/>
      <c r="Y993" s="539"/>
      <c r="Z993" s="539"/>
    </row>
    <row r="994" spans="1:26" ht="14.25" customHeight="1">
      <c r="A994" s="549" t="s">
        <v>2705</v>
      </c>
      <c r="B994" s="574" t="s">
        <v>341</v>
      </c>
      <c r="C994" s="575" t="s">
        <v>2846</v>
      </c>
      <c r="D994" s="544"/>
      <c r="E994" s="394"/>
      <c r="F994" s="539"/>
      <c r="G994" s="394"/>
      <c r="H994" s="418"/>
      <c r="I994" s="418"/>
      <c r="J994" s="394" t="s">
        <v>2714</v>
      </c>
      <c r="K994" s="394" t="s">
        <v>2676</v>
      </c>
      <c r="L994" s="394" t="s">
        <v>2676</v>
      </c>
      <c r="M994" s="394"/>
      <c r="N994" s="418"/>
      <c r="O994" s="418"/>
      <c r="P994" s="394"/>
      <c r="Q994" s="394"/>
      <c r="R994" s="553"/>
      <c r="S994" s="422"/>
      <c r="T994" s="397">
        <v>43591</v>
      </c>
      <c r="U994" s="553"/>
      <c r="V994" s="550" t="s">
        <v>2846</v>
      </c>
      <c r="W994" s="421"/>
      <c r="X994" s="539"/>
      <c r="Y994" s="539"/>
      <c r="Z994" s="539"/>
    </row>
    <row r="995" spans="1:26" ht="14.25" customHeight="1">
      <c r="A995" s="539" t="s">
        <v>2705</v>
      </c>
      <c r="B995" s="563" t="s">
        <v>341</v>
      </c>
      <c r="C995" s="562" t="s">
        <v>887</v>
      </c>
      <c r="D995" s="470" t="s">
        <v>1654</v>
      </c>
      <c r="E995" s="394">
        <v>197765</v>
      </c>
      <c r="F995" s="394"/>
      <c r="G995" s="394"/>
      <c r="H995" s="418"/>
      <c r="I995" s="418"/>
      <c r="J995" s="394" t="s">
        <v>798</v>
      </c>
      <c r="K995" s="394" t="s">
        <v>798</v>
      </c>
      <c r="L995" s="394" t="s">
        <v>798</v>
      </c>
      <c r="M995" s="394" t="s">
        <v>298</v>
      </c>
      <c r="N995" s="418">
        <v>20.3917</v>
      </c>
      <c r="O995" s="418">
        <v>92.770899999999997</v>
      </c>
      <c r="P995" s="394" t="s">
        <v>799</v>
      </c>
      <c r="Q995" s="394"/>
      <c r="R995" s="545"/>
      <c r="S995" s="545"/>
      <c r="T995" s="397"/>
      <c r="U995" s="547"/>
      <c r="V995" s="394" t="s">
        <v>887</v>
      </c>
      <c r="W995" s="421"/>
      <c r="X995" s="539"/>
      <c r="Y995" s="539"/>
      <c r="Z995" s="539"/>
    </row>
    <row r="996" spans="1:26" ht="14.25" customHeight="1">
      <c r="A996" s="549" t="s">
        <v>2705</v>
      </c>
      <c r="B996" s="574" t="s">
        <v>341</v>
      </c>
      <c r="C996" s="575" t="s">
        <v>2847</v>
      </c>
      <c r="D996" s="544"/>
      <c r="E996" s="394"/>
      <c r="F996" s="394"/>
      <c r="G996" s="394"/>
      <c r="H996" s="394"/>
      <c r="I996" s="394"/>
      <c r="J996" s="418" t="s">
        <v>2714</v>
      </c>
      <c r="K996" s="418" t="s">
        <v>2676</v>
      </c>
      <c r="L996" s="418" t="s">
        <v>2676</v>
      </c>
      <c r="M996" s="394"/>
      <c r="N996" s="394"/>
      <c r="O996" s="394"/>
      <c r="P996" s="394"/>
      <c r="Q996" s="394"/>
      <c r="R996" s="553"/>
      <c r="S996" s="395"/>
      <c r="T996" s="397">
        <v>43591</v>
      </c>
      <c r="U996" s="553"/>
      <c r="V996" s="394"/>
      <c r="W996" s="421"/>
      <c r="X996" s="539"/>
      <c r="Y996" s="539"/>
      <c r="Z996" s="539"/>
    </row>
    <row r="997" spans="1:26" ht="14.25" customHeight="1">
      <c r="A997" s="418" t="s">
        <v>2705</v>
      </c>
      <c r="B997" s="440" t="s">
        <v>341</v>
      </c>
      <c r="C997" s="439" t="s">
        <v>565</v>
      </c>
      <c r="D997" s="470" t="s">
        <v>1654</v>
      </c>
      <c r="E997" s="394">
        <v>197666</v>
      </c>
      <c r="F997" s="394"/>
      <c r="G997" s="394"/>
      <c r="H997" s="418"/>
      <c r="I997" s="418"/>
      <c r="J997" s="418" t="s">
        <v>798</v>
      </c>
      <c r="K997" s="418" t="s">
        <v>798</v>
      </c>
      <c r="L997" s="418" t="s">
        <v>798</v>
      </c>
      <c r="M997" s="394" t="s">
        <v>795</v>
      </c>
      <c r="N997" s="418">
        <v>20.716560359999999</v>
      </c>
      <c r="O997" s="418">
        <v>92.645408630000006</v>
      </c>
      <c r="P997" s="394" t="s">
        <v>799</v>
      </c>
      <c r="Q997" s="394" t="s">
        <v>780</v>
      </c>
      <c r="R997" s="549"/>
      <c r="S997" s="550"/>
      <c r="T997" s="397" t="s">
        <v>805</v>
      </c>
      <c r="U997" s="396"/>
      <c r="V997" s="418"/>
      <c r="W997" s="421"/>
      <c r="X997" s="539"/>
      <c r="Y997" s="539"/>
      <c r="Z997" s="539"/>
    </row>
    <row r="998" spans="1:26" ht="14.25" customHeight="1">
      <c r="A998" s="539" t="s">
        <v>2705</v>
      </c>
      <c r="B998" s="563" t="s">
        <v>341</v>
      </c>
      <c r="C998" s="562" t="s">
        <v>575</v>
      </c>
      <c r="D998" s="470" t="s">
        <v>1654</v>
      </c>
      <c r="E998" s="394">
        <v>197665</v>
      </c>
      <c r="F998" s="394"/>
      <c r="G998" s="394"/>
      <c r="H998" s="394"/>
      <c r="I998" s="394"/>
      <c r="J998" s="394" t="s">
        <v>798</v>
      </c>
      <c r="K998" s="394" t="s">
        <v>798</v>
      </c>
      <c r="L998" s="394" t="s">
        <v>798</v>
      </c>
      <c r="M998" s="394" t="s">
        <v>298</v>
      </c>
      <c r="N998" s="394">
        <v>20.72533035</v>
      </c>
      <c r="O998" s="394">
        <v>92.64795685</v>
      </c>
      <c r="P998" s="394" t="s">
        <v>799</v>
      </c>
      <c r="Q998" s="394" t="s">
        <v>780</v>
      </c>
      <c r="R998" s="549"/>
      <c r="S998" s="550"/>
      <c r="T998" s="397" t="s">
        <v>805</v>
      </c>
      <c r="U998" s="547"/>
      <c r="V998" s="394"/>
      <c r="W998" s="421"/>
      <c r="X998" s="539"/>
      <c r="Y998" s="539"/>
      <c r="Z998" s="539"/>
    </row>
    <row r="999" spans="1:26" ht="14.25" customHeight="1">
      <c r="A999" s="418" t="s">
        <v>2705</v>
      </c>
      <c r="B999" s="440" t="s">
        <v>341</v>
      </c>
      <c r="C999" s="439" t="s">
        <v>495</v>
      </c>
      <c r="D999" s="470" t="s">
        <v>1654</v>
      </c>
      <c r="E999" s="394">
        <v>197595</v>
      </c>
      <c r="F999" s="394" t="s">
        <v>505</v>
      </c>
      <c r="G999" s="394"/>
      <c r="H999" s="418"/>
      <c r="I999" s="418"/>
      <c r="J999" s="394" t="s">
        <v>798</v>
      </c>
      <c r="K999" s="418" t="s">
        <v>798</v>
      </c>
      <c r="L999" s="418" t="s">
        <v>798</v>
      </c>
      <c r="M999" s="394" t="s">
        <v>298</v>
      </c>
      <c r="N999" s="418">
        <v>20.523090360000001</v>
      </c>
      <c r="O999" s="418">
        <v>92.637947080000004</v>
      </c>
      <c r="P999" s="394" t="s">
        <v>799</v>
      </c>
      <c r="Q999" s="394" t="s">
        <v>780</v>
      </c>
      <c r="R999" s="421"/>
      <c r="S999" s="422"/>
      <c r="T999" s="397"/>
      <c r="U999" s="396"/>
      <c r="V999" s="394" t="s">
        <v>495</v>
      </c>
      <c r="W999" s="421"/>
      <c r="X999" s="539"/>
      <c r="Y999" s="539"/>
      <c r="Z999" s="539"/>
    </row>
    <row r="1000" spans="1:26" ht="14.25" customHeight="1">
      <c r="A1000" s="549" t="s">
        <v>2705</v>
      </c>
      <c r="B1000" s="574" t="s">
        <v>341</v>
      </c>
      <c r="C1000" s="575" t="s">
        <v>2845</v>
      </c>
      <c r="D1000" s="544"/>
      <c r="E1000" s="394">
        <v>197677</v>
      </c>
      <c r="F1000" s="394"/>
      <c r="G1000" s="394"/>
      <c r="H1000" s="394"/>
      <c r="I1000" s="418"/>
      <c r="J1000" s="394" t="s">
        <v>2714</v>
      </c>
      <c r="K1000" s="394" t="s">
        <v>2676</v>
      </c>
      <c r="L1000" s="418" t="s">
        <v>2676</v>
      </c>
      <c r="M1000" s="394"/>
      <c r="N1000" s="418">
        <v>20.660871505737301</v>
      </c>
      <c r="O1000" s="418">
        <v>92.683090209960895</v>
      </c>
      <c r="P1000" s="394"/>
      <c r="Q1000" s="394"/>
      <c r="R1000" s="553"/>
      <c r="S1000" s="422"/>
      <c r="T1000" s="397">
        <v>43591</v>
      </c>
      <c r="U1000" s="553"/>
      <c r="V1000" s="394"/>
      <c r="W1000" s="545"/>
      <c r="X1000" s="539"/>
      <c r="Y1000" s="539"/>
      <c r="Z1000" s="539"/>
    </row>
    <row r="1001" spans="1:26" ht="14.25" customHeight="1">
      <c r="A1001" s="418" t="s">
        <v>2705</v>
      </c>
      <c r="B1001" s="440" t="s">
        <v>341</v>
      </c>
      <c r="C1001" s="439" t="s">
        <v>500</v>
      </c>
      <c r="D1001" s="470" t="s">
        <v>1654</v>
      </c>
      <c r="E1001" s="394">
        <v>197600</v>
      </c>
      <c r="F1001" s="394"/>
      <c r="G1001" s="394"/>
      <c r="H1001" s="418"/>
      <c r="I1001" s="418"/>
      <c r="J1001" s="394" t="s">
        <v>798</v>
      </c>
      <c r="K1001" s="394" t="s">
        <v>798</v>
      </c>
      <c r="L1001" s="394" t="s">
        <v>798</v>
      </c>
      <c r="M1001" s="394" t="s">
        <v>795</v>
      </c>
      <c r="N1001" s="418">
        <v>20.550130840000001</v>
      </c>
      <c r="O1001" s="418">
        <v>92.656723020000001</v>
      </c>
      <c r="P1001" s="394" t="s">
        <v>799</v>
      </c>
      <c r="Q1001" s="394" t="s">
        <v>780</v>
      </c>
      <c r="R1001" s="421"/>
      <c r="S1001" s="422"/>
      <c r="T1001" s="397"/>
      <c r="U1001" s="396"/>
      <c r="V1001" s="394" t="s">
        <v>500</v>
      </c>
      <c r="W1001" s="545"/>
      <c r="X1001" s="539"/>
      <c r="Y1001" s="539"/>
      <c r="Z1001" s="539"/>
    </row>
    <row r="1002" spans="1:26" ht="14.25" customHeight="1">
      <c r="A1002" s="418" t="s">
        <v>2705</v>
      </c>
      <c r="B1002" s="440" t="s">
        <v>341</v>
      </c>
      <c r="C1002" s="439" t="s">
        <v>486</v>
      </c>
      <c r="D1002" s="470" t="s">
        <v>1654</v>
      </c>
      <c r="E1002" s="394">
        <v>197614</v>
      </c>
      <c r="F1002" s="394" t="s">
        <v>486</v>
      </c>
      <c r="G1002" s="394"/>
      <c r="H1002" s="394"/>
      <c r="I1002" s="394"/>
      <c r="J1002" s="394" t="s">
        <v>798</v>
      </c>
      <c r="K1002" s="394" t="s">
        <v>798</v>
      </c>
      <c r="L1002" s="394" t="s">
        <v>798</v>
      </c>
      <c r="M1002" s="394" t="s">
        <v>298</v>
      </c>
      <c r="N1002" s="394">
        <v>20.48693085</v>
      </c>
      <c r="O1002" s="394">
        <v>92.662757869999993</v>
      </c>
      <c r="P1002" s="394" t="s">
        <v>799</v>
      </c>
      <c r="Q1002" s="394" t="s">
        <v>802</v>
      </c>
      <c r="R1002" s="421"/>
      <c r="S1002" s="545"/>
      <c r="T1002" s="397">
        <v>42926</v>
      </c>
      <c r="U1002" s="396" t="s">
        <v>803</v>
      </c>
      <c r="V1002" s="394"/>
      <c r="W1002" s="545"/>
      <c r="X1002" s="539"/>
      <c r="Y1002" s="539"/>
      <c r="Z1002" s="539"/>
    </row>
    <row r="1003" spans="1:26" ht="14.25" customHeight="1">
      <c r="A1003" s="418" t="s">
        <v>2705</v>
      </c>
      <c r="B1003" s="440" t="s">
        <v>341</v>
      </c>
      <c r="C1003" s="439" t="s">
        <v>483</v>
      </c>
      <c r="D1003" s="470" t="s">
        <v>1654</v>
      </c>
      <c r="E1003" s="394">
        <v>197617</v>
      </c>
      <c r="F1003" s="543" t="s">
        <v>483</v>
      </c>
      <c r="G1003" s="394"/>
      <c r="H1003" s="394"/>
      <c r="I1003" s="394"/>
      <c r="J1003" s="394" t="s">
        <v>798</v>
      </c>
      <c r="K1003" s="394" t="s">
        <v>798</v>
      </c>
      <c r="L1003" s="394" t="s">
        <v>798</v>
      </c>
      <c r="M1003" s="394" t="s">
        <v>298</v>
      </c>
      <c r="N1003" s="394">
        <v>20.47896957</v>
      </c>
      <c r="O1003" s="394">
        <v>92.683746339999999</v>
      </c>
      <c r="P1003" s="394" t="s">
        <v>799</v>
      </c>
      <c r="Q1003" s="394" t="s">
        <v>802</v>
      </c>
      <c r="R1003" s="421"/>
      <c r="S1003" s="395"/>
      <c r="T1003" s="397">
        <v>42926</v>
      </c>
      <c r="U1003" s="396" t="s">
        <v>803</v>
      </c>
      <c r="V1003" s="394"/>
      <c r="W1003" s="545"/>
      <c r="X1003" s="539"/>
      <c r="Y1003" s="539"/>
      <c r="Z1003" s="539"/>
    </row>
    <row r="1004" spans="1:26" ht="14.25" customHeight="1">
      <c r="A1004" s="549" t="s">
        <v>2705</v>
      </c>
      <c r="B1004" s="574" t="s">
        <v>341</v>
      </c>
      <c r="C1004" s="575" t="s">
        <v>2841</v>
      </c>
      <c r="D1004" s="544"/>
      <c r="E1004" s="394"/>
      <c r="F1004" s="394"/>
      <c r="G1004" s="394"/>
      <c r="H1004" s="394"/>
      <c r="I1004" s="394"/>
      <c r="J1004" s="394" t="s">
        <v>2714</v>
      </c>
      <c r="K1004" s="394" t="s">
        <v>2676</v>
      </c>
      <c r="L1004" s="394" t="s">
        <v>2676</v>
      </c>
      <c r="M1004" s="394"/>
      <c r="N1004" s="394"/>
      <c r="O1004" s="394"/>
      <c r="P1004" s="394"/>
      <c r="Q1004" s="394"/>
      <c r="R1004" s="553"/>
      <c r="S1004" s="395"/>
      <c r="T1004" s="397">
        <v>43591</v>
      </c>
      <c r="U1004" s="553"/>
      <c r="V1004" s="394"/>
      <c r="W1004" s="545"/>
      <c r="X1004" s="539"/>
      <c r="Y1004" s="539"/>
      <c r="Z1004" s="539"/>
    </row>
    <row r="1005" spans="1:26" ht="14.25" customHeight="1">
      <c r="A1005" s="418" t="s">
        <v>2705</v>
      </c>
      <c r="B1005" s="440" t="s">
        <v>341</v>
      </c>
      <c r="C1005" s="439" t="s">
        <v>527</v>
      </c>
      <c r="D1005" s="470" t="s">
        <v>1654</v>
      </c>
      <c r="E1005" s="394">
        <v>197673</v>
      </c>
      <c r="F1005" s="394"/>
      <c r="G1005" s="394"/>
      <c r="H1005" s="394"/>
      <c r="I1005" s="394"/>
      <c r="J1005" s="394" t="s">
        <v>2714</v>
      </c>
      <c r="K1005" s="394" t="s">
        <v>2676</v>
      </c>
      <c r="L1005" s="394" t="s">
        <v>2676</v>
      </c>
      <c r="M1005" s="394" t="s">
        <v>298</v>
      </c>
      <c r="N1005" s="394">
        <v>20.66592979</v>
      </c>
      <c r="O1005" s="394">
        <v>92.672691349999994</v>
      </c>
      <c r="P1005" s="394" t="s">
        <v>799</v>
      </c>
      <c r="Q1005" s="394" t="s">
        <v>780</v>
      </c>
      <c r="R1005" s="421"/>
      <c r="S1005" s="395"/>
      <c r="T1005" s="397" t="s">
        <v>780</v>
      </c>
      <c r="U1005" s="396"/>
      <c r="V1005" s="394"/>
      <c r="W1005" s="545"/>
      <c r="X1005" s="539"/>
      <c r="Y1005" s="539"/>
      <c r="Z1005" s="539"/>
    </row>
    <row r="1006" spans="1:26" ht="14.25" customHeight="1">
      <c r="A1006" s="549" t="s">
        <v>2705</v>
      </c>
      <c r="B1006" s="574" t="s">
        <v>341</v>
      </c>
      <c r="C1006" s="575" t="s">
        <v>531</v>
      </c>
      <c r="D1006" s="544"/>
      <c r="E1006" s="394">
        <v>197675</v>
      </c>
      <c r="F1006" s="418"/>
      <c r="G1006" s="394"/>
      <c r="H1006" s="394"/>
      <c r="I1006" s="418"/>
      <c r="J1006" s="418" t="s">
        <v>2714</v>
      </c>
      <c r="K1006" s="418" t="s">
        <v>2676</v>
      </c>
      <c r="L1006" s="418" t="s">
        <v>2676</v>
      </c>
      <c r="M1006" s="394" t="s">
        <v>298</v>
      </c>
      <c r="N1006" s="418">
        <v>20.670539860000002</v>
      </c>
      <c r="O1006" s="418">
        <v>92.703033450000007</v>
      </c>
      <c r="P1006" s="394" t="s">
        <v>799</v>
      </c>
      <c r="Q1006" s="394"/>
      <c r="R1006" s="553"/>
      <c r="S1006" s="422"/>
      <c r="T1006" s="397">
        <v>43591</v>
      </c>
      <c r="U1006" s="553"/>
      <c r="V1006" s="539"/>
      <c r="W1006" s="545"/>
      <c r="X1006" s="539"/>
      <c r="Y1006" s="539"/>
      <c r="Z1006" s="539"/>
    </row>
    <row r="1007" spans="1:26" ht="14.25" customHeight="1">
      <c r="A1007" s="418" t="s">
        <v>2705</v>
      </c>
      <c r="B1007" s="440" t="s">
        <v>341</v>
      </c>
      <c r="C1007" s="439" t="s">
        <v>480</v>
      </c>
      <c r="D1007" s="470" t="s">
        <v>1654</v>
      </c>
      <c r="E1007" s="394">
        <v>197632</v>
      </c>
      <c r="F1007" s="394"/>
      <c r="G1007" s="394"/>
      <c r="H1007" s="394"/>
      <c r="I1007" s="418"/>
      <c r="J1007" s="394" t="s">
        <v>798</v>
      </c>
      <c r="K1007" s="394" t="s">
        <v>798</v>
      </c>
      <c r="L1007" s="394" t="s">
        <v>798</v>
      </c>
      <c r="M1007" s="394" t="s">
        <v>298</v>
      </c>
      <c r="N1007" s="418">
        <v>20.469949719999999</v>
      </c>
      <c r="O1007" s="418">
        <v>92.676437379999996</v>
      </c>
      <c r="P1007" s="394" t="s">
        <v>799</v>
      </c>
      <c r="Q1007" s="394" t="s">
        <v>802</v>
      </c>
      <c r="R1007" s="421"/>
      <c r="S1007" s="422"/>
      <c r="T1007" s="397">
        <v>42926</v>
      </c>
      <c r="U1007" s="396" t="s">
        <v>803</v>
      </c>
      <c r="V1007" s="394"/>
      <c r="W1007" s="545"/>
      <c r="X1007" s="539"/>
      <c r="Y1007" s="539"/>
      <c r="Z1007" s="539"/>
    </row>
    <row r="1008" spans="1:26" ht="14.25" customHeight="1">
      <c r="A1008" s="418" t="s">
        <v>298</v>
      </c>
      <c r="B1008" s="440" t="s">
        <v>329</v>
      </c>
      <c r="C1008" s="439" t="s">
        <v>388</v>
      </c>
      <c r="D1008" s="470" t="s">
        <v>1654</v>
      </c>
      <c r="E1008" s="394">
        <v>199157</v>
      </c>
      <c r="F1008" s="394"/>
      <c r="G1008" s="394"/>
      <c r="H1008" s="394"/>
      <c r="I1008" s="394"/>
      <c r="J1008" s="394" t="s">
        <v>804</v>
      </c>
      <c r="K1008" s="394" t="s">
        <v>798</v>
      </c>
      <c r="L1008" s="394" t="s">
        <v>804</v>
      </c>
      <c r="M1008" s="394" t="s">
        <v>807</v>
      </c>
      <c r="N1008" s="394">
        <v>19.726810459999999</v>
      </c>
      <c r="O1008" s="394">
        <v>94.028686519999994</v>
      </c>
      <c r="P1008" s="394" t="s">
        <v>923</v>
      </c>
      <c r="Q1008" s="394" t="s">
        <v>780</v>
      </c>
      <c r="R1008" s="421"/>
      <c r="S1008" s="395"/>
      <c r="T1008" s="397" t="s">
        <v>805</v>
      </c>
      <c r="U1008" s="396"/>
      <c r="V1008" s="394" t="s">
        <v>388</v>
      </c>
      <c r="W1008" s="418"/>
      <c r="X1008" s="539"/>
      <c r="Y1008" s="539"/>
      <c r="Z1008" s="539"/>
    </row>
    <row r="1009" spans="1:26" ht="14.25" customHeight="1">
      <c r="A1009" s="418" t="s">
        <v>298</v>
      </c>
      <c r="B1009" s="440" t="s">
        <v>329</v>
      </c>
      <c r="C1009" s="439" t="s">
        <v>400</v>
      </c>
      <c r="D1009" s="470" t="s">
        <v>1654</v>
      </c>
      <c r="E1009" s="418">
        <v>199233</v>
      </c>
      <c r="F1009" s="418"/>
      <c r="G1009" s="418"/>
      <c r="H1009" s="418"/>
      <c r="I1009" s="418"/>
      <c r="J1009" s="418" t="s">
        <v>804</v>
      </c>
      <c r="K1009" s="418" t="s">
        <v>798</v>
      </c>
      <c r="L1009" s="418" t="s">
        <v>804</v>
      </c>
      <c r="M1009" s="418" t="s">
        <v>298</v>
      </c>
      <c r="N1009" s="418">
        <v>19.994710919999999</v>
      </c>
      <c r="O1009" s="418">
        <v>93.836921689999997</v>
      </c>
      <c r="P1009" s="418" t="s">
        <v>923</v>
      </c>
      <c r="Q1009" s="418" t="s">
        <v>780</v>
      </c>
      <c r="R1009" s="421"/>
      <c r="S1009" s="422"/>
      <c r="T1009" s="441" t="s">
        <v>805</v>
      </c>
      <c r="U1009" s="423"/>
      <c r="V1009" s="418" t="s">
        <v>400</v>
      </c>
      <c r="W1009" s="418"/>
      <c r="X1009" s="539"/>
      <c r="Y1009" s="539"/>
      <c r="Z1009" s="539"/>
    </row>
    <row r="1010" spans="1:26" ht="14.25" customHeight="1">
      <c r="A1010" s="418" t="s">
        <v>298</v>
      </c>
      <c r="B1010" s="440" t="s">
        <v>329</v>
      </c>
      <c r="C1010" s="439" t="s">
        <v>395</v>
      </c>
      <c r="D1010" s="470" t="s">
        <v>1654</v>
      </c>
      <c r="E1010" s="394">
        <v>199235</v>
      </c>
      <c r="F1010" s="394"/>
      <c r="G1010" s="394"/>
      <c r="H1010" s="394"/>
      <c r="I1010" s="394"/>
      <c r="J1010" s="394" t="s">
        <v>804</v>
      </c>
      <c r="K1010" s="394" t="s">
        <v>798</v>
      </c>
      <c r="L1010" s="394" t="s">
        <v>804</v>
      </c>
      <c r="M1010" s="394" t="s">
        <v>298</v>
      </c>
      <c r="N1010" s="418">
        <v>19.98567963</v>
      </c>
      <c r="O1010" s="418">
        <v>93.843322749999999</v>
      </c>
      <c r="P1010" s="394" t="s">
        <v>923</v>
      </c>
      <c r="Q1010" s="394" t="s">
        <v>780</v>
      </c>
      <c r="R1010" s="421"/>
      <c r="S1010" s="422"/>
      <c r="T1010" s="397" t="s">
        <v>805</v>
      </c>
      <c r="U1010" s="396"/>
      <c r="V1010" s="394" t="s">
        <v>395</v>
      </c>
      <c r="W1010" s="418"/>
      <c r="X1010" s="539"/>
      <c r="Y1010" s="539"/>
      <c r="Z1010" s="539"/>
    </row>
    <row r="1011" spans="1:26" ht="14.25" customHeight="1">
      <c r="A1011" s="418" t="s">
        <v>298</v>
      </c>
      <c r="B1011" s="440" t="s">
        <v>329</v>
      </c>
      <c r="C1011" s="439" t="s">
        <v>397</v>
      </c>
      <c r="D1011" s="470" t="s">
        <v>1654</v>
      </c>
      <c r="E1011" s="394">
        <v>199236</v>
      </c>
      <c r="F1011" s="394"/>
      <c r="G1011" s="394"/>
      <c r="H1011" s="394"/>
      <c r="I1011" s="394"/>
      <c r="J1011" s="394" t="s">
        <v>804</v>
      </c>
      <c r="K1011" s="394" t="s">
        <v>798</v>
      </c>
      <c r="L1011" s="394" t="s">
        <v>804</v>
      </c>
      <c r="M1011" s="394" t="s">
        <v>298</v>
      </c>
      <c r="N1011" s="418">
        <v>19.98868942</v>
      </c>
      <c r="O1011" s="418">
        <v>93.842460630000005</v>
      </c>
      <c r="P1011" s="394" t="s">
        <v>923</v>
      </c>
      <c r="Q1011" s="394" t="s">
        <v>780</v>
      </c>
      <c r="R1011" s="421"/>
      <c r="S1011" s="422"/>
      <c r="T1011" s="397" t="s">
        <v>805</v>
      </c>
      <c r="U1011" s="396"/>
      <c r="V1011" s="394" t="s">
        <v>397</v>
      </c>
      <c r="W1011" s="418"/>
      <c r="X1011" s="539"/>
      <c r="Y1011" s="539"/>
      <c r="Z1011" s="539"/>
    </row>
    <row r="1012" spans="1:26" ht="14.25" customHeight="1">
      <c r="A1012" s="418" t="s">
        <v>298</v>
      </c>
      <c r="B1012" s="440" t="s">
        <v>329</v>
      </c>
      <c r="C1012" s="439" t="s">
        <v>377</v>
      </c>
      <c r="D1012" s="470" t="s">
        <v>1654</v>
      </c>
      <c r="E1012" s="418">
        <v>199264</v>
      </c>
      <c r="F1012" s="418"/>
      <c r="G1012" s="418"/>
      <c r="H1012" s="418"/>
      <c r="I1012" s="418"/>
      <c r="J1012" s="418" t="s">
        <v>804</v>
      </c>
      <c r="K1012" s="418" t="s">
        <v>798</v>
      </c>
      <c r="L1012" s="418" t="s">
        <v>804</v>
      </c>
      <c r="M1012" s="418" t="s">
        <v>298</v>
      </c>
      <c r="N1012" s="418">
        <v>19.61097908</v>
      </c>
      <c r="O1012" s="418">
        <v>93.984741209999996</v>
      </c>
      <c r="P1012" s="418" t="s">
        <v>923</v>
      </c>
      <c r="Q1012" s="418" t="s">
        <v>780</v>
      </c>
      <c r="R1012" s="421"/>
      <c r="S1012" s="422"/>
      <c r="T1012" s="441" t="s">
        <v>805</v>
      </c>
      <c r="U1012" s="423"/>
      <c r="V1012" s="418" t="s">
        <v>377</v>
      </c>
      <c r="W1012" s="418"/>
      <c r="X1012" s="539"/>
      <c r="Y1012" s="539"/>
      <c r="Z1012" s="539"/>
    </row>
    <row r="1013" spans="1:26" ht="14.25" customHeight="1">
      <c r="A1013" s="418" t="s">
        <v>298</v>
      </c>
      <c r="B1013" s="440" t="s">
        <v>329</v>
      </c>
      <c r="C1013" s="439" t="s">
        <v>386</v>
      </c>
      <c r="D1013" s="470" t="s">
        <v>1654</v>
      </c>
      <c r="E1013" s="418">
        <v>199159</v>
      </c>
      <c r="F1013" s="418"/>
      <c r="G1013" s="418"/>
      <c r="H1013" s="418"/>
      <c r="I1013" s="418"/>
      <c r="J1013" s="418" t="s">
        <v>804</v>
      </c>
      <c r="K1013" s="418" t="s">
        <v>798</v>
      </c>
      <c r="L1013" s="418" t="s">
        <v>804</v>
      </c>
      <c r="M1013" s="418" t="s">
        <v>298</v>
      </c>
      <c r="N1013" s="418">
        <v>19.721389769999998</v>
      </c>
      <c r="O1013" s="418">
        <v>94.019851680000002</v>
      </c>
      <c r="P1013" s="418" t="s">
        <v>923</v>
      </c>
      <c r="Q1013" s="418" t="s">
        <v>780</v>
      </c>
      <c r="R1013" s="421"/>
      <c r="S1013" s="422"/>
      <c r="T1013" s="441" t="s">
        <v>805</v>
      </c>
      <c r="U1013" s="423"/>
      <c r="V1013" s="418" t="s">
        <v>386</v>
      </c>
      <c r="W1013" s="418"/>
      <c r="X1013" s="539"/>
      <c r="Y1013" s="539"/>
      <c r="Z1013" s="539"/>
    </row>
    <row r="1014" spans="1:26" ht="14.25" customHeight="1">
      <c r="A1014" s="418" t="s">
        <v>298</v>
      </c>
      <c r="B1014" s="440" t="s">
        <v>329</v>
      </c>
      <c r="C1014" s="466" t="s">
        <v>401</v>
      </c>
      <c r="D1014" s="470" t="s">
        <v>1654</v>
      </c>
      <c r="E1014" s="418">
        <v>199240</v>
      </c>
      <c r="F1014" s="418"/>
      <c r="G1014" s="418"/>
      <c r="H1014" s="418"/>
      <c r="I1014" s="418"/>
      <c r="J1014" s="418" t="s">
        <v>804</v>
      </c>
      <c r="K1014" s="418" t="s">
        <v>798</v>
      </c>
      <c r="L1014" s="418" t="s">
        <v>804</v>
      </c>
      <c r="M1014" s="418" t="s">
        <v>298</v>
      </c>
      <c r="N1014" s="418">
        <v>20.008769990000001</v>
      </c>
      <c r="O1014" s="418">
        <v>93.816879270000001</v>
      </c>
      <c r="P1014" s="418" t="s">
        <v>923</v>
      </c>
      <c r="Q1014" s="418" t="s">
        <v>780</v>
      </c>
      <c r="R1014" s="421"/>
      <c r="S1014" s="422"/>
      <c r="T1014" s="441" t="s">
        <v>805</v>
      </c>
      <c r="U1014" s="423"/>
      <c r="V1014" s="412" t="s">
        <v>401</v>
      </c>
      <c r="W1014" s="418"/>
      <c r="X1014" s="539"/>
      <c r="Y1014" s="539"/>
      <c r="Z1014" s="539"/>
    </row>
    <row r="1015" spans="1:26" ht="14.25" customHeight="1">
      <c r="A1015" s="418" t="s">
        <v>298</v>
      </c>
      <c r="B1015" s="440" t="s">
        <v>329</v>
      </c>
      <c r="C1015" s="439" t="s">
        <v>393</v>
      </c>
      <c r="D1015" s="470" t="s">
        <v>1654</v>
      </c>
      <c r="E1015" s="418">
        <v>199134</v>
      </c>
      <c r="F1015" s="418"/>
      <c r="G1015" s="418"/>
      <c r="H1015" s="418"/>
      <c r="I1015" s="418"/>
      <c r="J1015" s="418" t="s">
        <v>804</v>
      </c>
      <c r="K1015" s="418" t="s">
        <v>798</v>
      </c>
      <c r="L1015" s="418" t="s">
        <v>804</v>
      </c>
      <c r="M1015" s="418" t="s">
        <v>811</v>
      </c>
      <c r="N1015" s="418">
        <v>19.95569038</v>
      </c>
      <c r="O1015" s="418">
        <v>93.80155182</v>
      </c>
      <c r="P1015" s="418" t="s">
        <v>923</v>
      </c>
      <c r="Q1015" s="418" t="s">
        <v>780</v>
      </c>
      <c r="R1015" s="421"/>
      <c r="S1015" s="422"/>
      <c r="T1015" s="441" t="s">
        <v>805</v>
      </c>
      <c r="U1015" s="423"/>
      <c r="V1015" s="418" t="s">
        <v>812</v>
      </c>
      <c r="W1015" s="418"/>
      <c r="X1015" s="545"/>
      <c r="Y1015" s="539"/>
      <c r="Z1015" s="539"/>
    </row>
    <row r="1016" spans="1:26" ht="14.25" customHeight="1">
      <c r="A1016" s="418" t="s">
        <v>298</v>
      </c>
      <c r="B1016" s="440" t="s">
        <v>329</v>
      </c>
      <c r="C1016" s="563" t="s">
        <v>385</v>
      </c>
      <c r="D1016" s="470" t="s">
        <v>1654</v>
      </c>
      <c r="E1016" s="418">
        <v>199161</v>
      </c>
      <c r="F1016" s="418"/>
      <c r="G1016" s="418"/>
      <c r="H1016" s="418"/>
      <c r="I1016" s="418"/>
      <c r="J1016" s="418" t="s">
        <v>804</v>
      </c>
      <c r="K1016" s="418" t="s">
        <v>798</v>
      </c>
      <c r="L1016" s="418" t="s">
        <v>804</v>
      </c>
      <c r="M1016" s="418" t="s">
        <v>807</v>
      </c>
      <c r="N1016" s="418">
        <v>19.70627975</v>
      </c>
      <c r="O1016" s="418">
        <v>94.016433719999995</v>
      </c>
      <c r="P1016" s="418" t="s">
        <v>923</v>
      </c>
      <c r="Q1016" s="418" t="s">
        <v>780</v>
      </c>
      <c r="R1016" s="421"/>
      <c r="S1016" s="422"/>
      <c r="T1016" s="441" t="s">
        <v>805</v>
      </c>
      <c r="U1016" s="423"/>
      <c r="V1016" s="418" t="s">
        <v>385</v>
      </c>
      <c r="W1016" s="418"/>
      <c r="X1016" s="545"/>
      <c r="Y1016" s="539"/>
      <c r="Z1016" s="539"/>
    </row>
    <row r="1017" spans="1:26" ht="14.25" customHeight="1">
      <c r="A1017" s="418" t="s">
        <v>298</v>
      </c>
      <c r="B1017" s="440" t="s">
        <v>329</v>
      </c>
      <c r="C1017" s="563" t="s">
        <v>380</v>
      </c>
      <c r="D1017" s="470" t="s">
        <v>1654</v>
      </c>
      <c r="E1017" s="418">
        <v>199266</v>
      </c>
      <c r="F1017" s="418"/>
      <c r="G1017" s="418"/>
      <c r="H1017" s="418"/>
      <c r="I1017" s="418"/>
      <c r="J1017" s="418" t="s">
        <v>804</v>
      </c>
      <c r="K1017" s="418" t="s">
        <v>798</v>
      </c>
      <c r="L1017" s="418" t="s">
        <v>804</v>
      </c>
      <c r="M1017" s="418" t="s">
        <v>807</v>
      </c>
      <c r="N1017" s="418">
        <v>19.6192894</v>
      </c>
      <c r="O1017" s="418">
        <v>93.95968628</v>
      </c>
      <c r="P1017" s="418" t="s">
        <v>923</v>
      </c>
      <c r="Q1017" s="418" t="s">
        <v>780</v>
      </c>
      <c r="R1017" s="545"/>
      <c r="S1017" s="546"/>
      <c r="T1017" s="441" t="s">
        <v>805</v>
      </c>
      <c r="U1017" s="423"/>
      <c r="V1017" s="418" t="s">
        <v>380</v>
      </c>
      <c r="W1017" s="418"/>
      <c r="X1017" s="545"/>
      <c r="Y1017" s="539"/>
      <c r="Z1017" s="539"/>
    </row>
    <row r="1018" spans="1:26" ht="14.25" customHeight="1">
      <c r="A1018" s="418" t="s">
        <v>298</v>
      </c>
      <c r="B1018" s="440" t="s">
        <v>329</v>
      </c>
      <c r="C1018" s="563" t="s">
        <v>375</v>
      </c>
      <c r="D1018" s="470" t="s">
        <v>1654</v>
      </c>
      <c r="E1018" s="418">
        <v>199191</v>
      </c>
      <c r="F1018" s="418"/>
      <c r="G1018" s="418"/>
      <c r="H1018" s="418"/>
      <c r="I1018" s="418"/>
      <c r="J1018" s="418" t="s">
        <v>804</v>
      </c>
      <c r="K1018" s="539" t="s">
        <v>798</v>
      </c>
      <c r="L1018" s="539" t="s">
        <v>804</v>
      </c>
      <c r="M1018" s="418" t="s">
        <v>298</v>
      </c>
      <c r="N1018" s="418">
        <v>19.484790799999999</v>
      </c>
      <c r="O1018" s="418">
        <v>94.007926940000004</v>
      </c>
      <c r="P1018" s="418" t="s">
        <v>923</v>
      </c>
      <c r="Q1018" s="418" t="s">
        <v>780</v>
      </c>
      <c r="R1018" s="421"/>
      <c r="S1018" s="422"/>
      <c r="T1018" s="441" t="s">
        <v>805</v>
      </c>
      <c r="U1018" s="423"/>
      <c r="V1018" s="418" t="s">
        <v>375</v>
      </c>
      <c r="W1018" s="418"/>
      <c r="X1018" s="545"/>
      <c r="Y1018" s="539"/>
      <c r="Z1018" s="539"/>
    </row>
    <row r="1019" spans="1:26" ht="14.25" customHeight="1">
      <c r="A1019" s="418" t="s">
        <v>298</v>
      </c>
      <c r="B1019" s="440" t="s">
        <v>329</v>
      </c>
      <c r="C1019" s="563" t="s">
        <v>330</v>
      </c>
      <c r="D1019" s="470" t="s">
        <v>1654</v>
      </c>
      <c r="E1019" s="418"/>
      <c r="F1019" s="548"/>
      <c r="G1019" s="418"/>
      <c r="H1019" s="418"/>
      <c r="I1019" s="418"/>
      <c r="J1019" s="418" t="s">
        <v>804</v>
      </c>
      <c r="K1019" s="418" t="s">
        <v>798</v>
      </c>
      <c r="L1019" s="418" t="s">
        <v>804</v>
      </c>
      <c r="M1019" s="418" t="s">
        <v>811</v>
      </c>
      <c r="N1019" s="418"/>
      <c r="O1019" s="418"/>
      <c r="P1019" s="418" t="s">
        <v>923</v>
      </c>
      <c r="Q1019" s="418" t="s">
        <v>780</v>
      </c>
      <c r="R1019" s="421"/>
      <c r="S1019" s="422"/>
      <c r="T1019" s="441" t="s">
        <v>805</v>
      </c>
      <c r="U1019" s="423"/>
      <c r="V1019" s="418" t="s">
        <v>330</v>
      </c>
      <c r="W1019" s="418"/>
      <c r="X1019" s="545"/>
      <c r="Y1019" s="539"/>
      <c r="Z1019" s="539"/>
    </row>
    <row r="1020" spans="1:26" ht="14.25" customHeight="1">
      <c r="A1020" s="418" t="s">
        <v>298</v>
      </c>
      <c r="B1020" s="440" t="s">
        <v>329</v>
      </c>
      <c r="C1020" s="563" t="s">
        <v>398</v>
      </c>
      <c r="D1020" s="470" t="s">
        <v>1654</v>
      </c>
      <c r="E1020" s="418">
        <v>199250</v>
      </c>
      <c r="F1020" s="418"/>
      <c r="G1020" s="418"/>
      <c r="H1020" s="418"/>
      <c r="I1020" s="418"/>
      <c r="J1020" s="418" t="s">
        <v>804</v>
      </c>
      <c r="K1020" s="418" t="s">
        <v>798</v>
      </c>
      <c r="L1020" s="418" t="s">
        <v>804</v>
      </c>
      <c r="M1020" s="418" t="s">
        <v>298</v>
      </c>
      <c r="N1020" s="418">
        <v>19.989589689999999</v>
      </c>
      <c r="O1020" s="418">
        <v>93.823867800000002</v>
      </c>
      <c r="P1020" s="418" t="s">
        <v>923</v>
      </c>
      <c r="Q1020" s="418" t="s">
        <v>780</v>
      </c>
      <c r="R1020" s="421"/>
      <c r="S1020" s="422"/>
      <c r="T1020" s="441" t="s">
        <v>805</v>
      </c>
      <c r="U1020" s="423"/>
      <c r="V1020" s="418" t="s">
        <v>814</v>
      </c>
      <c r="W1020" s="418"/>
      <c r="X1020" s="545"/>
      <c r="Y1020" s="539"/>
      <c r="Z1020" s="539"/>
    </row>
    <row r="1021" spans="1:26" ht="14.25" customHeight="1">
      <c r="A1021" s="418" t="s">
        <v>298</v>
      </c>
      <c r="B1021" s="440" t="s">
        <v>329</v>
      </c>
      <c r="C1021" s="563" t="s">
        <v>387</v>
      </c>
      <c r="D1021" s="470" t="s">
        <v>1654</v>
      </c>
      <c r="E1021" s="418">
        <v>199158</v>
      </c>
      <c r="F1021" s="418"/>
      <c r="G1021" s="418"/>
      <c r="H1021" s="418"/>
      <c r="I1021" s="418"/>
      <c r="J1021" s="418" t="s">
        <v>804</v>
      </c>
      <c r="K1021" s="418" t="s">
        <v>798</v>
      </c>
      <c r="L1021" s="418" t="s">
        <v>804</v>
      </c>
      <c r="M1021" s="418" t="s">
        <v>298</v>
      </c>
      <c r="N1021" s="418">
        <v>19.725629810000001</v>
      </c>
      <c r="O1021" s="418">
        <v>94.03105927</v>
      </c>
      <c r="P1021" s="418" t="s">
        <v>923</v>
      </c>
      <c r="Q1021" s="418" t="s">
        <v>780</v>
      </c>
      <c r="R1021" s="421"/>
      <c r="S1021" s="422"/>
      <c r="T1021" s="441" t="s">
        <v>805</v>
      </c>
      <c r="U1021" s="423"/>
      <c r="V1021" s="418" t="s">
        <v>808</v>
      </c>
      <c r="W1021" s="418"/>
      <c r="X1021" s="545"/>
      <c r="Y1021" s="539"/>
      <c r="Z1021" s="539"/>
    </row>
    <row r="1022" spans="1:26" ht="14.25" customHeight="1">
      <c r="A1022" s="418" t="s">
        <v>298</v>
      </c>
      <c r="B1022" s="440" t="s">
        <v>329</v>
      </c>
      <c r="C1022" s="563" t="s">
        <v>376</v>
      </c>
      <c r="D1022" s="470" t="s">
        <v>1654</v>
      </c>
      <c r="E1022" s="418">
        <v>199195</v>
      </c>
      <c r="F1022" s="418"/>
      <c r="G1022" s="418"/>
      <c r="H1022" s="418"/>
      <c r="I1022" s="418"/>
      <c r="J1022" s="418" t="s">
        <v>804</v>
      </c>
      <c r="K1022" s="418" t="s">
        <v>798</v>
      </c>
      <c r="L1022" s="418" t="s">
        <v>804</v>
      </c>
      <c r="M1022" s="418" t="s">
        <v>298</v>
      </c>
      <c r="N1022" s="418">
        <v>19.591590879999998</v>
      </c>
      <c r="O1022" s="418">
        <v>93.80825806</v>
      </c>
      <c r="P1022" s="418" t="s">
        <v>923</v>
      </c>
      <c r="Q1022" s="418" t="s">
        <v>780</v>
      </c>
      <c r="R1022" s="421"/>
      <c r="S1022" s="422"/>
      <c r="T1022" s="441">
        <v>42745</v>
      </c>
      <c r="U1022" s="423"/>
      <c r="V1022" s="418"/>
      <c r="W1022" s="418"/>
      <c r="X1022" s="545"/>
      <c r="Y1022" s="539"/>
      <c r="Z1022" s="539"/>
    </row>
    <row r="1023" spans="1:26" ht="14.25" customHeight="1">
      <c r="A1023" s="418" t="s">
        <v>298</v>
      </c>
      <c r="B1023" s="440" t="s">
        <v>329</v>
      </c>
      <c r="C1023" s="563" t="s">
        <v>382</v>
      </c>
      <c r="D1023" s="470" t="s">
        <v>1654</v>
      </c>
      <c r="E1023" s="539">
        <v>199223</v>
      </c>
      <c r="F1023" s="418"/>
      <c r="G1023" s="418"/>
      <c r="H1023" s="418"/>
      <c r="I1023" s="418"/>
      <c r="J1023" s="418" t="s">
        <v>804</v>
      </c>
      <c r="K1023" s="418" t="s">
        <v>798</v>
      </c>
      <c r="L1023" s="418" t="s">
        <v>804</v>
      </c>
      <c r="M1023" s="418" t="s">
        <v>807</v>
      </c>
      <c r="N1023" s="418">
        <v>19.639009479999999</v>
      </c>
      <c r="O1023" s="418">
        <v>94.036079409999999</v>
      </c>
      <c r="P1023" s="418" t="s">
        <v>923</v>
      </c>
      <c r="Q1023" s="418" t="s">
        <v>780</v>
      </c>
      <c r="R1023" s="421"/>
      <c r="S1023" s="422"/>
      <c r="T1023" s="441" t="s">
        <v>805</v>
      </c>
      <c r="U1023" s="423"/>
      <c r="V1023" s="418" t="s">
        <v>382</v>
      </c>
      <c r="W1023" s="418"/>
      <c r="X1023" s="545"/>
      <c r="Y1023" s="539"/>
      <c r="Z1023" s="539"/>
    </row>
    <row r="1024" spans="1:26" ht="14.25" customHeight="1">
      <c r="A1024" s="418" t="s">
        <v>298</v>
      </c>
      <c r="B1024" s="440" t="s">
        <v>329</v>
      </c>
      <c r="C1024" s="440" t="s">
        <v>389</v>
      </c>
      <c r="D1024" s="470" t="s">
        <v>1654</v>
      </c>
      <c r="E1024" s="418">
        <v>199160</v>
      </c>
      <c r="F1024" s="418"/>
      <c r="G1024" s="418"/>
      <c r="H1024" s="418"/>
      <c r="I1024" s="418"/>
      <c r="J1024" s="418" t="s">
        <v>804</v>
      </c>
      <c r="K1024" s="418" t="s">
        <v>798</v>
      </c>
      <c r="L1024" s="418" t="s">
        <v>804</v>
      </c>
      <c r="M1024" s="418" t="s">
        <v>298</v>
      </c>
      <c r="N1024" s="418">
        <v>19.738719939999999</v>
      </c>
      <c r="O1024" s="418">
        <v>94.03549194</v>
      </c>
      <c r="P1024" s="418" t="s">
        <v>923</v>
      </c>
      <c r="Q1024" s="418" t="s">
        <v>780</v>
      </c>
      <c r="R1024" s="421"/>
      <c r="S1024" s="422"/>
      <c r="T1024" s="441" t="s">
        <v>805</v>
      </c>
      <c r="U1024" s="423"/>
      <c r="V1024" s="418" t="s">
        <v>389</v>
      </c>
      <c r="W1024" s="418"/>
      <c r="X1024" s="545"/>
      <c r="Y1024" s="539"/>
      <c r="Z1024" s="539"/>
    </row>
    <row r="1025" spans="1:26" ht="14.25" customHeight="1">
      <c r="A1025" s="418" t="s">
        <v>298</v>
      </c>
      <c r="B1025" s="440" t="s">
        <v>329</v>
      </c>
      <c r="C1025" s="440" t="s">
        <v>383</v>
      </c>
      <c r="D1025" s="470" t="s">
        <v>1654</v>
      </c>
      <c r="E1025" s="418">
        <v>199218</v>
      </c>
      <c r="F1025" s="418"/>
      <c r="G1025" s="418"/>
      <c r="H1025" s="418"/>
      <c r="I1025" s="418"/>
      <c r="J1025" s="418" t="s">
        <v>804</v>
      </c>
      <c r="K1025" s="418" t="s">
        <v>798</v>
      </c>
      <c r="L1025" s="418" t="s">
        <v>804</v>
      </c>
      <c r="M1025" s="418" t="s">
        <v>298</v>
      </c>
      <c r="N1025" s="418">
        <v>19.646549220000001</v>
      </c>
      <c r="O1025" s="418">
        <v>94.004188540000001</v>
      </c>
      <c r="P1025" s="418" t="s">
        <v>923</v>
      </c>
      <c r="Q1025" s="418" t="s">
        <v>780</v>
      </c>
      <c r="R1025" s="549"/>
      <c r="S1025" s="550"/>
      <c r="T1025" s="441" t="s">
        <v>805</v>
      </c>
      <c r="U1025" s="423"/>
      <c r="V1025" s="539" t="s">
        <v>383</v>
      </c>
      <c r="W1025" s="418"/>
      <c r="X1025" s="545"/>
      <c r="Y1025" s="539"/>
      <c r="Z1025" s="539"/>
    </row>
    <row r="1026" spans="1:26" ht="14.25" customHeight="1">
      <c r="A1026" s="418" t="s">
        <v>298</v>
      </c>
      <c r="B1026" s="440" t="s">
        <v>329</v>
      </c>
      <c r="C1026" s="440" t="s">
        <v>399</v>
      </c>
      <c r="D1026" s="470" t="s">
        <v>1654</v>
      </c>
      <c r="E1026" s="418">
        <v>199248</v>
      </c>
      <c r="F1026" s="418"/>
      <c r="G1026" s="418"/>
      <c r="H1026" s="418"/>
      <c r="I1026" s="418"/>
      <c r="J1026" s="418" t="s">
        <v>804</v>
      </c>
      <c r="K1026" s="543" t="s">
        <v>798</v>
      </c>
      <c r="L1026" s="543" t="s">
        <v>804</v>
      </c>
      <c r="M1026" s="418" t="s">
        <v>807</v>
      </c>
      <c r="N1026" s="539">
        <v>19.991359710000001</v>
      </c>
      <c r="O1026" s="539">
        <v>93.834663390000003</v>
      </c>
      <c r="P1026" s="418" t="s">
        <v>923</v>
      </c>
      <c r="Q1026" s="418" t="s">
        <v>780</v>
      </c>
      <c r="R1026" s="421"/>
      <c r="S1026" s="422"/>
      <c r="T1026" s="441" t="s">
        <v>805</v>
      </c>
      <c r="U1026" s="423"/>
      <c r="V1026" s="418" t="s">
        <v>399</v>
      </c>
      <c r="W1026" s="418"/>
      <c r="X1026" s="545"/>
      <c r="Y1026" s="539"/>
      <c r="Z1026" s="539"/>
    </row>
    <row r="1027" spans="1:26" ht="14.25" customHeight="1">
      <c r="A1027" s="418" t="s">
        <v>298</v>
      </c>
      <c r="B1027" s="440" t="s">
        <v>329</v>
      </c>
      <c r="C1027" s="440" t="s">
        <v>390</v>
      </c>
      <c r="D1027" s="470" t="s">
        <v>1654</v>
      </c>
      <c r="E1027" s="418">
        <v>199137</v>
      </c>
      <c r="F1027" s="543"/>
      <c r="G1027" s="418"/>
      <c r="H1027" s="418"/>
      <c r="I1027" s="418"/>
      <c r="J1027" s="418" t="s">
        <v>804</v>
      </c>
      <c r="K1027" s="418" t="s">
        <v>798</v>
      </c>
      <c r="L1027" s="418" t="s">
        <v>804</v>
      </c>
      <c r="M1027" s="418" t="s">
        <v>298</v>
      </c>
      <c r="N1027" s="418">
        <v>19.904430390000002</v>
      </c>
      <c r="O1027" s="418">
        <v>93.79277802</v>
      </c>
      <c r="P1027" s="418" t="s">
        <v>923</v>
      </c>
      <c r="Q1027" s="418" t="s">
        <v>780</v>
      </c>
      <c r="R1027" s="421"/>
      <c r="S1027" s="422"/>
      <c r="T1027" s="441" t="s">
        <v>805</v>
      </c>
      <c r="U1027" s="423"/>
      <c r="V1027" s="418" t="s">
        <v>390</v>
      </c>
      <c r="W1027" s="418"/>
      <c r="X1027" s="545"/>
      <c r="Y1027" s="539"/>
      <c r="Z1027" s="539"/>
    </row>
    <row r="1028" spans="1:26" ht="14.25" customHeight="1">
      <c r="A1028" s="539" t="s">
        <v>298</v>
      </c>
      <c r="B1028" s="563" t="s">
        <v>329</v>
      </c>
      <c r="C1028" s="563" t="s">
        <v>392</v>
      </c>
      <c r="D1028" s="470" t="s">
        <v>1654</v>
      </c>
      <c r="E1028" s="418">
        <v>199135</v>
      </c>
      <c r="F1028" s="418"/>
      <c r="G1028" s="418"/>
      <c r="H1028" s="418"/>
      <c r="I1028" s="418"/>
      <c r="J1028" s="418" t="s">
        <v>804</v>
      </c>
      <c r="K1028" s="418" t="s">
        <v>798</v>
      </c>
      <c r="L1028" s="418" t="s">
        <v>804</v>
      </c>
      <c r="M1028" s="418" t="s">
        <v>807</v>
      </c>
      <c r="N1028" s="418">
        <v>19.930080409999999</v>
      </c>
      <c r="O1028" s="418">
        <v>93.787002560000005</v>
      </c>
      <c r="P1028" s="418" t="s">
        <v>923</v>
      </c>
      <c r="Q1028" s="418" t="s">
        <v>780</v>
      </c>
      <c r="R1028" s="421"/>
      <c r="S1028" s="546"/>
      <c r="T1028" s="441" t="s">
        <v>805</v>
      </c>
      <c r="U1028" s="423"/>
      <c r="V1028" s="418" t="s">
        <v>392</v>
      </c>
      <c r="W1028" s="539"/>
      <c r="X1028" s="545"/>
      <c r="Y1028" s="539"/>
      <c r="Z1028" s="539"/>
    </row>
    <row r="1029" spans="1:26" ht="14.25" customHeight="1">
      <c r="A1029" s="539" t="s">
        <v>298</v>
      </c>
      <c r="B1029" s="563" t="s">
        <v>329</v>
      </c>
      <c r="C1029" s="563" t="s">
        <v>378</v>
      </c>
      <c r="D1029" s="470" t="s">
        <v>1654</v>
      </c>
      <c r="E1029" s="418">
        <v>199261</v>
      </c>
      <c r="F1029" s="418"/>
      <c r="G1029" s="418"/>
      <c r="H1029" s="418"/>
      <c r="I1029" s="418"/>
      <c r="J1029" s="418" t="s">
        <v>804</v>
      </c>
      <c r="K1029" s="418" t="s">
        <v>798</v>
      </c>
      <c r="L1029" s="418" t="s">
        <v>804</v>
      </c>
      <c r="M1029" s="418" t="s">
        <v>298</v>
      </c>
      <c r="N1029" s="418">
        <v>19.61120987</v>
      </c>
      <c r="O1029" s="418">
        <v>93.995933530000002</v>
      </c>
      <c r="P1029" s="418" t="s">
        <v>923</v>
      </c>
      <c r="Q1029" s="418" t="s">
        <v>780</v>
      </c>
      <c r="R1029" s="545"/>
      <c r="S1029" s="422"/>
      <c r="T1029" s="441" t="s">
        <v>805</v>
      </c>
      <c r="U1029" s="423"/>
      <c r="V1029" s="418" t="s">
        <v>806</v>
      </c>
      <c r="W1029" s="539"/>
      <c r="X1029" s="545"/>
      <c r="Y1029" s="539"/>
      <c r="Z1029" s="539"/>
    </row>
    <row r="1030" spans="1:26" ht="14.25" customHeight="1">
      <c r="A1030" s="563" t="s">
        <v>298</v>
      </c>
      <c r="B1030" s="563" t="s">
        <v>329</v>
      </c>
      <c r="C1030" s="563" t="s">
        <v>384</v>
      </c>
      <c r="D1030" s="470" t="s">
        <v>1654</v>
      </c>
      <c r="E1030" s="418">
        <v>199156</v>
      </c>
      <c r="F1030" s="418"/>
      <c r="G1030" s="418"/>
      <c r="H1030" s="418"/>
      <c r="I1030" s="418"/>
      <c r="J1030" s="418" t="s">
        <v>804</v>
      </c>
      <c r="K1030" s="418" t="s">
        <v>798</v>
      </c>
      <c r="L1030" s="418" t="s">
        <v>804</v>
      </c>
      <c r="M1030" s="418" t="s">
        <v>807</v>
      </c>
      <c r="N1030" s="418">
        <v>19.686580660000001</v>
      </c>
      <c r="O1030" s="418">
        <v>94.048843379999994</v>
      </c>
      <c r="P1030" s="418" t="s">
        <v>923</v>
      </c>
      <c r="Q1030" s="418" t="s">
        <v>780</v>
      </c>
      <c r="R1030" s="545"/>
      <c r="S1030" s="422"/>
      <c r="T1030" s="441" t="s">
        <v>805</v>
      </c>
      <c r="U1030" s="423"/>
      <c r="V1030" s="418" t="s">
        <v>384</v>
      </c>
      <c r="W1030" s="539"/>
      <c r="X1030" s="547"/>
      <c r="Y1030" s="539"/>
      <c r="Z1030" s="545"/>
    </row>
    <row r="1031" spans="1:26" ht="14.25" customHeight="1">
      <c r="A1031" s="563" t="s">
        <v>298</v>
      </c>
      <c r="B1031" s="563" t="s">
        <v>329</v>
      </c>
      <c r="C1031" s="563" t="s">
        <v>381</v>
      </c>
      <c r="D1031" s="470" t="s">
        <v>1654</v>
      </c>
      <c r="E1031" s="543">
        <v>199265</v>
      </c>
      <c r="F1031" s="418"/>
      <c r="G1031" s="418"/>
      <c r="H1031" s="418"/>
      <c r="I1031" s="418"/>
      <c r="J1031" s="418" t="s">
        <v>804</v>
      </c>
      <c r="K1031" s="418" t="s">
        <v>798</v>
      </c>
      <c r="L1031" s="418" t="s">
        <v>804</v>
      </c>
      <c r="M1031" s="418" t="s">
        <v>298</v>
      </c>
      <c r="N1031" s="418">
        <v>19.627199170000001</v>
      </c>
      <c r="O1031" s="418">
        <v>93.962989809999996</v>
      </c>
      <c r="P1031" s="418" t="s">
        <v>923</v>
      </c>
      <c r="Q1031" s="418" t="s">
        <v>780</v>
      </c>
      <c r="R1031" s="545"/>
      <c r="S1031" s="422"/>
      <c r="T1031" s="441" t="s">
        <v>805</v>
      </c>
      <c r="U1031" s="423"/>
      <c r="V1031" s="418" t="s">
        <v>381</v>
      </c>
      <c r="W1031" s="539"/>
      <c r="X1031" s="547"/>
      <c r="Y1031" s="539"/>
      <c r="Z1031" s="545"/>
    </row>
    <row r="1032" spans="1:26" ht="14.25" customHeight="1">
      <c r="A1032" s="563" t="s">
        <v>298</v>
      </c>
      <c r="B1032" s="563" t="s">
        <v>329</v>
      </c>
      <c r="C1032" s="563" t="s">
        <v>379</v>
      </c>
      <c r="D1032" s="470" t="s">
        <v>1654</v>
      </c>
      <c r="E1032" s="418">
        <v>199262</v>
      </c>
      <c r="F1032" s="418"/>
      <c r="G1032" s="418"/>
      <c r="H1032" s="418"/>
      <c r="I1032" s="539"/>
      <c r="J1032" s="418" t="s">
        <v>804</v>
      </c>
      <c r="K1032" s="418" t="s">
        <v>798</v>
      </c>
      <c r="L1032" s="418" t="s">
        <v>804</v>
      </c>
      <c r="M1032" s="418" t="s">
        <v>298</v>
      </c>
      <c r="N1032" s="418">
        <v>19.61580086</v>
      </c>
      <c r="O1032" s="418">
        <v>94.000473020000001</v>
      </c>
      <c r="P1032" s="418" t="s">
        <v>923</v>
      </c>
      <c r="Q1032" s="418" t="s">
        <v>780</v>
      </c>
      <c r="R1032" s="421"/>
      <c r="S1032" s="546"/>
      <c r="T1032" s="441" t="s">
        <v>805</v>
      </c>
      <c r="U1032" s="423"/>
      <c r="V1032" s="418" t="s">
        <v>379</v>
      </c>
      <c r="W1032" s="539"/>
      <c r="X1032" s="547"/>
      <c r="Y1032" s="539"/>
      <c r="Z1032" s="545"/>
    </row>
    <row r="1033" spans="1:26" ht="14.25" customHeight="1">
      <c r="A1033" s="563" t="s">
        <v>298</v>
      </c>
      <c r="B1033" s="563" t="s">
        <v>329</v>
      </c>
      <c r="C1033" s="563" t="s">
        <v>396</v>
      </c>
      <c r="D1033" s="470" t="s">
        <v>1654</v>
      </c>
      <c r="E1033" s="418">
        <v>199241</v>
      </c>
      <c r="F1033" s="418"/>
      <c r="G1033" s="418"/>
      <c r="H1033" s="418"/>
      <c r="I1033" s="418"/>
      <c r="J1033" s="418" t="s">
        <v>804</v>
      </c>
      <c r="K1033" s="418" t="s">
        <v>798</v>
      </c>
      <c r="L1033" s="418" t="s">
        <v>804</v>
      </c>
      <c r="M1033" s="418" t="s">
        <v>807</v>
      </c>
      <c r="N1033" s="418">
        <v>19.988599780000001</v>
      </c>
      <c r="O1033" s="418">
        <v>93.803939819999997</v>
      </c>
      <c r="P1033" s="418" t="s">
        <v>923</v>
      </c>
      <c r="Q1033" s="418" t="s">
        <v>780</v>
      </c>
      <c r="R1033" s="545"/>
      <c r="S1033" s="422"/>
      <c r="T1033" s="441" t="s">
        <v>805</v>
      </c>
      <c r="U1033" s="423"/>
      <c r="V1033" s="412" t="s">
        <v>813</v>
      </c>
      <c r="W1033" s="539"/>
      <c r="X1033" s="547"/>
      <c r="Y1033" s="539"/>
      <c r="Z1033" s="545"/>
    </row>
    <row r="1034" spans="1:26" ht="14.25" customHeight="1">
      <c r="A1034" s="563" t="s">
        <v>298</v>
      </c>
      <c r="B1034" s="563" t="s">
        <v>329</v>
      </c>
      <c r="C1034" s="563" t="s">
        <v>394</v>
      </c>
      <c r="D1034" s="470" t="s">
        <v>1654</v>
      </c>
      <c r="E1034" s="418">
        <v>220838</v>
      </c>
      <c r="F1034" s="418"/>
      <c r="G1034" s="418"/>
      <c r="H1034" s="418"/>
      <c r="I1034" s="418"/>
      <c r="J1034" s="418" t="s">
        <v>804</v>
      </c>
      <c r="K1034" s="418" t="s">
        <v>798</v>
      </c>
      <c r="L1034" s="418" t="s">
        <v>804</v>
      </c>
      <c r="M1034" s="418" t="s">
        <v>807</v>
      </c>
      <c r="N1034" s="557">
        <v>19.962713239999999</v>
      </c>
      <c r="O1034" s="557">
        <v>93.885574340000005</v>
      </c>
      <c r="P1034" s="418" t="s">
        <v>923</v>
      </c>
      <c r="Q1034" s="418" t="s">
        <v>780</v>
      </c>
      <c r="R1034" s="545"/>
      <c r="S1034" s="422"/>
      <c r="T1034" s="441" t="s">
        <v>805</v>
      </c>
      <c r="U1034" s="423"/>
      <c r="V1034" s="418" t="s">
        <v>394</v>
      </c>
      <c r="W1034" s="539"/>
      <c r="X1034" s="547"/>
      <c r="Y1034" s="539"/>
      <c r="Z1034" s="545"/>
    </row>
    <row r="1035" spans="1:26" ht="14.25" customHeight="1">
      <c r="A1035" s="563" t="s">
        <v>298</v>
      </c>
      <c r="B1035" s="563" t="s">
        <v>329</v>
      </c>
      <c r="C1035" s="563" t="s">
        <v>391</v>
      </c>
      <c r="D1035" s="470" t="s">
        <v>1654</v>
      </c>
      <c r="E1035" s="418">
        <v>199133</v>
      </c>
      <c r="F1035" s="418"/>
      <c r="G1035" s="418"/>
      <c r="H1035" s="418"/>
      <c r="I1035" s="539"/>
      <c r="J1035" s="418" t="s">
        <v>804</v>
      </c>
      <c r="K1035" s="418" t="s">
        <v>798</v>
      </c>
      <c r="L1035" s="418" t="s">
        <v>804</v>
      </c>
      <c r="M1035" s="418" t="s">
        <v>298</v>
      </c>
      <c r="N1035" s="418">
        <v>19.925739289999999</v>
      </c>
      <c r="O1035" s="418">
        <v>93.792991639999997</v>
      </c>
      <c r="P1035" s="418" t="s">
        <v>923</v>
      </c>
      <c r="Q1035" s="418" t="s">
        <v>780</v>
      </c>
      <c r="R1035" s="421"/>
      <c r="S1035" s="546"/>
      <c r="T1035" s="441" t="s">
        <v>805</v>
      </c>
      <c r="U1035" s="423"/>
      <c r="V1035" s="418" t="s">
        <v>809</v>
      </c>
      <c r="W1035" s="539"/>
      <c r="X1035" s="547"/>
      <c r="Y1035" s="539"/>
      <c r="Z1035" s="545"/>
    </row>
    <row r="1036" spans="1:26" ht="14.25" customHeight="1">
      <c r="A1036" s="489" t="s">
        <v>702</v>
      </c>
      <c r="B1036" s="445" t="s">
        <v>721</v>
      </c>
      <c r="C1036" s="489" t="s">
        <v>722</v>
      </c>
      <c r="D1036" s="470" t="s">
        <v>2896</v>
      </c>
      <c r="E1036" s="418" t="s">
        <v>1414</v>
      </c>
      <c r="F1036" s="418" t="s">
        <v>722</v>
      </c>
      <c r="G1036" s="418" t="s">
        <v>722</v>
      </c>
      <c r="H1036" s="418" t="s">
        <v>42</v>
      </c>
      <c r="I1036" s="418" t="s">
        <v>2726</v>
      </c>
      <c r="J1036" s="418" t="s">
        <v>44</v>
      </c>
      <c r="K1036" s="418" t="s">
        <v>44</v>
      </c>
      <c r="L1036" s="418" t="s">
        <v>44</v>
      </c>
      <c r="M1036" s="418" t="s">
        <v>45</v>
      </c>
      <c r="N1036" s="418">
        <v>23.354268999999999</v>
      </c>
      <c r="O1036" s="418">
        <v>98.218626999999998</v>
      </c>
      <c r="P1036" s="418" t="s">
        <v>761</v>
      </c>
      <c r="Q1036" s="418" t="s">
        <v>780</v>
      </c>
      <c r="R1036" s="421">
        <v>35</v>
      </c>
      <c r="S1036" s="421">
        <v>183</v>
      </c>
      <c r="T1036" s="441"/>
      <c r="U1036" s="423"/>
      <c r="V1036" s="418" t="s">
        <v>722</v>
      </c>
      <c r="W1036" s="413" t="s">
        <v>2192</v>
      </c>
      <c r="X1036" s="547"/>
      <c r="Y1036" s="539"/>
      <c r="Z1036" s="545"/>
    </row>
    <row r="1037" spans="1:26" ht="14.25" customHeight="1">
      <c r="A1037" s="489" t="s">
        <v>702</v>
      </c>
      <c r="B1037" s="445" t="s">
        <v>721</v>
      </c>
      <c r="C1037" s="489" t="s">
        <v>745</v>
      </c>
      <c r="D1037" s="420" t="s">
        <v>1732</v>
      </c>
      <c r="E1037" s="418" t="s">
        <v>1415</v>
      </c>
      <c r="F1037" s="418" t="s">
        <v>1759</v>
      </c>
      <c r="G1037" s="418" t="s">
        <v>1759</v>
      </c>
      <c r="H1037" s="418"/>
      <c r="I1037" s="418" t="s">
        <v>2141</v>
      </c>
      <c r="J1037" s="418" t="s">
        <v>44</v>
      </c>
      <c r="K1037" s="418" t="s">
        <v>968</v>
      </c>
      <c r="L1037" s="418" t="s">
        <v>760</v>
      </c>
      <c r="M1037" s="418" t="s">
        <v>778</v>
      </c>
      <c r="N1037" s="418">
        <v>23.372409999999999</v>
      </c>
      <c r="O1037" s="418">
        <v>98.352670000000003</v>
      </c>
      <c r="P1037" s="418" t="s">
        <v>773</v>
      </c>
      <c r="Q1037" s="418" t="s">
        <v>780</v>
      </c>
      <c r="R1037" s="429"/>
      <c r="S1037" s="422"/>
      <c r="T1037" s="441">
        <v>43276</v>
      </c>
      <c r="U1037" s="423" t="s">
        <v>1984</v>
      </c>
      <c r="V1037" s="418" t="s">
        <v>745</v>
      </c>
      <c r="W1037" s="413" t="s">
        <v>2193</v>
      </c>
      <c r="X1037" s="547"/>
      <c r="Y1037" s="539"/>
      <c r="Z1037" s="545"/>
    </row>
    <row r="1038" spans="1:26" ht="14.25" customHeight="1">
      <c r="A1038" s="489" t="s">
        <v>702</v>
      </c>
      <c r="B1038" s="445" t="s">
        <v>721</v>
      </c>
      <c r="C1038" s="489" t="s">
        <v>751</v>
      </c>
      <c r="D1038" s="420" t="s">
        <v>1655</v>
      </c>
      <c r="E1038" s="418" t="s">
        <v>1413</v>
      </c>
      <c r="F1038" s="418" t="s">
        <v>1666</v>
      </c>
      <c r="G1038" s="418" t="s">
        <v>1666</v>
      </c>
      <c r="H1038" s="418"/>
      <c r="I1038" s="418">
        <v>0</v>
      </c>
      <c r="J1038" s="418" t="s">
        <v>44</v>
      </c>
      <c r="K1038" s="418" t="s">
        <v>44</v>
      </c>
      <c r="L1038" s="418" t="s">
        <v>760</v>
      </c>
      <c r="M1038" s="418" t="s">
        <v>45</v>
      </c>
      <c r="N1038" s="418">
        <v>23.353999999999999</v>
      </c>
      <c r="O1038" s="418">
        <v>98.221000000000004</v>
      </c>
      <c r="P1038" s="418" t="s">
        <v>761</v>
      </c>
      <c r="Q1038" s="418" t="s">
        <v>762</v>
      </c>
      <c r="R1038" s="429"/>
      <c r="S1038" s="422"/>
      <c r="T1038" s="441"/>
      <c r="U1038" s="423"/>
      <c r="V1038" s="418"/>
      <c r="W1038" s="413" t="s">
        <v>2194</v>
      </c>
      <c r="X1038" s="547"/>
      <c r="Y1038" s="539"/>
      <c r="Z1038" s="545"/>
    </row>
    <row r="1039" spans="1:26" ht="14.25" customHeight="1">
      <c r="A1039" s="489" t="s">
        <v>702</v>
      </c>
      <c r="B1039" s="445" t="s">
        <v>743</v>
      </c>
      <c r="C1039" s="489" t="s">
        <v>2696</v>
      </c>
      <c r="D1039" s="544"/>
      <c r="E1039" s="418"/>
      <c r="F1039" s="418"/>
      <c r="G1039" s="418"/>
      <c r="H1039" s="418"/>
      <c r="I1039" s="418"/>
      <c r="J1039" s="418" t="s">
        <v>2714</v>
      </c>
      <c r="K1039" s="418" t="s">
        <v>2676</v>
      </c>
      <c r="L1039" s="418" t="s">
        <v>2676</v>
      </c>
      <c r="M1039" s="418" t="s">
        <v>45</v>
      </c>
      <c r="N1039" s="418"/>
      <c r="O1039" s="418"/>
      <c r="P1039" s="418" t="s">
        <v>1992</v>
      </c>
      <c r="Q1039" s="418"/>
      <c r="R1039" s="553"/>
      <c r="S1039" s="546"/>
      <c r="T1039" s="441">
        <v>43567</v>
      </c>
      <c r="U1039" s="423"/>
      <c r="V1039" s="418"/>
      <c r="W1039" s="545"/>
      <c r="X1039" s="547"/>
      <c r="Y1039" s="539"/>
      <c r="Z1039" s="545"/>
    </row>
    <row r="1040" spans="1:26" ht="14.25" customHeight="1">
      <c r="A1040" s="489" t="s">
        <v>702</v>
      </c>
      <c r="B1040" s="445" t="s">
        <v>743</v>
      </c>
      <c r="C1040" s="489" t="s">
        <v>744</v>
      </c>
      <c r="D1040" s="470" t="s">
        <v>2896</v>
      </c>
      <c r="E1040" s="418" t="s">
        <v>1405</v>
      </c>
      <c r="F1040" s="418" t="s">
        <v>1755</v>
      </c>
      <c r="G1040" s="418" t="s">
        <v>1756</v>
      </c>
      <c r="H1040" s="418"/>
      <c r="I1040" s="543" t="s">
        <v>2141</v>
      </c>
      <c r="J1040" s="418" t="s">
        <v>44</v>
      </c>
      <c r="K1040" s="418" t="s">
        <v>44</v>
      </c>
      <c r="L1040" s="418" t="s">
        <v>776</v>
      </c>
      <c r="M1040" s="418" t="s">
        <v>45</v>
      </c>
      <c r="N1040" s="418">
        <v>22.677008000000001</v>
      </c>
      <c r="O1040" s="418">
        <v>97.314762999999999</v>
      </c>
      <c r="P1040" s="418" t="s">
        <v>761</v>
      </c>
      <c r="Q1040" s="418" t="s">
        <v>762</v>
      </c>
      <c r="R1040" s="421">
        <v>37</v>
      </c>
      <c r="S1040" s="421">
        <v>120</v>
      </c>
      <c r="T1040" s="441"/>
      <c r="U1040" s="423" t="s">
        <v>962</v>
      </c>
      <c r="V1040" s="418" t="s">
        <v>963</v>
      </c>
      <c r="W1040" s="413" t="s">
        <v>2195</v>
      </c>
      <c r="X1040" s="547"/>
      <c r="Y1040" s="539"/>
      <c r="Z1040" s="545"/>
    </row>
    <row r="1041" spans="1:26" ht="14.25" customHeight="1">
      <c r="A1041" s="489" t="s">
        <v>702</v>
      </c>
      <c r="B1041" s="445" t="s">
        <v>743</v>
      </c>
      <c r="C1041" s="489" t="s">
        <v>2697</v>
      </c>
      <c r="D1041" s="544"/>
      <c r="E1041" s="418"/>
      <c r="F1041" s="418"/>
      <c r="G1041" s="418"/>
      <c r="H1041" s="418"/>
      <c r="I1041" s="418"/>
      <c r="J1041" s="418" t="s">
        <v>2714</v>
      </c>
      <c r="K1041" s="418" t="s">
        <v>2676</v>
      </c>
      <c r="L1041" s="418" t="s">
        <v>2676</v>
      </c>
      <c r="M1041" s="418" t="s">
        <v>45</v>
      </c>
      <c r="N1041" s="418"/>
      <c r="O1041" s="418"/>
      <c r="P1041" s="418" t="s">
        <v>1992</v>
      </c>
      <c r="Q1041" s="418"/>
      <c r="R1041" s="553"/>
      <c r="S1041" s="546"/>
      <c r="T1041" s="441">
        <v>43567</v>
      </c>
      <c r="U1041" s="423"/>
      <c r="V1041" s="418"/>
      <c r="W1041" s="545"/>
      <c r="X1041" s="547"/>
      <c r="Y1041" s="539"/>
      <c r="Z1041" s="545"/>
    </row>
    <row r="1042" spans="1:26" ht="14.25" customHeight="1">
      <c r="A1042" s="489" t="s">
        <v>702</v>
      </c>
      <c r="B1042" s="445" t="s">
        <v>743</v>
      </c>
      <c r="C1042" s="489" t="s">
        <v>2698</v>
      </c>
      <c r="D1042" s="420"/>
      <c r="E1042" s="418"/>
      <c r="F1042" s="418"/>
      <c r="G1042" s="418"/>
      <c r="H1042" s="418"/>
      <c r="I1042" s="418"/>
      <c r="J1042" s="418" t="s">
        <v>2714</v>
      </c>
      <c r="K1042" s="418" t="s">
        <v>2676</v>
      </c>
      <c r="L1042" s="418" t="s">
        <v>2676</v>
      </c>
      <c r="M1042" s="418" t="s">
        <v>45</v>
      </c>
      <c r="N1042" s="418"/>
      <c r="O1042" s="418"/>
      <c r="P1042" s="418" t="s">
        <v>1992</v>
      </c>
      <c r="Q1042" s="418"/>
      <c r="R1042" s="429"/>
      <c r="S1042" s="422"/>
      <c r="T1042" s="441">
        <v>43567</v>
      </c>
      <c r="U1042" s="423"/>
      <c r="V1042" s="418"/>
      <c r="W1042" s="421"/>
      <c r="X1042" s="547"/>
      <c r="Y1042" s="539"/>
      <c r="Z1042" s="545"/>
    </row>
    <row r="1043" spans="1:26" ht="14.25" customHeight="1">
      <c r="A1043" s="489" t="s">
        <v>702</v>
      </c>
      <c r="B1043" s="445" t="s">
        <v>706</v>
      </c>
      <c r="C1043" s="489" t="s">
        <v>2257</v>
      </c>
      <c r="D1043" s="470" t="s">
        <v>2896</v>
      </c>
      <c r="E1043" s="418" t="s">
        <v>2258</v>
      </c>
      <c r="F1043" s="418" t="s">
        <v>2259</v>
      </c>
      <c r="G1043" s="418" t="s">
        <v>2259</v>
      </c>
      <c r="H1043" s="418"/>
      <c r="I1043" s="543" t="s">
        <v>2141</v>
      </c>
      <c r="J1043" s="418" t="s">
        <v>44</v>
      </c>
      <c r="K1043" s="418" t="s">
        <v>44</v>
      </c>
      <c r="L1043" s="418" t="s">
        <v>776</v>
      </c>
      <c r="M1043" s="418" t="s">
        <v>45</v>
      </c>
      <c r="N1043" s="418">
        <v>0</v>
      </c>
      <c r="O1043" s="418">
        <v>0</v>
      </c>
      <c r="P1043" s="418" t="s">
        <v>761</v>
      </c>
      <c r="Q1043" s="418" t="s">
        <v>2260</v>
      </c>
      <c r="R1043" s="421">
        <v>86</v>
      </c>
      <c r="S1043" s="421">
        <v>525</v>
      </c>
      <c r="T1043" s="441">
        <v>43405</v>
      </c>
      <c r="U1043" s="423" t="s">
        <v>2261</v>
      </c>
      <c r="V1043" s="418" t="s">
        <v>2257</v>
      </c>
      <c r="W1043" s="413" t="s">
        <v>2262</v>
      </c>
      <c r="X1043" s="547"/>
      <c r="Y1043" s="539"/>
      <c r="Z1043" s="545"/>
    </row>
    <row r="1044" spans="1:26" ht="14.25" customHeight="1">
      <c r="A1044" s="489" t="s">
        <v>702</v>
      </c>
      <c r="B1044" s="445" t="s">
        <v>706</v>
      </c>
      <c r="C1044" s="489" t="s">
        <v>2263</v>
      </c>
      <c r="D1044" s="470" t="s">
        <v>2896</v>
      </c>
      <c r="E1044" s="418" t="s">
        <v>2264</v>
      </c>
      <c r="F1044" s="418" t="s">
        <v>2265</v>
      </c>
      <c r="G1044" s="418"/>
      <c r="H1044" s="418" t="s">
        <v>42</v>
      </c>
      <c r="I1044" s="539" t="s">
        <v>1320</v>
      </c>
      <c r="J1044" s="418" t="s">
        <v>44</v>
      </c>
      <c r="K1044" s="418" t="s">
        <v>44</v>
      </c>
      <c r="L1044" s="418" t="s">
        <v>44</v>
      </c>
      <c r="M1044" s="418" t="s">
        <v>45</v>
      </c>
      <c r="N1044" s="418">
        <v>0</v>
      </c>
      <c r="O1044" s="418">
        <v>0</v>
      </c>
      <c r="P1044" s="418" t="s">
        <v>761</v>
      </c>
      <c r="Q1044" s="418" t="s">
        <v>2260</v>
      </c>
      <c r="R1044" s="421">
        <v>32</v>
      </c>
      <c r="S1044" s="421">
        <v>150</v>
      </c>
      <c r="T1044" s="441"/>
      <c r="U1044" s="423" t="s">
        <v>2266</v>
      </c>
      <c r="V1044" s="418" t="s">
        <v>2263</v>
      </c>
      <c r="W1044" s="413" t="s">
        <v>2269</v>
      </c>
      <c r="X1044" s="547"/>
      <c r="Y1044" s="539"/>
      <c r="Z1044" s="545"/>
    </row>
    <row r="1045" spans="1:26" ht="14.25" customHeight="1">
      <c r="A1045" s="489" t="s">
        <v>702</v>
      </c>
      <c r="B1045" s="445" t="s">
        <v>706</v>
      </c>
      <c r="C1045" s="489" t="s">
        <v>727</v>
      </c>
      <c r="D1045" s="544" t="s">
        <v>1655</v>
      </c>
      <c r="E1045" s="418" t="s">
        <v>1418</v>
      </c>
      <c r="F1045" s="418" t="s">
        <v>1667</v>
      </c>
      <c r="G1045" s="418" t="s">
        <v>1668</v>
      </c>
      <c r="H1045" s="418" t="s">
        <v>42</v>
      </c>
      <c r="I1045" s="418" t="s">
        <v>135</v>
      </c>
      <c r="J1045" s="418" t="s">
        <v>44</v>
      </c>
      <c r="K1045" s="418" t="s">
        <v>968</v>
      </c>
      <c r="L1045" s="418" t="s">
        <v>760</v>
      </c>
      <c r="M1045" s="418" t="s">
        <v>45</v>
      </c>
      <c r="N1045" s="418">
        <v>23.4008</v>
      </c>
      <c r="O1045" s="418">
        <v>97.848529999999997</v>
      </c>
      <c r="P1045" s="418" t="s">
        <v>761</v>
      </c>
      <c r="Q1045" s="418" t="s">
        <v>780</v>
      </c>
      <c r="R1045" s="553"/>
      <c r="S1045" s="546"/>
      <c r="T1045" s="441">
        <v>43049</v>
      </c>
      <c r="U1045" s="423" t="s">
        <v>970</v>
      </c>
      <c r="V1045" s="418" t="s">
        <v>727</v>
      </c>
      <c r="W1045" s="413" t="s">
        <v>2196</v>
      </c>
      <c r="X1045" s="547"/>
      <c r="Y1045" s="539"/>
      <c r="Z1045" s="545"/>
    </row>
    <row r="1046" spans="1:26" ht="14.25" customHeight="1">
      <c r="A1046" s="489" t="s">
        <v>702</v>
      </c>
      <c r="B1046" s="445" t="s">
        <v>706</v>
      </c>
      <c r="C1046" s="489" t="s">
        <v>1104</v>
      </c>
      <c r="D1046" s="420" t="s">
        <v>1654</v>
      </c>
      <c r="E1046" s="418"/>
      <c r="F1046" s="418"/>
      <c r="G1046" s="418"/>
      <c r="H1046" s="418"/>
      <c r="I1046" s="418"/>
      <c r="J1046" s="418" t="s">
        <v>1449</v>
      </c>
      <c r="K1046" s="418" t="s">
        <v>44</v>
      </c>
      <c r="L1046" s="418" t="s">
        <v>1099</v>
      </c>
      <c r="M1046" s="418" t="s">
        <v>45</v>
      </c>
      <c r="N1046" s="418"/>
      <c r="O1046" s="418"/>
      <c r="P1046" s="418" t="s">
        <v>761</v>
      </c>
      <c r="Q1046" s="418" t="s">
        <v>780</v>
      </c>
      <c r="R1046" s="429"/>
      <c r="S1046" s="422"/>
      <c r="T1046" s="441"/>
      <c r="U1046" s="423" t="s">
        <v>1095</v>
      </c>
      <c r="V1046" s="418" t="s">
        <v>1104</v>
      </c>
      <c r="W1046" s="421"/>
      <c r="X1046" s="547"/>
      <c r="Y1046" s="539"/>
      <c r="Z1046" s="545"/>
    </row>
    <row r="1047" spans="1:26" ht="14.25" customHeight="1">
      <c r="A1047" s="489" t="s">
        <v>702</v>
      </c>
      <c r="B1047" s="445" t="s">
        <v>706</v>
      </c>
      <c r="C1047" s="489" t="s">
        <v>728</v>
      </c>
      <c r="D1047" s="470" t="s">
        <v>2896</v>
      </c>
      <c r="E1047" s="418" t="s">
        <v>1420</v>
      </c>
      <c r="F1047" s="418" t="s">
        <v>1760</v>
      </c>
      <c r="G1047" s="418" t="s">
        <v>1761</v>
      </c>
      <c r="H1047" s="418" t="s">
        <v>42</v>
      </c>
      <c r="I1047" s="539" t="s">
        <v>2726</v>
      </c>
      <c r="J1047" s="418" t="s">
        <v>44</v>
      </c>
      <c r="K1047" s="418" t="s">
        <v>44</v>
      </c>
      <c r="L1047" s="418" t="s">
        <v>44</v>
      </c>
      <c r="M1047" s="418" t="s">
        <v>45</v>
      </c>
      <c r="N1047" s="418">
        <v>23.450914000000001</v>
      </c>
      <c r="O1047" s="418">
        <v>97.926813999999993</v>
      </c>
      <c r="P1047" s="418" t="s">
        <v>761</v>
      </c>
      <c r="Q1047" s="418" t="s">
        <v>780</v>
      </c>
      <c r="R1047" s="421">
        <v>53</v>
      </c>
      <c r="S1047" s="421">
        <v>261</v>
      </c>
      <c r="T1047" s="441"/>
      <c r="U1047" s="423"/>
      <c r="V1047" s="418" t="s">
        <v>728</v>
      </c>
      <c r="W1047" s="413" t="s">
        <v>2197</v>
      </c>
      <c r="X1047" s="547"/>
      <c r="Y1047" s="539"/>
      <c r="Z1047" s="545"/>
    </row>
    <row r="1048" spans="1:26" ht="14.25" customHeight="1">
      <c r="A1048" s="489" t="s">
        <v>702</v>
      </c>
      <c r="B1048" s="445" t="s">
        <v>706</v>
      </c>
      <c r="C1048" s="489" t="s">
        <v>733</v>
      </c>
      <c r="D1048" s="470" t="s">
        <v>2896</v>
      </c>
      <c r="E1048" s="418" t="s">
        <v>1421</v>
      </c>
      <c r="F1048" s="418" t="s">
        <v>1760</v>
      </c>
      <c r="G1048" s="418" t="s">
        <v>1659</v>
      </c>
      <c r="H1048" s="418" t="s">
        <v>42</v>
      </c>
      <c r="I1048" s="418" t="s">
        <v>2726</v>
      </c>
      <c r="J1048" s="418" t="s">
        <v>44</v>
      </c>
      <c r="K1048" s="418" t="s">
        <v>44</v>
      </c>
      <c r="L1048" s="418" t="s">
        <v>44</v>
      </c>
      <c r="M1048" s="418" t="s">
        <v>45</v>
      </c>
      <c r="N1048" s="418">
        <v>23.460349999999998</v>
      </c>
      <c r="O1048" s="418">
        <v>97.947360000000003</v>
      </c>
      <c r="P1048" s="418" t="s">
        <v>761</v>
      </c>
      <c r="Q1048" s="418" t="s">
        <v>762</v>
      </c>
      <c r="R1048" s="421">
        <v>37</v>
      </c>
      <c r="S1048" s="421">
        <v>150</v>
      </c>
      <c r="T1048" s="441">
        <v>42836</v>
      </c>
      <c r="U1048" s="423" t="s">
        <v>971</v>
      </c>
      <c r="V1048" s="418"/>
      <c r="W1048" s="413" t="s">
        <v>2198</v>
      </c>
      <c r="X1048" s="547"/>
      <c r="Y1048" s="539"/>
      <c r="Z1048" s="545"/>
    </row>
    <row r="1049" spans="1:26" ht="14.25" customHeight="1">
      <c r="A1049" s="489" t="s">
        <v>702</v>
      </c>
      <c r="B1049" s="445" t="s">
        <v>706</v>
      </c>
      <c r="C1049" s="489" t="s">
        <v>707</v>
      </c>
      <c r="D1049" s="470" t="s">
        <v>2896</v>
      </c>
      <c r="E1049" s="418" t="s">
        <v>1422</v>
      </c>
      <c r="F1049" s="418" t="s">
        <v>1760</v>
      </c>
      <c r="G1049" s="418" t="s">
        <v>1762</v>
      </c>
      <c r="H1049" s="418" t="s">
        <v>42</v>
      </c>
      <c r="I1049" s="418" t="s">
        <v>1320</v>
      </c>
      <c r="J1049" s="418" t="s">
        <v>44</v>
      </c>
      <c r="K1049" s="418" t="s">
        <v>44</v>
      </c>
      <c r="L1049" s="418" t="s">
        <v>44</v>
      </c>
      <c r="M1049" s="418" t="s">
        <v>45</v>
      </c>
      <c r="N1049" s="418">
        <v>23.460349999999998</v>
      </c>
      <c r="O1049" s="418">
        <v>97.947360000000003</v>
      </c>
      <c r="P1049" s="418" t="s">
        <v>761</v>
      </c>
      <c r="Q1049" s="418" t="s">
        <v>780</v>
      </c>
      <c r="R1049" s="421">
        <v>28</v>
      </c>
      <c r="S1049" s="421">
        <v>135</v>
      </c>
      <c r="T1049" s="441"/>
      <c r="U1049" s="423"/>
      <c r="V1049" s="418" t="s">
        <v>707</v>
      </c>
      <c r="W1049" s="413" t="s">
        <v>2199</v>
      </c>
      <c r="X1049" s="547"/>
      <c r="Y1049" s="539"/>
      <c r="Z1049" s="545"/>
    </row>
    <row r="1050" spans="1:26" ht="14.25" customHeight="1">
      <c r="A1050" s="489" t="s">
        <v>702</v>
      </c>
      <c r="B1050" s="445" t="s">
        <v>706</v>
      </c>
      <c r="C1050" s="489" t="s">
        <v>752</v>
      </c>
      <c r="D1050" s="420" t="s">
        <v>1654</v>
      </c>
      <c r="E1050" s="418"/>
      <c r="F1050" s="418"/>
      <c r="G1050" s="418"/>
      <c r="H1050" s="418"/>
      <c r="I1050" s="418"/>
      <c r="J1050" s="418" t="s">
        <v>1449</v>
      </c>
      <c r="K1050" s="418" t="s">
        <v>44</v>
      </c>
      <c r="L1050" s="418" t="s">
        <v>44</v>
      </c>
      <c r="M1050" s="418" t="s">
        <v>45</v>
      </c>
      <c r="N1050" s="418"/>
      <c r="O1050" s="418"/>
      <c r="P1050" s="418" t="s">
        <v>761</v>
      </c>
      <c r="Q1050" s="418" t="s">
        <v>780</v>
      </c>
      <c r="R1050" s="429"/>
      <c r="S1050" s="422"/>
      <c r="T1050" s="441">
        <v>42747</v>
      </c>
      <c r="U1050" s="423"/>
      <c r="V1050" s="418"/>
      <c r="W1050" s="421"/>
      <c r="X1050" s="547"/>
      <c r="Y1050" s="539"/>
      <c r="Z1050" s="545"/>
    </row>
    <row r="1051" spans="1:26" ht="14.25" customHeight="1">
      <c r="A1051" s="489" t="s">
        <v>702</v>
      </c>
      <c r="B1051" s="445" t="s">
        <v>706</v>
      </c>
      <c r="C1051" s="489" t="s">
        <v>2138</v>
      </c>
      <c r="D1051" s="470" t="s">
        <v>2896</v>
      </c>
      <c r="E1051" s="418" t="s">
        <v>1425</v>
      </c>
      <c r="F1051" s="418" t="s">
        <v>1765</v>
      </c>
      <c r="G1051" s="418" t="s">
        <v>1765</v>
      </c>
      <c r="H1051" s="418" t="s">
        <v>42</v>
      </c>
      <c r="I1051" s="418" t="s">
        <v>1320</v>
      </c>
      <c r="J1051" s="418" t="s">
        <v>44</v>
      </c>
      <c r="K1051" s="418" t="s">
        <v>44</v>
      </c>
      <c r="L1051" s="418" t="s">
        <v>44</v>
      </c>
      <c r="M1051" s="418" t="s">
        <v>45</v>
      </c>
      <c r="N1051" s="418">
        <v>23.591999999999999</v>
      </c>
      <c r="O1051" s="418">
        <v>97.796999999999997</v>
      </c>
      <c r="P1051" s="418" t="s">
        <v>761</v>
      </c>
      <c r="Q1051" s="418" t="s">
        <v>780</v>
      </c>
      <c r="R1051" s="421">
        <v>66</v>
      </c>
      <c r="S1051" s="421">
        <v>346</v>
      </c>
      <c r="T1051" s="441" t="s">
        <v>805</v>
      </c>
      <c r="U1051" s="423"/>
      <c r="V1051" s="418"/>
      <c r="W1051" s="413" t="s">
        <v>2200</v>
      </c>
      <c r="X1051" s="547"/>
      <c r="Y1051" s="539"/>
      <c r="Z1051" s="545"/>
    </row>
    <row r="1052" spans="1:26" ht="14.25" customHeight="1">
      <c r="A1052" s="489" t="s">
        <v>702</v>
      </c>
      <c r="B1052" s="445" t="s">
        <v>706</v>
      </c>
      <c r="C1052" s="489" t="s">
        <v>741</v>
      </c>
      <c r="D1052" s="470" t="s">
        <v>2896</v>
      </c>
      <c r="E1052" s="418" t="s">
        <v>1611</v>
      </c>
      <c r="F1052" s="418" t="s">
        <v>1848</v>
      </c>
      <c r="G1052" s="418" t="s">
        <v>741</v>
      </c>
      <c r="H1052" s="418"/>
      <c r="I1052" s="543" t="s">
        <v>2141</v>
      </c>
      <c r="J1052" s="418" t="s">
        <v>44</v>
      </c>
      <c r="K1052" s="418" t="s">
        <v>44</v>
      </c>
      <c r="L1052" s="418" t="s">
        <v>776</v>
      </c>
      <c r="M1052" s="418" t="s">
        <v>45</v>
      </c>
      <c r="N1052" s="418">
        <v>0</v>
      </c>
      <c r="O1052" s="418">
        <v>0</v>
      </c>
      <c r="P1052" s="418" t="s">
        <v>761</v>
      </c>
      <c r="Q1052" s="418" t="s">
        <v>802</v>
      </c>
      <c r="R1052" s="421">
        <v>24</v>
      </c>
      <c r="S1052" s="421">
        <v>84</v>
      </c>
      <c r="T1052" s="441" t="s">
        <v>1083</v>
      </c>
      <c r="U1052" s="423"/>
      <c r="V1052" s="418"/>
      <c r="W1052" s="413" t="s">
        <v>2201</v>
      </c>
      <c r="X1052" s="547"/>
      <c r="Y1052" s="539"/>
      <c r="Z1052" s="545"/>
    </row>
    <row r="1053" spans="1:26" ht="14.25" customHeight="1">
      <c r="A1053" s="489" t="s">
        <v>702</v>
      </c>
      <c r="B1053" s="445" t="s">
        <v>706</v>
      </c>
      <c r="C1053" s="489" t="s">
        <v>2139</v>
      </c>
      <c r="D1053" s="470" t="s">
        <v>2896</v>
      </c>
      <c r="E1053" s="418" t="s">
        <v>1424</v>
      </c>
      <c r="F1053" s="418" t="s">
        <v>1765</v>
      </c>
      <c r="G1053" s="418" t="s">
        <v>1765</v>
      </c>
      <c r="H1053" s="418" t="s">
        <v>42</v>
      </c>
      <c r="I1053" s="418" t="s">
        <v>1320</v>
      </c>
      <c r="J1053" s="418" t="s">
        <v>44</v>
      </c>
      <c r="K1053" s="418" t="s">
        <v>968</v>
      </c>
      <c r="L1053" s="418" t="s">
        <v>44</v>
      </c>
      <c r="M1053" s="418" t="s">
        <v>45</v>
      </c>
      <c r="N1053" s="418">
        <v>23.588920000000002</v>
      </c>
      <c r="O1053" s="418">
        <v>97.793019999999999</v>
      </c>
      <c r="P1053" s="418" t="s">
        <v>761</v>
      </c>
      <c r="Q1053" s="418" t="s">
        <v>780</v>
      </c>
      <c r="R1053" s="421">
        <v>76</v>
      </c>
      <c r="S1053" s="421">
        <v>344</v>
      </c>
      <c r="T1053" s="441"/>
      <c r="U1053" s="423"/>
      <c r="V1053" s="418" t="s">
        <v>736</v>
      </c>
      <c r="W1053" s="413" t="s">
        <v>2202</v>
      </c>
      <c r="X1053" s="547"/>
      <c r="Y1053" s="539"/>
      <c r="Z1053" s="545"/>
    </row>
    <row r="1054" spans="1:26" ht="14.25" customHeight="1">
      <c r="A1054" s="489" t="s">
        <v>702</v>
      </c>
      <c r="B1054" s="445" t="s">
        <v>706</v>
      </c>
      <c r="C1054" s="489" t="s">
        <v>1116</v>
      </c>
      <c r="D1054" s="544" t="s">
        <v>1654</v>
      </c>
      <c r="E1054" s="418"/>
      <c r="F1054" s="418"/>
      <c r="G1054" s="418"/>
      <c r="H1054" s="418"/>
      <c r="I1054" s="418"/>
      <c r="J1054" s="418" t="s">
        <v>1449</v>
      </c>
      <c r="K1054" s="418" t="s">
        <v>44</v>
      </c>
      <c r="L1054" s="418" t="s">
        <v>44</v>
      </c>
      <c r="M1054" s="418" t="s">
        <v>45</v>
      </c>
      <c r="N1054" s="418"/>
      <c r="O1054" s="418"/>
      <c r="P1054" s="418" t="s">
        <v>761</v>
      </c>
      <c r="Q1054" s="418" t="s">
        <v>780</v>
      </c>
      <c r="R1054" s="553"/>
      <c r="S1054" s="546"/>
      <c r="T1054" s="441"/>
      <c r="U1054" s="423" t="s">
        <v>1095</v>
      </c>
      <c r="V1054" s="418"/>
      <c r="W1054" s="545"/>
      <c r="X1054" s="547"/>
      <c r="Y1054" s="539"/>
      <c r="Z1054" s="545"/>
    </row>
    <row r="1055" spans="1:26" ht="14.25" customHeight="1">
      <c r="A1055" s="489" t="s">
        <v>702</v>
      </c>
      <c r="B1055" s="445" t="s">
        <v>706</v>
      </c>
      <c r="C1055" s="489" t="s">
        <v>732</v>
      </c>
      <c r="D1055" s="470" t="s">
        <v>2896</v>
      </c>
      <c r="E1055" s="418" t="s">
        <v>1442</v>
      </c>
      <c r="F1055" s="418" t="s">
        <v>1769</v>
      </c>
      <c r="G1055" s="418" t="s">
        <v>1770</v>
      </c>
      <c r="H1055" s="418"/>
      <c r="I1055" s="543" t="s">
        <v>2141</v>
      </c>
      <c r="J1055" s="418" t="s">
        <v>44</v>
      </c>
      <c r="K1055" s="418" t="s">
        <v>44</v>
      </c>
      <c r="L1055" s="418" t="s">
        <v>776</v>
      </c>
      <c r="M1055" s="418" t="s">
        <v>45</v>
      </c>
      <c r="N1055" s="418">
        <v>23.850999999999999</v>
      </c>
      <c r="O1055" s="418">
        <v>98.337999999999994</v>
      </c>
      <c r="P1055" s="418" t="s">
        <v>761</v>
      </c>
      <c r="Q1055" s="418" t="s">
        <v>762</v>
      </c>
      <c r="R1055" s="421">
        <v>30</v>
      </c>
      <c r="S1055" s="421">
        <v>170</v>
      </c>
      <c r="T1055" s="441"/>
      <c r="U1055" s="423" t="s">
        <v>982</v>
      </c>
      <c r="V1055" s="418"/>
      <c r="W1055" s="413" t="s">
        <v>2203</v>
      </c>
      <c r="X1055" s="547"/>
      <c r="Y1055" s="539"/>
      <c r="Z1055" s="545"/>
    </row>
    <row r="1056" spans="1:26" ht="14.25" customHeight="1">
      <c r="A1056" s="489" t="s">
        <v>702</v>
      </c>
      <c r="B1056" s="445" t="s">
        <v>706</v>
      </c>
      <c r="C1056" s="489" t="s">
        <v>715</v>
      </c>
      <c r="D1056" s="470" t="s">
        <v>2896</v>
      </c>
      <c r="E1056" s="418" t="s">
        <v>1417</v>
      </c>
      <c r="F1056" s="418"/>
      <c r="G1056" s="418"/>
      <c r="H1056" s="418" t="s">
        <v>42</v>
      </c>
      <c r="I1056" s="418" t="s">
        <v>2726</v>
      </c>
      <c r="J1056" s="418" t="s">
        <v>44</v>
      </c>
      <c r="K1056" s="418" t="s">
        <v>968</v>
      </c>
      <c r="L1056" s="418" t="s">
        <v>44</v>
      </c>
      <c r="M1056" s="418" t="s">
        <v>45</v>
      </c>
      <c r="N1056" s="418">
        <v>23.400155999999999</v>
      </c>
      <c r="O1056" s="418">
        <v>98.220614999999995</v>
      </c>
      <c r="P1056" s="418" t="s">
        <v>761</v>
      </c>
      <c r="Q1056" s="418" t="s">
        <v>780</v>
      </c>
      <c r="R1056" s="545">
        <v>38</v>
      </c>
      <c r="S1056" s="545">
        <v>208</v>
      </c>
      <c r="T1056" s="441"/>
      <c r="U1056" s="423"/>
      <c r="V1056" s="418" t="s">
        <v>969</v>
      </c>
      <c r="W1056" s="413" t="s">
        <v>2204</v>
      </c>
      <c r="X1056" s="547"/>
      <c r="Y1056" s="539"/>
      <c r="Z1056" s="545"/>
    </row>
    <row r="1057" spans="1:26" ht="14.25" customHeight="1">
      <c r="A1057" s="489" t="s">
        <v>702</v>
      </c>
      <c r="B1057" s="445" t="s">
        <v>706</v>
      </c>
      <c r="C1057" s="489" t="s">
        <v>711</v>
      </c>
      <c r="D1057" s="470" t="s">
        <v>2896</v>
      </c>
      <c r="E1057" s="418" t="s">
        <v>1423</v>
      </c>
      <c r="F1057" s="418" t="s">
        <v>1763</v>
      </c>
      <c r="G1057" s="418" t="s">
        <v>1764</v>
      </c>
      <c r="H1057" s="418" t="s">
        <v>42</v>
      </c>
      <c r="I1057" s="418" t="s">
        <v>1320</v>
      </c>
      <c r="J1057" s="418" t="s">
        <v>44</v>
      </c>
      <c r="K1057" s="418" t="s">
        <v>44</v>
      </c>
      <c r="L1057" s="418" t="s">
        <v>44</v>
      </c>
      <c r="M1057" s="418" t="s">
        <v>45</v>
      </c>
      <c r="N1057" s="418">
        <v>23.463000000000001</v>
      </c>
      <c r="O1057" s="418">
        <v>98.248999999999995</v>
      </c>
      <c r="P1057" s="418" t="s">
        <v>761</v>
      </c>
      <c r="Q1057" s="418" t="s">
        <v>780</v>
      </c>
      <c r="R1057" s="545">
        <v>19</v>
      </c>
      <c r="S1057" s="545">
        <v>89</v>
      </c>
      <c r="T1057" s="441"/>
      <c r="U1057" s="423"/>
      <c r="V1057" s="418" t="s">
        <v>972</v>
      </c>
      <c r="W1057" s="413" t="s">
        <v>2205</v>
      </c>
      <c r="X1057" s="547"/>
      <c r="Y1057" s="539"/>
      <c r="Z1057" s="545"/>
    </row>
    <row r="1058" spans="1:26" ht="14.25" customHeight="1">
      <c r="A1058" s="489" t="s">
        <v>702</v>
      </c>
      <c r="B1058" s="445" t="s">
        <v>706</v>
      </c>
      <c r="C1058" s="489" t="s">
        <v>1120</v>
      </c>
      <c r="D1058" s="420" t="s">
        <v>1654</v>
      </c>
      <c r="E1058" s="418"/>
      <c r="F1058" s="418"/>
      <c r="G1058" s="418"/>
      <c r="H1058" s="418"/>
      <c r="I1058" s="418"/>
      <c r="J1058" s="418" t="s">
        <v>1449</v>
      </c>
      <c r="K1058" s="418" t="s">
        <v>44</v>
      </c>
      <c r="L1058" s="418" t="s">
        <v>1099</v>
      </c>
      <c r="M1058" s="418" t="s">
        <v>45</v>
      </c>
      <c r="N1058" s="418"/>
      <c r="O1058" s="418"/>
      <c r="P1058" s="418" t="s">
        <v>761</v>
      </c>
      <c r="Q1058" s="418" t="s">
        <v>780</v>
      </c>
      <c r="R1058" s="429"/>
      <c r="S1058" s="422"/>
      <c r="T1058" s="441"/>
      <c r="U1058" s="423" t="s">
        <v>1095</v>
      </c>
      <c r="V1058" s="418" t="s">
        <v>1121</v>
      </c>
      <c r="W1058" s="421"/>
      <c r="X1058" s="547"/>
      <c r="Y1058" s="539"/>
      <c r="Z1058" s="545"/>
    </row>
    <row r="1059" spans="1:26" ht="14.25" customHeight="1">
      <c r="A1059" s="489" t="s">
        <v>702</v>
      </c>
      <c r="B1059" s="445" t="s">
        <v>706</v>
      </c>
      <c r="C1059" s="489" t="s">
        <v>718</v>
      </c>
      <c r="D1059" s="470" t="s">
        <v>2896</v>
      </c>
      <c r="E1059" s="418" t="s">
        <v>1429</v>
      </c>
      <c r="F1059" s="418" t="s">
        <v>1766</v>
      </c>
      <c r="G1059" s="418" t="s">
        <v>1767</v>
      </c>
      <c r="H1059" s="418" t="s">
        <v>42</v>
      </c>
      <c r="I1059" s="418" t="s">
        <v>2726</v>
      </c>
      <c r="J1059" s="418" t="s">
        <v>44</v>
      </c>
      <c r="K1059" s="418" t="s">
        <v>44</v>
      </c>
      <c r="L1059" s="418" t="s">
        <v>44</v>
      </c>
      <c r="M1059" s="418" t="s">
        <v>45</v>
      </c>
      <c r="N1059" s="418">
        <v>23.694130000000001</v>
      </c>
      <c r="O1059" s="418">
        <v>97.818979999999996</v>
      </c>
      <c r="P1059" s="418" t="s">
        <v>761</v>
      </c>
      <c r="Q1059" s="418" t="s">
        <v>780</v>
      </c>
      <c r="R1059" s="545">
        <v>56</v>
      </c>
      <c r="S1059" s="545">
        <v>263</v>
      </c>
      <c r="T1059" s="441"/>
      <c r="U1059" s="423"/>
      <c r="V1059" s="418" t="s">
        <v>718</v>
      </c>
      <c r="W1059" s="413" t="s">
        <v>2206</v>
      </c>
      <c r="X1059" s="547"/>
      <c r="Y1059" s="539"/>
      <c r="Z1059" s="545"/>
    </row>
    <row r="1060" spans="1:26" ht="14.25" customHeight="1">
      <c r="A1060" s="489" t="s">
        <v>702</v>
      </c>
      <c r="B1060" s="445" t="s">
        <v>706</v>
      </c>
      <c r="C1060" s="489" t="s">
        <v>2140</v>
      </c>
      <c r="D1060" s="470" t="s">
        <v>2896</v>
      </c>
      <c r="E1060" s="418" t="s">
        <v>1428</v>
      </c>
      <c r="F1060" s="418"/>
      <c r="G1060" s="418"/>
      <c r="H1060" s="418" t="s">
        <v>42</v>
      </c>
      <c r="I1060" s="418" t="s">
        <v>1320</v>
      </c>
      <c r="J1060" s="418" t="s">
        <v>44</v>
      </c>
      <c r="K1060" s="418" t="s">
        <v>44</v>
      </c>
      <c r="L1060" s="418" t="s">
        <v>44</v>
      </c>
      <c r="M1060" s="418" t="s">
        <v>45</v>
      </c>
      <c r="N1060" s="418">
        <v>23.682887999999998</v>
      </c>
      <c r="O1060" s="418">
        <v>97.810101000000003</v>
      </c>
      <c r="P1060" s="418" t="s">
        <v>761</v>
      </c>
      <c r="Q1060" s="418" t="s">
        <v>780</v>
      </c>
      <c r="R1060" s="421">
        <v>36</v>
      </c>
      <c r="S1060" s="421">
        <v>120</v>
      </c>
      <c r="T1060" s="441" t="s">
        <v>805</v>
      </c>
      <c r="U1060" s="423"/>
      <c r="V1060" s="418"/>
      <c r="W1060" s="413" t="s">
        <v>2207</v>
      </c>
      <c r="X1060" s="547"/>
      <c r="Y1060" s="539"/>
      <c r="Z1060" s="545"/>
    </row>
    <row r="1061" spans="1:26" ht="14.25" customHeight="1">
      <c r="A1061" s="489" t="s">
        <v>702</v>
      </c>
      <c r="B1061" s="445" t="s">
        <v>706</v>
      </c>
      <c r="C1061" s="489" t="s">
        <v>729</v>
      </c>
      <c r="D1061" s="470" t="s">
        <v>2896</v>
      </c>
      <c r="E1061" s="418" t="s">
        <v>1419</v>
      </c>
      <c r="F1061" s="418" t="s">
        <v>1667</v>
      </c>
      <c r="G1061" s="418">
        <v>0</v>
      </c>
      <c r="H1061" s="418" t="s">
        <v>42</v>
      </c>
      <c r="I1061" s="418" t="s">
        <v>1320</v>
      </c>
      <c r="J1061" s="418" t="s">
        <v>44</v>
      </c>
      <c r="K1061" s="418" t="s">
        <v>968</v>
      </c>
      <c r="L1061" s="418" t="s">
        <v>44</v>
      </c>
      <c r="M1061" s="418" t="s">
        <v>45</v>
      </c>
      <c r="N1061" s="418">
        <v>23.447111</v>
      </c>
      <c r="O1061" s="418">
        <v>97.868876999999998</v>
      </c>
      <c r="P1061" s="418" t="s">
        <v>761</v>
      </c>
      <c r="Q1061" s="418" t="s">
        <v>762</v>
      </c>
      <c r="R1061" s="421">
        <v>105</v>
      </c>
      <c r="S1061" s="421">
        <v>642</v>
      </c>
      <c r="T1061" s="441"/>
      <c r="U1061" s="423"/>
      <c r="V1061" s="418"/>
      <c r="W1061" s="413" t="s">
        <v>2208</v>
      </c>
      <c r="X1061" s="547"/>
      <c r="Y1061" s="539"/>
      <c r="Z1061" s="545"/>
    </row>
    <row r="1062" spans="1:26" ht="14.25" customHeight="1">
      <c r="A1062" s="489" t="s">
        <v>702</v>
      </c>
      <c r="B1062" s="445" t="s">
        <v>706</v>
      </c>
      <c r="C1062" s="489" t="s">
        <v>749</v>
      </c>
      <c r="D1062" s="470" t="s">
        <v>2896</v>
      </c>
      <c r="E1062" s="418" t="s">
        <v>1900</v>
      </c>
      <c r="F1062" s="418" t="s">
        <v>749</v>
      </c>
      <c r="G1062" s="418" t="s">
        <v>749</v>
      </c>
      <c r="H1062" s="418" t="s">
        <v>42</v>
      </c>
      <c r="I1062" s="418" t="s">
        <v>1320</v>
      </c>
      <c r="J1062" s="418" t="s">
        <v>44</v>
      </c>
      <c r="K1062" s="418" t="s">
        <v>44</v>
      </c>
      <c r="L1062" s="418" t="s">
        <v>44</v>
      </c>
      <c r="M1062" s="418" t="s">
        <v>45</v>
      </c>
      <c r="N1062" s="418">
        <v>0</v>
      </c>
      <c r="O1062" s="418">
        <v>0</v>
      </c>
      <c r="P1062" s="418" t="s">
        <v>761</v>
      </c>
      <c r="Q1062" s="418"/>
      <c r="R1062" s="545">
        <v>36</v>
      </c>
      <c r="S1062" s="545">
        <v>192</v>
      </c>
      <c r="T1062" s="441"/>
      <c r="U1062" s="423" t="s">
        <v>1153</v>
      </c>
      <c r="V1062" s="418"/>
      <c r="W1062" s="413" t="s">
        <v>2209</v>
      </c>
      <c r="X1062" s="547"/>
      <c r="Y1062" s="539"/>
      <c r="Z1062" s="545"/>
    </row>
    <row r="1063" spans="1:26" ht="14.25" customHeight="1">
      <c r="A1063" s="489" t="s">
        <v>702</v>
      </c>
      <c r="B1063" s="445" t="s">
        <v>706</v>
      </c>
      <c r="C1063" s="489" t="s">
        <v>725</v>
      </c>
      <c r="D1063" s="470" t="s">
        <v>2896</v>
      </c>
      <c r="E1063" s="418" t="s">
        <v>1416</v>
      </c>
      <c r="F1063" s="418" t="s">
        <v>1667</v>
      </c>
      <c r="G1063" s="418" t="s">
        <v>1668</v>
      </c>
      <c r="H1063" s="418" t="s">
        <v>42</v>
      </c>
      <c r="I1063" s="418" t="s">
        <v>2726</v>
      </c>
      <c r="J1063" s="418" t="s">
        <v>44</v>
      </c>
      <c r="K1063" s="418" t="s">
        <v>968</v>
      </c>
      <c r="L1063" s="418" t="s">
        <v>44</v>
      </c>
      <c r="M1063" s="418" t="s">
        <v>45</v>
      </c>
      <c r="N1063" s="418">
        <v>23.38503</v>
      </c>
      <c r="O1063" s="418">
        <v>97.837040000000002</v>
      </c>
      <c r="P1063" s="418" t="s">
        <v>761</v>
      </c>
      <c r="Q1063" s="418" t="s">
        <v>780</v>
      </c>
      <c r="R1063" s="545">
        <v>205</v>
      </c>
      <c r="S1063" s="545">
        <v>1053</v>
      </c>
      <c r="T1063" s="441"/>
      <c r="U1063" s="423"/>
      <c r="V1063" s="418" t="s">
        <v>725</v>
      </c>
      <c r="W1063" s="413" t="s">
        <v>2210</v>
      </c>
      <c r="X1063" s="547"/>
      <c r="Y1063" s="539"/>
      <c r="Z1063" s="545"/>
    </row>
    <row r="1064" spans="1:26" ht="14.25" customHeight="1">
      <c r="A1064" s="489" t="s">
        <v>702</v>
      </c>
      <c r="B1064" s="445" t="s">
        <v>1242</v>
      </c>
      <c r="C1064" s="489" t="s">
        <v>2899</v>
      </c>
      <c r="D1064" s="420"/>
      <c r="E1064" s="418"/>
      <c r="F1064" s="418"/>
      <c r="G1064" s="418"/>
      <c r="H1064" s="418"/>
      <c r="I1064" s="418"/>
      <c r="J1064" s="418" t="s">
        <v>1449</v>
      </c>
      <c r="K1064" s="418" t="s">
        <v>44</v>
      </c>
      <c r="L1064" s="418" t="s">
        <v>776</v>
      </c>
      <c r="M1064" s="418" t="s">
        <v>45</v>
      </c>
      <c r="N1064" s="418"/>
      <c r="O1064" s="418"/>
      <c r="P1064" s="418" t="s">
        <v>761</v>
      </c>
      <c r="Q1064" s="418" t="s">
        <v>2900</v>
      </c>
      <c r="R1064" s="429"/>
      <c r="S1064" s="422"/>
      <c r="T1064" s="441"/>
      <c r="U1064" s="423"/>
      <c r="V1064" s="418"/>
      <c r="W1064" s="545"/>
      <c r="X1064" s="547"/>
      <c r="Y1064" s="539"/>
      <c r="Z1064" s="545"/>
    </row>
    <row r="1065" spans="1:26" ht="14.25" customHeight="1">
      <c r="A1065" s="489" t="s">
        <v>702</v>
      </c>
      <c r="B1065" s="445" t="s">
        <v>1242</v>
      </c>
      <c r="C1065" s="489" t="s">
        <v>1302</v>
      </c>
      <c r="D1065" s="420" t="s">
        <v>1874</v>
      </c>
      <c r="E1065" s="418"/>
      <c r="F1065" s="418" t="s">
        <v>1875</v>
      </c>
      <c r="G1065" s="418"/>
      <c r="H1065" s="418"/>
      <c r="I1065" s="418"/>
      <c r="J1065" s="418" t="s">
        <v>1449</v>
      </c>
      <c r="K1065" s="418"/>
      <c r="L1065" s="418"/>
      <c r="M1065" s="418"/>
      <c r="N1065" s="418"/>
      <c r="O1065" s="418"/>
      <c r="P1065" s="418" t="s">
        <v>761</v>
      </c>
      <c r="Q1065" s="418"/>
      <c r="R1065" s="429"/>
      <c r="S1065" s="422"/>
      <c r="T1065" s="441"/>
      <c r="U1065" s="423"/>
      <c r="V1065" s="418"/>
      <c r="W1065" s="545"/>
      <c r="X1065" s="547"/>
      <c r="Y1065" s="539"/>
      <c r="Z1065" s="545"/>
    </row>
    <row r="1066" spans="1:26" ht="14.25" customHeight="1">
      <c r="A1066" s="489" t="s">
        <v>702</v>
      </c>
      <c r="B1066" s="445" t="s">
        <v>1242</v>
      </c>
      <c r="C1066" s="489" t="s">
        <v>2901</v>
      </c>
      <c r="D1066" s="544"/>
      <c r="E1066" s="418"/>
      <c r="F1066" s="418"/>
      <c r="G1066" s="418"/>
      <c r="H1066" s="418"/>
      <c r="I1066" s="418"/>
      <c r="J1066" s="418" t="s">
        <v>1449</v>
      </c>
      <c r="K1066" s="418" t="s">
        <v>44</v>
      </c>
      <c r="L1066" s="418" t="s">
        <v>776</v>
      </c>
      <c r="M1066" s="418" t="s">
        <v>45</v>
      </c>
      <c r="N1066" s="418"/>
      <c r="O1066" s="418"/>
      <c r="P1066" s="418" t="s">
        <v>761</v>
      </c>
      <c r="Q1066" s="418" t="s">
        <v>2900</v>
      </c>
      <c r="R1066" s="553"/>
      <c r="S1066" s="546"/>
      <c r="T1066" s="441">
        <v>43633</v>
      </c>
      <c r="U1066" s="423"/>
      <c r="V1066" s="418"/>
      <c r="W1066" s="545"/>
      <c r="X1066" s="547"/>
      <c r="Y1066" s="539"/>
      <c r="Z1066" s="545"/>
    </row>
    <row r="1067" spans="1:26" ht="14.25" customHeight="1">
      <c r="A1067" s="489" t="s">
        <v>702</v>
      </c>
      <c r="B1067" s="445" t="s">
        <v>1242</v>
      </c>
      <c r="C1067" s="489" t="s">
        <v>2467</v>
      </c>
      <c r="D1067" s="420"/>
      <c r="E1067" s="418"/>
      <c r="F1067" s="418"/>
      <c r="G1067" s="418"/>
      <c r="H1067" s="418"/>
      <c r="I1067" s="418"/>
      <c r="J1067" s="418" t="s">
        <v>2714</v>
      </c>
      <c r="K1067" s="418" t="s">
        <v>2676</v>
      </c>
      <c r="L1067" s="418" t="s">
        <v>2676</v>
      </c>
      <c r="M1067" s="418" t="s">
        <v>45</v>
      </c>
      <c r="N1067" s="418"/>
      <c r="O1067" s="418"/>
      <c r="P1067" s="418" t="s">
        <v>1992</v>
      </c>
      <c r="Q1067" s="418"/>
      <c r="R1067" s="429"/>
      <c r="S1067" s="422"/>
      <c r="T1067" s="441"/>
      <c r="U1067" s="423"/>
      <c r="V1067" s="418"/>
      <c r="W1067" s="413"/>
      <c r="X1067" s="547"/>
      <c r="Y1067" s="539"/>
      <c r="Z1067" s="545"/>
    </row>
    <row r="1068" spans="1:26" ht="14.25" customHeight="1">
      <c r="A1068" s="489" t="s">
        <v>702</v>
      </c>
      <c r="B1068" s="445" t="s">
        <v>709</v>
      </c>
      <c r="C1068" s="489" t="s">
        <v>1084</v>
      </c>
      <c r="D1068" s="470" t="s">
        <v>1654</v>
      </c>
      <c r="E1068" s="418"/>
      <c r="F1068" s="418"/>
      <c r="G1068" s="418"/>
      <c r="H1068" s="418"/>
      <c r="I1068" s="418"/>
      <c r="J1068" s="418" t="s">
        <v>798</v>
      </c>
      <c r="K1068" s="418" t="s">
        <v>798</v>
      </c>
      <c r="L1068" s="418" t="s">
        <v>798</v>
      </c>
      <c r="M1068" s="418"/>
      <c r="N1068" s="418"/>
      <c r="O1068" s="418"/>
      <c r="P1068" s="418" t="s">
        <v>799</v>
      </c>
      <c r="Q1068" s="418"/>
      <c r="R1068" s="545"/>
      <c r="S1068" s="545"/>
      <c r="T1068" s="441"/>
      <c r="U1068" s="423"/>
      <c r="V1068" s="418" t="s">
        <v>1085</v>
      </c>
      <c r="W1068" s="413"/>
      <c r="X1068" s="547"/>
      <c r="Y1068" s="539"/>
      <c r="Z1068" s="545"/>
    </row>
    <row r="1069" spans="1:26" ht="14.25" customHeight="1">
      <c r="A1069" s="489" t="s">
        <v>702</v>
      </c>
      <c r="B1069" s="445" t="s">
        <v>709</v>
      </c>
      <c r="C1069" s="489" t="s">
        <v>747</v>
      </c>
      <c r="D1069" s="470" t="s">
        <v>2267</v>
      </c>
      <c r="E1069" s="418" t="s">
        <v>1321</v>
      </c>
      <c r="F1069" s="418">
        <v>0</v>
      </c>
      <c r="G1069" s="418">
        <v>0</v>
      </c>
      <c r="H1069" s="418"/>
      <c r="I1069" s="418" t="s">
        <v>2141</v>
      </c>
      <c r="J1069" s="418" t="s">
        <v>44</v>
      </c>
      <c r="K1069" s="418" t="s">
        <v>44</v>
      </c>
      <c r="L1069" s="418" t="s">
        <v>760</v>
      </c>
      <c r="M1069" s="418" t="s">
        <v>45</v>
      </c>
      <c r="N1069" s="418"/>
      <c r="O1069" s="418"/>
      <c r="P1069" s="418" t="s">
        <v>761</v>
      </c>
      <c r="Q1069" s="418" t="s">
        <v>762</v>
      </c>
      <c r="R1069" s="545"/>
      <c r="S1069" s="545"/>
      <c r="T1069" s="441"/>
      <c r="U1069" s="423" t="s">
        <v>2729</v>
      </c>
      <c r="V1069" s="418"/>
      <c r="W1069" s="413" t="s">
        <v>2268</v>
      </c>
      <c r="X1069" s="547"/>
      <c r="Y1069" s="539"/>
      <c r="Z1069" s="545"/>
    </row>
    <row r="1070" spans="1:26" ht="14.25" customHeight="1">
      <c r="A1070" s="489" t="s">
        <v>702</v>
      </c>
      <c r="B1070" s="445" t="s">
        <v>709</v>
      </c>
      <c r="C1070" s="489" t="s">
        <v>735</v>
      </c>
      <c r="D1070" s="420" t="s">
        <v>2896</v>
      </c>
      <c r="E1070" s="418" t="s">
        <v>1412</v>
      </c>
      <c r="F1070" s="418" t="s">
        <v>1684</v>
      </c>
      <c r="G1070" s="418" t="s">
        <v>1704</v>
      </c>
      <c r="H1070" s="418" t="s">
        <v>42</v>
      </c>
      <c r="I1070" s="418" t="s">
        <v>2726</v>
      </c>
      <c r="J1070" s="418" t="s">
        <v>44</v>
      </c>
      <c r="K1070" s="418" t="s">
        <v>44</v>
      </c>
      <c r="L1070" s="418" t="s">
        <v>44</v>
      </c>
      <c r="M1070" s="418" t="s">
        <v>45</v>
      </c>
      <c r="N1070" s="418">
        <v>23.250678000000001</v>
      </c>
      <c r="O1070" s="418">
        <v>97.124403000000001</v>
      </c>
      <c r="P1070" s="418" t="s">
        <v>761</v>
      </c>
      <c r="Q1070" s="418" t="s">
        <v>780</v>
      </c>
      <c r="R1070" s="429">
        <v>29</v>
      </c>
      <c r="S1070" s="422">
        <v>158</v>
      </c>
      <c r="T1070" s="441"/>
      <c r="U1070" s="423"/>
      <c r="V1070" s="418" t="s">
        <v>735</v>
      </c>
      <c r="W1070" s="413" t="s">
        <v>2211</v>
      </c>
      <c r="X1070" s="547"/>
      <c r="Y1070" s="539"/>
      <c r="Z1070" s="545"/>
    </row>
    <row r="1071" spans="1:26" ht="14.25" customHeight="1">
      <c r="A1071" s="489" t="s">
        <v>702</v>
      </c>
      <c r="B1071" s="445" t="s">
        <v>709</v>
      </c>
      <c r="C1071" s="489" t="s">
        <v>710</v>
      </c>
      <c r="D1071" s="420" t="s">
        <v>2896</v>
      </c>
      <c r="E1071" s="418" t="s">
        <v>1411</v>
      </c>
      <c r="F1071" s="418" t="s">
        <v>1684</v>
      </c>
      <c r="G1071" s="418" t="s">
        <v>1704</v>
      </c>
      <c r="H1071" s="418" t="s">
        <v>42</v>
      </c>
      <c r="I1071" s="418" t="s">
        <v>1320</v>
      </c>
      <c r="J1071" s="418" t="s">
        <v>44</v>
      </c>
      <c r="K1071" s="418" t="s">
        <v>44</v>
      </c>
      <c r="L1071" s="418" t="s">
        <v>44</v>
      </c>
      <c r="M1071" s="418" t="s">
        <v>45</v>
      </c>
      <c r="N1071" s="418">
        <v>23.24661</v>
      </c>
      <c r="O1071" s="418">
        <v>97.116680000000002</v>
      </c>
      <c r="P1071" s="418" t="s">
        <v>761</v>
      </c>
      <c r="Q1071" s="418" t="s">
        <v>780</v>
      </c>
      <c r="R1071" s="429">
        <v>30</v>
      </c>
      <c r="S1071" s="422">
        <v>155</v>
      </c>
      <c r="T1071" s="441"/>
      <c r="U1071" s="423"/>
      <c r="V1071" s="418" t="s">
        <v>710</v>
      </c>
      <c r="W1071" s="413" t="s">
        <v>2212</v>
      </c>
      <c r="X1071" s="547"/>
      <c r="Y1071" s="539"/>
      <c r="Z1071" s="545"/>
    </row>
    <row r="1072" spans="1:26" ht="14.25" customHeight="1">
      <c r="A1072" s="489" t="s">
        <v>702</v>
      </c>
      <c r="B1072" s="445" t="s">
        <v>712</v>
      </c>
      <c r="C1072" s="489" t="s">
        <v>759</v>
      </c>
      <c r="D1072" s="544" t="s">
        <v>1655</v>
      </c>
      <c r="E1072" s="418" t="s">
        <v>1306</v>
      </c>
      <c r="F1072" s="418" t="s">
        <v>1673</v>
      </c>
      <c r="G1072" s="418" t="s">
        <v>1674</v>
      </c>
      <c r="H1072" s="418"/>
      <c r="I1072" s="539">
        <v>0</v>
      </c>
      <c r="J1072" s="418" t="s">
        <v>44</v>
      </c>
      <c r="K1072" s="418" t="s">
        <v>44</v>
      </c>
      <c r="L1072" s="418" t="s">
        <v>760</v>
      </c>
      <c r="M1072" s="418" t="s">
        <v>45</v>
      </c>
      <c r="N1072" s="418"/>
      <c r="O1072" s="418"/>
      <c r="P1072" s="418" t="s">
        <v>761</v>
      </c>
      <c r="Q1072" s="418" t="s">
        <v>762</v>
      </c>
      <c r="R1072" s="553"/>
      <c r="S1072" s="546"/>
      <c r="T1072" s="441">
        <v>42832</v>
      </c>
      <c r="U1072" s="423"/>
      <c r="V1072" s="418"/>
      <c r="W1072" s="413" t="s">
        <v>2213</v>
      </c>
      <c r="X1072" s="547"/>
      <c r="Y1072" s="539"/>
      <c r="Z1072" s="545"/>
    </row>
    <row r="1073" spans="1:26" ht="14.25" customHeight="1">
      <c r="A1073" s="489" t="s">
        <v>702</v>
      </c>
      <c r="B1073" s="445" t="s">
        <v>712</v>
      </c>
      <c r="C1073" s="489" t="s">
        <v>763</v>
      </c>
      <c r="D1073" s="544" t="s">
        <v>1655</v>
      </c>
      <c r="E1073" s="418" t="s">
        <v>1307</v>
      </c>
      <c r="F1073" s="418" t="s">
        <v>1673</v>
      </c>
      <c r="G1073" s="418" t="s">
        <v>1675</v>
      </c>
      <c r="H1073" s="418"/>
      <c r="I1073" s="418">
        <v>0</v>
      </c>
      <c r="J1073" s="418" t="s">
        <v>44</v>
      </c>
      <c r="K1073" s="418" t="s">
        <v>44</v>
      </c>
      <c r="L1073" s="418" t="s">
        <v>760</v>
      </c>
      <c r="M1073" s="418" t="s">
        <v>45</v>
      </c>
      <c r="N1073" s="418"/>
      <c r="O1073" s="418"/>
      <c r="P1073" s="418" t="s">
        <v>761</v>
      </c>
      <c r="Q1073" s="418" t="s">
        <v>762</v>
      </c>
      <c r="R1073" s="553"/>
      <c r="S1073" s="546"/>
      <c r="T1073" s="441"/>
      <c r="U1073" s="423"/>
      <c r="V1073" s="418">
        <v>42920</v>
      </c>
      <c r="W1073" s="413" t="s">
        <v>2213</v>
      </c>
      <c r="X1073" s="547"/>
      <c r="Y1073" s="539"/>
      <c r="Z1073" s="545"/>
    </row>
    <row r="1074" spans="1:26" ht="14.25" customHeight="1">
      <c r="A1074" s="489" t="s">
        <v>702</v>
      </c>
      <c r="B1074" s="445" t="s">
        <v>712</v>
      </c>
      <c r="C1074" s="489" t="s">
        <v>764</v>
      </c>
      <c r="D1074" s="470" t="s">
        <v>1655</v>
      </c>
      <c r="E1074" s="418" t="s">
        <v>1308</v>
      </c>
      <c r="F1074" s="418" t="s">
        <v>1673</v>
      </c>
      <c r="G1074" s="418" t="s">
        <v>1675</v>
      </c>
      <c r="H1074" s="418"/>
      <c r="I1074" s="418">
        <v>0</v>
      </c>
      <c r="J1074" s="418" t="s">
        <v>44</v>
      </c>
      <c r="K1074" s="418" t="s">
        <v>44</v>
      </c>
      <c r="L1074" s="418" t="s">
        <v>760</v>
      </c>
      <c r="M1074" s="418" t="s">
        <v>45</v>
      </c>
      <c r="N1074" s="418"/>
      <c r="O1074" s="418"/>
      <c r="P1074" s="418" t="s">
        <v>761</v>
      </c>
      <c r="Q1074" s="418" t="s">
        <v>762</v>
      </c>
      <c r="R1074" s="545"/>
      <c r="S1074" s="545"/>
      <c r="T1074" s="441"/>
      <c r="U1074" s="423"/>
      <c r="V1074" s="418">
        <v>42920</v>
      </c>
      <c r="W1074" s="413" t="s">
        <v>2213</v>
      </c>
      <c r="X1074" s="547"/>
      <c r="Y1074" s="539"/>
      <c r="Z1074" s="545"/>
    </row>
    <row r="1075" spans="1:26" ht="14.25" customHeight="1">
      <c r="A1075" s="489" t="s">
        <v>702</v>
      </c>
      <c r="B1075" s="445" t="s">
        <v>712</v>
      </c>
      <c r="C1075" s="489" t="s">
        <v>985</v>
      </c>
      <c r="D1075" s="420" t="s">
        <v>1655</v>
      </c>
      <c r="E1075" s="418" t="s">
        <v>1445</v>
      </c>
      <c r="F1075" s="418" t="s">
        <v>1691</v>
      </c>
      <c r="G1075" s="418" t="s">
        <v>1692</v>
      </c>
      <c r="H1075" s="418"/>
      <c r="I1075" s="418">
        <v>0</v>
      </c>
      <c r="J1075" s="418" t="s">
        <v>44</v>
      </c>
      <c r="K1075" s="418" t="s">
        <v>44</v>
      </c>
      <c r="L1075" s="418" t="s">
        <v>760</v>
      </c>
      <c r="M1075" s="418" t="s">
        <v>45</v>
      </c>
      <c r="N1075" s="418">
        <v>23.917631</v>
      </c>
      <c r="O1075" s="418">
        <v>98.116817999999995</v>
      </c>
      <c r="P1075" s="418" t="s">
        <v>761</v>
      </c>
      <c r="Q1075" s="418" t="s">
        <v>762</v>
      </c>
      <c r="R1075" s="429"/>
      <c r="S1075" s="422"/>
      <c r="T1075" s="441">
        <v>42836</v>
      </c>
      <c r="U1075" s="423"/>
      <c r="V1075" s="418"/>
      <c r="W1075" s="413" t="s">
        <v>2214</v>
      </c>
      <c r="X1075" s="547"/>
      <c r="Y1075" s="539"/>
      <c r="Z1075" s="545"/>
    </row>
    <row r="1076" spans="1:26" ht="14.25" customHeight="1">
      <c r="A1076" s="489" t="s">
        <v>702</v>
      </c>
      <c r="B1076" s="445" t="s">
        <v>712</v>
      </c>
      <c r="C1076" s="489" t="s">
        <v>742</v>
      </c>
      <c r="D1076" s="420" t="s">
        <v>2896</v>
      </c>
      <c r="E1076" s="418" t="s">
        <v>1609</v>
      </c>
      <c r="F1076" s="418" t="s">
        <v>1846</v>
      </c>
      <c r="G1076" s="418" t="s">
        <v>742</v>
      </c>
      <c r="H1076" s="418" t="s">
        <v>42</v>
      </c>
      <c r="I1076" s="418" t="s">
        <v>2726</v>
      </c>
      <c r="J1076" s="418" t="s">
        <v>44</v>
      </c>
      <c r="K1076" s="418" t="s">
        <v>44</v>
      </c>
      <c r="L1076" s="418" t="s">
        <v>44</v>
      </c>
      <c r="M1076" s="418" t="s">
        <v>45</v>
      </c>
      <c r="N1076" s="418">
        <v>24.08738</v>
      </c>
      <c r="O1076" s="418">
        <v>98.115809999999996</v>
      </c>
      <c r="P1076" s="418" t="s">
        <v>761</v>
      </c>
      <c r="Q1076" s="418" t="s">
        <v>802</v>
      </c>
      <c r="R1076" s="429">
        <v>152</v>
      </c>
      <c r="S1076" s="422">
        <v>788</v>
      </c>
      <c r="T1076" s="441" t="s">
        <v>1083</v>
      </c>
      <c r="U1076" s="423"/>
      <c r="V1076" s="418"/>
      <c r="W1076" s="413" t="s">
        <v>2198</v>
      </c>
      <c r="X1076" s="547"/>
      <c r="Y1076" s="539"/>
      <c r="Z1076" s="545"/>
    </row>
    <row r="1077" spans="1:26" ht="14.25" customHeight="1">
      <c r="A1077" s="489" t="s">
        <v>702</v>
      </c>
      <c r="B1077" s="445" t="s">
        <v>712</v>
      </c>
      <c r="C1077" s="489" t="s">
        <v>746</v>
      </c>
      <c r="D1077" s="420" t="s">
        <v>1732</v>
      </c>
      <c r="E1077" s="418" t="s">
        <v>1456</v>
      </c>
      <c r="F1077" s="418" t="s">
        <v>742</v>
      </c>
      <c r="G1077" s="418" t="s">
        <v>742</v>
      </c>
      <c r="H1077" s="418"/>
      <c r="I1077" s="418">
        <v>0</v>
      </c>
      <c r="J1077" s="418" t="s">
        <v>44</v>
      </c>
      <c r="K1077" s="418" t="s">
        <v>44</v>
      </c>
      <c r="L1077" s="418" t="s">
        <v>760</v>
      </c>
      <c r="M1077" s="418" t="s">
        <v>45</v>
      </c>
      <c r="N1077" s="418">
        <v>24.08738</v>
      </c>
      <c r="O1077" s="418">
        <v>98.115809999999996</v>
      </c>
      <c r="P1077" s="418" t="s">
        <v>761</v>
      </c>
      <c r="Q1077" s="418" t="s">
        <v>780</v>
      </c>
      <c r="R1077" s="429"/>
      <c r="S1077" s="422"/>
      <c r="T1077" s="441">
        <v>43276</v>
      </c>
      <c r="U1077" s="423" t="s">
        <v>1985</v>
      </c>
      <c r="V1077" s="418" t="s">
        <v>746</v>
      </c>
      <c r="W1077" s="413" t="s">
        <v>1985</v>
      </c>
      <c r="X1077" s="547"/>
      <c r="Y1077" s="539"/>
      <c r="Z1077" s="545"/>
    </row>
    <row r="1078" spans="1:26" ht="14.25" customHeight="1">
      <c r="A1078" s="489" t="s">
        <v>702</v>
      </c>
      <c r="B1078" s="445" t="s">
        <v>712</v>
      </c>
      <c r="C1078" s="489" t="s">
        <v>753</v>
      </c>
      <c r="D1078" s="420" t="s">
        <v>1655</v>
      </c>
      <c r="E1078" s="418" t="s">
        <v>1315</v>
      </c>
      <c r="F1078" s="418">
        <v>0</v>
      </c>
      <c r="G1078" s="418">
        <v>0</v>
      </c>
      <c r="H1078" s="418"/>
      <c r="I1078" s="418">
        <v>0</v>
      </c>
      <c r="J1078" s="418" t="s">
        <v>44</v>
      </c>
      <c r="K1078" s="418" t="s">
        <v>44</v>
      </c>
      <c r="L1078" s="418" t="s">
        <v>760</v>
      </c>
      <c r="M1078" s="418" t="s">
        <v>45</v>
      </c>
      <c r="N1078" s="418"/>
      <c r="O1078" s="418"/>
      <c r="P1078" s="418" t="s">
        <v>761</v>
      </c>
      <c r="Q1078" s="418" t="s">
        <v>762</v>
      </c>
      <c r="R1078" s="429"/>
      <c r="S1078" s="422"/>
      <c r="T1078" s="441"/>
      <c r="U1078" s="423"/>
      <c r="V1078" s="418">
        <v>42920</v>
      </c>
      <c r="W1078" s="413" t="s">
        <v>2213</v>
      </c>
      <c r="X1078" s="547"/>
      <c r="Y1078" s="539"/>
      <c r="Z1078" s="545"/>
    </row>
    <row r="1079" spans="1:26" ht="14.25" customHeight="1">
      <c r="A1079" s="489" t="s">
        <v>702</v>
      </c>
      <c r="B1079" s="445" t="s">
        <v>712</v>
      </c>
      <c r="C1079" s="489" t="s">
        <v>770</v>
      </c>
      <c r="D1079" s="544" t="s">
        <v>1655</v>
      </c>
      <c r="E1079" s="418" t="s">
        <v>1316</v>
      </c>
      <c r="F1079" s="418" t="s">
        <v>1673</v>
      </c>
      <c r="G1079" s="418" t="s">
        <v>1675</v>
      </c>
      <c r="H1079" s="418"/>
      <c r="I1079" s="539">
        <v>0</v>
      </c>
      <c r="J1079" s="418" t="s">
        <v>44</v>
      </c>
      <c r="K1079" s="418" t="s">
        <v>44</v>
      </c>
      <c r="L1079" s="418" t="s">
        <v>760</v>
      </c>
      <c r="M1079" s="418" t="s">
        <v>45</v>
      </c>
      <c r="N1079" s="418"/>
      <c r="O1079" s="418"/>
      <c r="P1079" s="418" t="s">
        <v>761</v>
      </c>
      <c r="Q1079" s="418" t="s">
        <v>762</v>
      </c>
      <c r="R1079" s="553"/>
      <c r="S1079" s="546"/>
      <c r="T1079" s="441"/>
      <c r="U1079" s="423"/>
      <c r="V1079" s="418">
        <v>42920</v>
      </c>
      <c r="W1079" s="413" t="s">
        <v>2213</v>
      </c>
      <c r="X1079" s="547"/>
      <c r="Y1079" s="539"/>
      <c r="Z1079" s="545"/>
    </row>
    <row r="1080" spans="1:26" ht="14.25" customHeight="1">
      <c r="A1080" s="489" t="s">
        <v>702</v>
      </c>
      <c r="B1080" s="445" t="s">
        <v>712</v>
      </c>
      <c r="C1080" s="489" t="s">
        <v>993</v>
      </c>
      <c r="D1080" s="470" t="s">
        <v>1654</v>
      </c>
      <c r="E1080" s="418" t="s">
        <v>1457</v>
      </c>
      <c r="F1080" s="418"/>
      <c r="G1080" s="418"/>
      <c r="H1080" s="418" t="s">
        <v>42</v>
      </c>
      <c r="I1080" s="543" t="s">
        <v>135</v>
      </c>
      <c r="J1080" s="418" t="s">
        <v>44</v>
      </c>
      <c r="K1080" s="418" t="s">
        <v>44</v>
      </c>
      <c r="L1080" s="418" t="s">
        <v>760</v>
      </c>
      <c r="M1080" s="418" t="s">
        <v>778</v>
      </c>
      <c r="N1080" s="418">
        <v>24.101320999999999</v>
      </c>
      <c r="O1080" s="418">
        <v>98.320651999999995</v>
      </c>
      <c r="P1080" s="418" t="s">
        <v>761</v>
      </c>
      <c r="Q1080" s="418"/>
      <c r="R1080" s="545"/>
      <c r="S1080" s="545"/>
      <c r="T1080" s="441"/>
      <c r="U1080" s="423"/>
      <c r="V1080" s="418" t="s">
        <v>994</v>
      </c>
      <c r="W1080" s="413" t="s">
        <v>2215</v>
      </c>
      <c r="X1080" s="547"/>
      <c r="Y1080" s="539"/>
      <c r="Z1080" s="545"/>
    </row>
    <row r="1081" spans="1:26" ht="14.25" customHeight="1">
      <c r="A1081" s="489" t="s">
        <v>702</v>
      </c>
      <c r="B1081" s="445" t="s">
        <v>712</v>
      </c>
      <c r="C1081" s="489" t="s">
        <v>992</v>
      </c>
      <c r="D1081" s="470" t="s">
        <v>1655</v>
      </c>
      <c r="E1081" s="418" t="s">
        <v>1454</v>
      </c>
      <c r="F1081" s="418" t="s">
        <v>992</v>
      </c>
      <c r="G1081" s="418" t="s">
        <v>992</v>
      </c>
      <c r="H1081" s="418"/>
      <c r="I1081" s="418">
        <v>0</v>
      </c>
      <c r="J1081" s="418" t="s">
        <v>44</v>
      </c>
      <c r="K1081" s="418" t="s">
        <v>44</v>
      </c>
      <c r="L1081" s="418" t="s">
        <v>760</v>
      </c>
      <c r="M1081" s="418" t="s">
        <v>778</v>
      </c>
      <c r="N1081" s="418">
        <v>24.008452999999999</v>
      </c>
      <c r="O1081" s="418">
        <v>98.054946000000001</v>
      </c>
      <c r="P1081" s="418" t="s">
        <v>761</v>
      </c>
      <c r="Q1081" s="418" t="s">
        <v>780</v>
      </c>
      <c r="R1081" s="421"/>
      <c r="S1081" s="421"/>
      <c r="T1081" s="441"/>
      <c r="U1081" s="423"/>
      <c r="V1081" s="418" t="s">
        <v>992</v>
      </c>
      <c r="W1081" s="413" t="s">
        <v>2216</v>
      </c>
      <c r="X1081" s="547"/>
      <c r="Y1081" s="539"/>
      <c r="Z1081" s="545"/>
    </row>
    <row r="1082" spans="1:26" ht="14.25" customHeight="1">
      <c r="A1082" s="489" t="s">
        <v>702</v>
      </c>
      <c r="B1082" s="445" t="s">
        <v>712</v>
      </c>
      <c r="C1082" s="489" t="s">
        <v>737</v>
      </c>
      <c r="D1082" s="544" t="s">
        <v>2896</v>
      </c>
      <c r="E1082" s="418" t="s">
        <v>1452</v>
      </c>
      <c r="F1082" s="418" t="s">
        <v>1673</v>
      </c>
      <c r="G1082" s="418" t="s">
        <v>1675</v>
      </c>
      <c r="H1082" s="418"/>
      <c r="I1082" s="418" t="s">
        <v>2141</v>
      </c>
      <c r="J1082" s="418" t="s">
        <v>44</v>
      </c>
      <c r="K1082" s="418" t="s">
        <v>44</v>
      </c>
      <c r="L1082" s="418" t="s">
        <v>776</v>
      </c>
      <c r="M1082" s="418" t="s">
        <v>45</v>
      </c>
      <c r="N1082" s="418">
        <v>24.006319999999999</v>
      </c>
      <c r="O1082" s="418">
        <v>97.909400000000005</v>
      </c>
      <c r="P1082" s="418" t="s">
        <v>761</v>
      </c>
      <c r="Q1082" s="418" t="s">
        <v>780</v>
      </c>
      <c r="R1082" s="553">
        <v>40</v>
      </c>
      <c r="S1082" s="546">
        <v>180</v>
      </c>
      <c r="T1082" s="441"/>
      <c r="U1082" s="423"/>
      <c r="V1082" s="418" t="s">
        <v>990</v>
      </c>
      <c r="W1082" s="545" t="s">
        <v>2217</v>
      </c>
      <c r="X1082" s="547"/>
      <c r="Y1082" s="539"/>
      <c r="Z1082" s="545"/>
    </row>
    <row r="1083" spans="1:26" ht="14.25" customHeight="1">
      <c r="A1083" s="489" t="s">
        <v>702</v>
      </c>
      <c r="B1083" s="445" t="s">
        <v>712</v>
      </c>
      <c r="C1083" s="489" t="s">
        <v>713</v>
      </c>
      <c r="D1083" s="544" t="s">
        <v>2896</v>
      </c>
      <c r="E1083" s="418" t="s">
        <v>1453</v>
      </c>
      <c r="F1083" s="418" t="s">
        <v>1673</v>
      </c>
      <c r="G1083" s="418" t="s">
        <v>1675</v>
      </c>
      <c r="H1083" s="418" t="s">
        <v>42</v>
      </c>
      <c r="I1083" s="418" t="s">
        <v>1320</v>
      </c>
      <c r="J1083" s="418" t="s">
        <v>44</v>
      </c>
      <c r="K1083" s="418" t="s">
        <v>44</v>
      </c>
      <c r="L1083" s="418" t="s">
        <v>44</v>
      </c>
      <c r="M1083" s="418" t="s">
        <v>45</v>
      </c>
      <c r="N1083" s="418">
        <v>24.006789000000001</v>
      </c>
      <c r="O1083" s="418">
        <v>97.911647000000002</v>
      </c>
      <c r="P1083" s="418" t="s">
        <v>761</v>
      </c>
      <c r="Q1083" s="418" t="s">
        <v>780</v>
      </c>
      <c r="R1083" s="553">
        <v>17</v>
      </c>
      <c r="S1083" s="546">
        <v>80</v>
      </c>
      <c r="T1083" s="441"/>
      <c r="U1083" s="423"/>
      <c r="V1083" s="418" t="s">
        <v>991</v>
      </c>
      <c r="W1083" s="413" t="s">
        <v>2218</v>
      </c>
      <c r="X1083" s="547"/>
      <c r="Y1083" s="539"/>
      <c r="Z1083" s="545"/>
    </row>
    <row r="1084" spans="1:26" ht="14.25" customHeight="1">
      <c r="A1084" s="489" t="s">
        <v>702</v>
      </c>
      <c r="B1084" s="445" t="s">
        <v>712</v>
      </c>
      <c r="C1084" s="489" t="s">
        <v>717</v>
      </c>
      <c r="D1084" s="544" t="s">
        <v>1655</v>
      </c>
      <c r="E1084" s="418" t="s">
        <v>1324</v>
      </c>
      <c r="F1084" s="418" t="s">
        <v>1656</v>
      </c>
      <c r="G1084" s="418" t="s">
        <v>1657</v>
      </c>
      <c r="H1084" s="418"/>
      <c r="I1084" s="418">
        <v>0</v>
      </c>
      <c r="J1084" s="418" t="s">
        <v>44</v>
      </c>
      <c r="K1084" s="418" t="s">
        <v>44</v>
      </c>
      <c r="L1084" s="418" t="s">
        <v>760</v>
      </c>
      <c r="M1084" s="418" t="s">
        <v>778</v>
      </c>
      <c r="N1084" s="418">
        <v>23.933098999999999</v>
      </c>
      <c r="O1084" s="418">
        <v>98.139397000000002</v>
      </c>
      <c r="P1084" s="418" t="s">
        <v>761</v>
      </c>
      <c r="Q1084" s="418" t="s">
        <v>780</v>
      </c>
      <c r="R1084" s="553"/>
      <c r="S1084" s="546"/>
      <c r="T1084" s="441"/>
      <c r="U1084" s="423"/>
      <c r="V1084" s="418" t="s">
        <v>717</v>
      </c>
      <c r="W1084" s="413" t="s">
        <v>2219</v>
      </c>
      <c r="X1084" s="547"/>
      <c r="Y1084" s="539"/>
      <c r="Z1084" s="545"/>
    </row>
    <row r="1085" spans="1:26" ht="14.25" customHeight="1">
      <c r="A1085" s="489" t="s">
        <v>702</v>
      </c>
      <c r="B1085" s="445" t="s">
        <v>712</v>
      </c>
      <c r="C1085" s="489" t="s">
        <v>986</v>
      </c>
      <c r="D1085" s="420" t="s">
        <v>1655</v>
      </c>
      <c r="E1085" s="418" t="s">
        <v>1448</v>
      </c>
      <c r="F1085" s="418" t="s">
        <v>1693</v>
      </c>
      <c r="G1085" s="418" t="s">
        <v>1694</v>
      </c>
      <c r="H1085" s="418"/>
      <c r="I1085" s="418">
        <v>0</v>
      </c>
      <c r="J1085" s="418" t="s">
        <v>44</v>
      </c>
      <c r="K1085" s="418" t="s">
        <v>44</v>
      </c>
      <c r="L1085" s="418" t="s">
        <v>760</v>
      </c>
      <c r="M1085" s="418" t="s">
        <v>45</v>
      </c>
      <c r="N1085" s="418">
        <v>23.978088</v>
      </c>
      <c r="O1085" s="418">
        <v>98.129380999999995</v>
      </c>
      <c r="P1085" s="418" t="s">
        <v>761</v>
      </c>
      <c r="Q1085" s="418" t="s">
        <v>762</v>
      </c>
      <c r="R1085" s="429"/>
      <c r="S1085" s="422"/>
      <c r="T1085" s="441">
        <v>42836</v>
      </c>
      <c r="U1085" s="423"/>
      <c r="V1085" s="418"/>
      <c r="W1085" s="413" t="s">
        <v>2214</v>
      </c>
      <c r="X1085" s="547"/>
      <c r="Y1085" s="539"/>
      <c r="Z1085" s="545"/>
    </row>
    <row r="1086" spans="1:26" ht="14.25" customHeight="1">
      <c r="A1086" s="489" t="s">
        <v>702</v>
      </c>
      <c r="B1086" s="445" t="s">
        <v>712</v>
      </c>
      <c r="C1086" s="489" t="s">
        <v>782</v>
      </c>
      <c r="D1086" s="544" t="s">
        <v>1655</v>
      </c>
      <c r="E1086" s="418" t="s">
        <v>1326</v>
      </c>
      <c r="F1086" s="418" t="s">
        <v>1679</v>
      </c>
      <c r="G1086" s="418" t="s">
        <v>1680</v>
      </c>
      <c r="H1086" s="418"/>
      <c r="I1086" s="418">
        <v>0</v>
      </c>
      <c r="J1086" s="418" t="s">
        <v>44</v>
      </c>
      <c r="K1086" s="418" t="s">
        <v>44</v>
      </c>
      <c r="L1086" s="418" t="s">
        <v>760</v>
      </c>
      <c r="M1086" s="418" t="s">
        <v>45</v>
      </c>
      <c r="N1086" s="418"/>
      <c r="O1086" s="418"/>
      <c r="P1086" s="418" t="s">
        <v>761</v>
      </c>
      <c r="Q1086" s="418" t="s">
        <v>762</v>
      </c>
      <c r="R1086" s="553"/>
      <c r="S1086" s="546"/>
      <c r="T1086" s="441">
        <v>42832</v>
      </c>
      <c r="U1086" s="423"/>
      <c r="V1086" s="418"/>
      <c r="W1086" s="413" t="s">
        <v>2213</v>
      </c>
      <c r="X1086" s="547"/>
      <c r="Y1086" s="539"/>
      <c r="Z1086" s="545"/>
    </row>
    <row r="1087" spans="1:26" ht="14.25" customHeight="1">
      <c r="A1087" s="489" t="s">
        <v>702</v>
      </c>
      <c r="B1087" s="445" t="s">
        <v>712</v>
      </c>
      <c r="C1087" s="489" t="s">
        <v>790</v>
      </c>
      <c r="D1087" s="470" t="s">
        <v>1655</v>
      </c>
      <c r="E1087" s="418" t="s">
        <v>1331</v>
      </c>
      <c r="F1087" s="418" t="s">
        <v>1673</v>
      </c>
      <c r="G1087" s="418" t="s">
        <v>1675</v>
      </c>
      <c r="H1087" s="418"/>
      <c r="I1087" s="543">
        <v>0</v>
      </c>
      <c r="J1087" s="418" t="s">
        <v>44</v>
      </c>
      <c r="K1087" s="418" t="s">
        <v>44</v>
      </c>
      <c r="L1087" s="418" t="s">
        <v>760</v>
      </c>
      <c r="M1087" s="418" t="s">
        <v>45</v>
      </c>
      <c r="N1087" s="418"/>
      <c r="O1087" s="418"/>
      <c r="P1087" s="418" t="s">
        <v>761</v>
      </c>
      <c r="Q1087" s="418" t="s">
        <v>762</v>
      </c>
      <c r="R1087" s="421"/>
      <c r="S1087" s="421"/>
      <c r="T1087" s="441">
        <v>42832</v>
      </c>
      <c r="U1087" s="423"/>
      <c r="V1087" s="418"/>
      <c r="W1087" s="413" t="s">
        <v>2213</v>
      </c>
      <c r="X1087" s="547"/>
      <c r="Y1087" s="539"/>
      <c r="Z1087" s="545"/>
    </row>
    <row r="1088" spans="1:26" ht="14.25" customHeight="1">
      <c r="A1088" s="489" t="s">
        <v>702</v>
      </c>
      <c r="B1088" s="445" t="s">
        <v>712</v>
      </c>
      <c r="C1088" s="489" t="s">
        <v>792</v>
      </c>
      <c r="D1088" s="420" t="s">
        <v>1655</v>
      </c>
      <c r="E1088" s="418" t="s">
        <v>1333</v>
      </c>
      <c r="F1088" s="418">
        <v>0</v>
      </c>
      <c r="G1088" s="418">
        <v>0</v>
      </c>
      <c r="H1088" s="418"/>
      <c r="I1088" s="418">
        <v>0</v>
      </c>
      <c r="J1088" s="418" t="s">
        <v>44</v>
      </c>
      <c r="K1088" s="418" t="s">
        <v>44</v>
      </c>
      <c r="L1088" s="418" t="s">
        <v>760</v>
      </c>
      <c r="M1088" s="418" t="s">
        <v>45</v>
      </c>
      <c r="N1088" s="418"/>
      <c r="O1088" s="418"/>
      <c r="P1088" s="418" t="s">
        <v>761</v>
      </c>
      <c r="Q1088" s="418" t="s">
        <v>762</v>
      </c>
      <c r="R1088" s="429"/>
      <c r="S1088" s="422"/>
      <c r="T1088" s="441">
        <v>42832</v>
      </c>
      <c r="U1088" s="423"/>
      <c r="V1088" s="418"/>
      <c r="W1088" s="413" t="s">
        <v>2213</v>
      </c>
      <c r="X1088" s="547"/>
      <c r="Y1088" s="539"/>
      <c r="Z1088" s="545"/>
    </row>
    <row r="1089" spans="1:26" ht="14.25" customHeight="1">
      <c r="A1089" s="489" t="s">
        <v>702</v>
      </c>
      <c r="B1089" s="445" t="s">
        <v>703</v>
      </c>
      <c r="C1089" s="489" t="s">
        <v>748</v>
      </c>
      <c r="D1089" s="470" t="s">
        <v>2896</v>
      </c>
      <c r="E1089" s="418" t="s">
        <v>1426</v>
      </c>
      <c r="F1089" s="418" t="s">
        <v>1688</v>
      </c>
      <c r="G1089" s="418" t="s">
        <v>1688</v>
      </c>
      <c r="H1089" s="418"/>
      <c r="I1089" s="418" t="s">
        <v>2141</v>
      </c>
      <c r="J1089" s="418" t="s">
        <v>44</v>
      </c>
      <c r="K1089" s="418" t="s">
        <v>44</v>
      </c>
      <c r="L1089" s="418" t="s">
        <v>776</v>
      </c>
      <c r="M1089" s="418" t="s">
        <v>45</v>
      </c>
      <c r="N1089" s="418">
        <v>23.611999999999998</v>
      </c>
      <c r="O1089" s="418">
        <v>97.506</v>
      </c>
      <c r="P1089" s="418" t="s">
        <v>761</v>
      </c>
      <c r="Q1089" s="418" t="s">
        <v>762</v>
      </c>
      <c r="R1089" s="421">
        <v>62</v>
      </c>
      <c r="S1089" s="421">
        <v>328</v>
      </c>
      <c r="T1089" s="441"/>
      <c r="U1089" s="423" t="s">
        <v>973</v>
      </c>
      <c r="V1089" s="418"/>
      <c r="W1089" s="413" t="s">
        <v>2220</v>
      </c>
      <c r="X1089" s="547"/>
      <c r="Y1089" s="539"/>
      <c r="Z1089" s="545"/>
    </row>
    <row r="1090" spans="1:26" ht="14.25" customHeight="1">
      <c r="A1090" s="489" t="s">
        <v>702</v>
      </c>
      <c r="B1090" s="445" t="s">
        <v>703</v>
      </c>
      <c r="C1090" s="489" t="s">
        <v>974</v>
      </c>
      <c r="D1090" s="470" t="s">
        <v>1655</v>
      </c>
      <c r="E1090" s="418" t="s">
        <v>1427</v>
      </c>
      <c r="F1090" s="418" t="s">
        <v>1688</v>
      </c>
      <c r="G1090" s="418" t="s">
        <v>1688</v>
      </c>
      <c r="H1090" s="418"/>
      <c r="I1090" s="418">
        <v>0</v>
      </c>
      <c r="J1090" s="418" t="s">
        <v>44</v>
      </c>
      <c r="K1090" s="418" t="s">
        <v>44</v>
      </c>
      <c r="L1090" s="418" t="s">
        <v>760</v>
      </c>
      <c r="M1090" s="418" t="s">
        <v>45</v>
      </c>
      <c r="N1090" s="418">
        <v>23.611999999999998</v>
      </c>
      <c r="O1090" s="418">
        <v>97.504999999999995</v>
      </c>
      <c r="P1090" s="418" t="s">
        <v>761</v>
      </c>
      <c r="Q1090" s="418" t="s">
        <v>762</v>
      </c>
      <c r="R1090" s="545"/>
      <c r="S1090" s="545"/>
      <c r="T1090" s="441"/>
      <c r="U1090" s="423"/>
      <c r="V1090" s="418"/>
      <c r="W1090" s="413" t="s">
        <v>2221</v>
      </c>
      <c r="X1090" s="547"/>
      <c r="Y1090" s="539"/>
      <c r="Z1090" s="545"/>
    </row>
    <row r="1091" spans="1:26" ht="14.25" customHeight="1">
      <c r="A1091" s="489" t="s">
        <v>702</v>
      </c>
      <c r="B1091" s="445" t="s">
        <v>703</v>
      </c>
      <c r="C1091" s="489" t="s">
        <v>714</v>
      </c>
      <c r="D1091" s="470" t="s">
        <v>2896</v>
      </c>
      <c r="E1091" s="418" t="s">
        <v>1432</v>
      </c>
      <c r="F1091" s="539" t="s">
        <v>1677</v>
      </c>
      <c r="G1091" s="418" t="s">
        <v>1677</v>
      </c>
      <c r="H1091" s="418" t="s">
        <v>42</v>
      </c>
      <c r="I1091" s="418" t="s">
        <v>2726</v>
      </c>
      <c r="J1091" s="418" t="s">
        <v>44</v>
      </c>
      <c r="K1091" s="418" t="s">
        <v>44</v>
      </c>
      <c r="L1091" s="418" t="s">
        <v>44</v>
      </c>
      <c r="M1091" s="418" t="s">
        <v>45</v>
      </c>
      <c r="N1091" s="418">
        <v>23.821380000000001</v>
      </c>
      <c r="O1091" s="418">
        <v>97.681970000000007</v>
      </c>
      <c r="P1091" s="418" t="s">
        <v>761</v>
      </c>
      <c r="Q1091" s="418" t="s">
        <v>780</v>
      </c>
      <c r="R1091" s="421">
        <v>76</v>
      </c>
      <c r="S1091" s="421">
        <v>385</v>
      </c>
      <c r="T1091" s="441"/>
      <c r="U1091" s="423"/>
      <c r="V1091" s="418" t="s">
        <v>714</v>
      </c>
      <c r="W1091" s="413" t="s">
        <v>2222</v>
      </c>
      <c r="X1091" s="547"/>
      <c r="Y1091" s="539"/>
      <c r="Z1091" s="545"/>
    </row>
    <row r="1092" spans="1:26" ht="14.25" customHeight="1">
      <c r="A1092" s="489" t="s">
        <v>702</v>
      </c>
      <c r="B1092" s="445" t="s">
        <v>703</v>
      </c>
      <c r="C1092" s="489" t="s">
        <v>750</v>
      </c>
      <c r="D1092" s="470" t="s">
        <v>2896</v>
      </c>
      <c r="E1092" s="418" t="s">
        <v>1435</v>
      </c>
      <c r="F1092" s="418" t="s">
        <v>1677</v>
      </c>
      <c r="G1092" s="418" t="s">
        <v>1677</v>
      </c>
      <c r="H1092" s="418" t="s">
        <v>42</v>
      </c>
      <c r="I1092" s="418" t="s">
        <v>2726</v>
      </c>
      <c r="J1092" s="418" t="s">
        <v>44</v>
      </c>
      <c r="K1092" s="418" t="s">
        <v>44</v>
      </c>
      <c r="L1092" s="418" t="s">
        <v>44</v>
      </c>
      <c r="M1092" s="418" t="s">
        <v>45</v>
      </c>
      <c r="N1092" s="418">
        <v>23.828520000000001</v>
      </c>
      <c r="O1092" s="418">
        <v>97.669557999999995</v>
      </c>
      <c r="P1092" s="418" t="s">
        <v>761</v>
      </c>
      <c r="Q1092" s="418" t="s">
        <v>780</v>
      </c>
      <c r="R1092" s="545">
        <v>64</v>
      </c>
      <c r="S1092" s="545">
        <v>349</v>
      </c>
      <c r="T1092" s="441"/>
      <c r="U1092" s="423"/>
      <c r="V1092" s="418" t="s">
        <v>750</v>
      </c>
      <c r="W1092" s="413" t="s">
        <v>2223</v>
      </c>
      <c r="X1092" s="547"/>
      <c r="Y1092" s="539"/>
      <c r="Z1092" s="545"/>
    </row>
    <row r="1093" spans="1:26" ht="14.25" customHeight="1">
      <c r="A1093" s="489" t="s">
        <v>702</v>
      </c>
      <c r="B1093" s="445" t="s">
        <v>703</v>
      </c>
      <c r="C1093" s="489" t="s">
        <v>738</v>
      </c>
      <c r="D1093" s="420" t="s">
        <v>2896</v>
      </c>
      <c r="E1093" s="418" t="s">
        <v>1441</v>
      </c>
      <c r="F1093" s="418" t="s">
        <v>1677</v>
      </c>
      <c r="G1093" s="418" t="s">
        <v>1677</v>
      </c>
      <c r="H1093" s="418" t="s">
        <v>42</v>
      </c>
      <c r="I1093" s="418" t="s">
        <v>2726</v>
      </c>
      <c r="J1093" s="418" t="s">
        <v>44</v>
      </c>
      <c r="K1093" s="418" t="s">
        <v>44</v>
      </c>
      <c r="L1093" s="418" t="s">
        <v>44</v>
      </c>
      <c r="M1093" s="418" t="s">
        <v>45</v>
      </c>
      <c r="N1093" s="418">
        <v>23.841646999999998</v>
      </c>
      <c r="O1093" s="418">
        <v>97.700940000000003</v>
      </c>
      <c r="P1093" s="418" t="s">
        <v>761</v>
      </c>
      <c r="Q1093" s="418" t="s">
        <v>780</v>
      </c>
      <c r="R1093" s="429">
        <v>36</v>
      </c>
      <c r="S1093" s="422">
        <v>193</v>
      </c>
      <c r="T1093" s="441"/>
      <c r="U1093" s="423"/>
      <c r="V1093" s="418" t="s">
        <v>981</v>
      </c>
      <c r="W1093" s="545" t="s">
        <v>2224</v>
      </c>
      <c r="X1093" s="547"/>
      <c r="Y1093" s="539"/>
      <c r="Z1093" s="545"/>
    </row>
    <row r="1094" spans="1:26" ht="14.25" customHeight="1">
      <c r="A1094" s="489" t="s">
        <v>702</v>
      </c>
      <c r="B1094" s="445" t="s">
        <v>703</v>
      </c>
      <c r="C1094" s="489" t="s">
        <v>704</v>
      </c>
      <c r="D1094" s="470" t="s">
        <v>2896</v>
      </c>
      <c r="E1094" s="418" t="s">
        <v>1434</v>
      </c>
      <c r="F1094" s="418" t="s">
        <v>1677</v>
      </c>
      <c r="G1094" s="418" t="s">
        <v>1677</v>
      </c>
      <c r="H1094" s="418" t="s">
        <v>42</v>
      </c>
      <c r="I1094" s="418" t="s">
        <v>1320</v>
      </c>
      <c r="J1094" s="418" t="s">
        <v>44</v>
      </c>
      <c r="K1094" s="418" t="s">
        <v>44</v>
      </c>
      <c r="L1094" s="418" t="s">
        <v>44</v>
      </c>
      <c r="M1094" s="418" t="s">
        <v>45</v>
      </c>
      <c r="N1094" s="418">
        <v>23.828150000000001</v>
      </c>
      <c r="O1094" s="418">
        <v>97.670360000000002</v>
      </c>
      <c r="P1094" s="418" t="s">
        <v>761</v>
      </c>
      <c r="Q1094" s="418" t="s">
        <v>780</v>
      </c>
      <c r="R1094" s="545">
        <v>43</v>
      </c>
      <c r="S1094" s="545">
        <v>218</v>
      </c>
      <c r="T1094" s="441"/>
      <c r="U1094" s="423"/>
      <c r="V1094" s="418" t="s">
        <v>704</v>
      </c>
      <c r="W1094" s="413" t="s">
        <v>2225</v>
      </c>
      <c r="X1094" s="547"/>
      <c r="Y1094" s="539"/>
      <c r="Z1094" s="545"/>
    </row>
    <row r="1095" spans="1:26" ht="14.25" customHeight="1">
      <c r="A1095" s="489" t="s">
        <v>702</v>
      </c>
      <c r="B1095" s="445" t="s">
        <v>703</v>
      </c>
      <c r="C1095" s="489" t="s">
        <v>779</v>
      </c>
      <c r="D1095" s="470" t="s">
        <v>1655</v>
      </c>
      <c r="E1095" s="418" t="s">
        <v>1323</v>
      </c>
      <c r="F1095" s="418" t="s">
        <v>1677</v>
      </c>
      <c r="G1095" s="418" t="s">
        <v>1677</v>
      </c>
      <c r="H1095" s="418"/>
      <c r="I1095" s="418">
        <v>0</v>
      </c>
      <c r="J1095" s="418" t="s">
        <v>44</v>
      </c>
      <c r="K1095" s="418" t="s">
        <v>44</v>
      </c>
      <c r="L1095" s="418" t="s">
        <v>760</v>
      </c>
      <c r="M1095" s="418" t="s">
        <v>778</v>
      </c>
      <c r="N1095" s="418"/>
      <c r="O1095" s="418"/>
      <c r="P1095" s="418" t="s">
        <v>761</v>
      </c>
      <c r="Q1095" s="418"/>
      <c r="R1095" s="545"/>
      <c r="S1095" s="545"/>
      <c r="T1095" s="441"/>
      <c r="U1095" s="423"/>
      <c r="V1095" s="418" t="s">
        <v>779</v>
      </c>
      <c r="W1095" s="413" t="s">
        <v>2226</v>
      </c>
      <c r="X1095" s="547"/>
      <c r="Y1095" s="539"/>
      <c r="Z1095" s="545"/>
    </row>
    <row r="1096" spans="1:26" ht="14.25" customHeight="1">
      <c r="A1096" s="550" t="s">
        <v>702</v>
      </c>
      <c r="B1096" s="445" t="s">
        <v>703</v>
      </c>
      <c r="C1096" s="489" t="s">
        <v>740</v>
      </c>
      <c r="D1096" s="544" t="s">
        <v>2896</v>
      </c>
      <c r="E1096" s="418" t="s">
        <v>1440</v>
      </c>
      <c r="F1096" s="418" t="s">
        <v>1768</v>
      </c>
      <c r="G1096" s="418" t="s">
        <v>1757</v>
      </c>
      <c r="H1096" s="418" t="s">
        <v>42</v>
      </c>
      <c r="I1096" s="539" t="s">
        <v>2726</v>
      </c>
      <c r="J1096" s="418" t="s">
        <v>44</v>
      </c>
      <c r="K1096" s="418" t="s">
        <v>44</v>
      </c>
      <c r="L1096" s="418" t="s">
        <v>44</v>
      </c>
      <c r="M1096" s="418" t="s">
        <v>45</v>
      </c>
      <c r="N1096" s="418">
        <v>23.838190000000001</v>
      </c>
      <c r="O1096" s="418">
        <v>97.709879999999998</v>
      </c>
      <c r="P1096" s="418" t="s">
        <v>761</v>
      </c>
      <c r="Q1096" s="418" t="s">
        <v>780</v>
      </c>
      <c r="R1096" s="553">
        <v>114</v>
      </c>
      <c r="S1096" s="546">
        <v>545</v>
      </c>
      <c r="T1096" s="441"/>
      <c r="U1096" s="423"/>
      <c r="V1096" s="418" t="s">
        <v>980</v>
      </c>
      <c r="W1096" s="545" t="s">
        <v>2227</v>
      </c>
      <c r="X1096" s="547"/>
      <c r="Y1096" s="539"/>
      <c r="Z1096" s="545"/>
    </row>
    <row r="1097" spans="1:26" ht="14.25" customHeight="1">
      <c r="A1097" s="550" t="s">
        <v>702</v>
      </c>
      <c r="B1097" s="445" t="s">
        <v>723</v>
      </c>
      <c r="C1097" s="489" t="s">
        <v>730</v>
      </c>
      <c r="D1097" s="470" t="s">
        <v>2896</v>
      </c>
      <c r="E1097" s="418" t="s">
        <v>1409</v>
      </c>
      <c r="F1097" s="418" t="s">
        <v>1681</v>
      </c>
      <c r="G1097" s="418" t="s">
        <v>1682</v>
      </c>
      <c r="H1097" s="418" t="s">
        <v>42</v>
      </c>
      <c r="I1097" s="418" t="s">
        <v>1320</v>
      </c>
      <c r="J1097" s="418" t="s">
        <v>44</v>
      </c>
      <c r="K1097" s="418" t="s">
        <v>44</v>
      </c>
      <c r="L1097" s="418" t="s">
        <v>44</v>
      </c>
      <c r="M1097" s="418" t="s">
        <v>45</v>
      </c>
      <c r="N1097" s="418">
        <v>23.099304</v>
      </c>
      <c r="O1097" s="418">
        <v>97.400671000000003</v>
      </c>
      <c r="P1097" s="418" t="s">
        <v>761</v>
      </c>
      <c r="Q1097" s="418" t="s">
        <v>926</v>
      </c>
      <c r="R1097" s="545">
        <v>61</v>
      </c>
      <c r="S1097" s="545">
        <v>279</v>
      </c>
      <c r="T1097" s="441">
        <v>42983</v>
      </c>
      <c r="U1097" s="423"/>
      <c r="V1097" s="418"/>
      <c r="W1097" s="413" t="s">
        <v>2228</v>
      </c>
      <c r="X1097" s="547"/>
      <c r="Y1097" s="539"/>
      <c r="Z1097" s="545"/>
    </row>
    <row r="1098" spans="1:26" ht="14.25" customHeight="1">
      <c r="A1098" s="550" t="s">
        <v>702</v>
      </c>
      <c r="B1098" s="445" t="s">
        <v>723</v>
      </c>
      <c r="C1098" s="489" t="s">
        <v>1106</v>
      </c>
      <c r="D1098" s="420" t="s">
        <v>1654</v>
      </c>
      <c r="E1098" s="418"/>
      <c r="F1098" s="418"/>
      <c r="G1098" s="418"/>
      <c r="H1098" s="418"/>
      <c r="I1098" s="418"/>
      <c r="J1098" s="418" t="s">
        <v>1449</v>
      </c>
      <c r="K1098" s="418" t="s">
        <v>44</v>
      </c>
      <c r="L1098" s="418" t="s">
        <v>44</v>
      </c>
      <c r="M1098" s="418" t="s">
        <v>45</v>
      </c>
      <c r="N1098" s="418"/>
      <c r="O1098" s="418"/>
      <c r="P1098" s="418" t="s">
        <v>761</v>
      </c>
      <c r="Q1098" s="418" t="s">
        <v>780</v>
      </c>
      <c r="R1098" s="429"/>
      <c r="S1098" s="422"/>
      <c r="T1098" s="441">
        <v>42747</v>
      </c>
      <c r="U1098" s="423"/>
      <c r="V1098" s="418"/>
      <c r="W1098" s="421"/>
      <c r="X1098" s="547"/>
      <c r="Y1098" s="539"/>
      <c r="Z1098" s="545"/>
    </row>
    <row r="1099" spans="1:26" ht="14.25" customHeight="1">
      <c r="A1099" s="550" t="s">
        <v>702</v>
      </c>
      <c r="B1099" s="445" t="s">
        <v>723</v>
      </c>
      <c r="C1099" s="489" t="s">
        <v>731</v>
      </c>
      <c r="D1099" s="470" t="s">
        <v>2896</v>
      </c>
      <c r="E1099" s="418" t="s">
        <v>1319</v>
      </c>
      <c r="F1099" s="543" t="s">
        <v>1681</v>
      </c>
      <c r="G1099" s="418" t="s">
        <v>1682</v>
      </c>
      <c r="H1099" s="418" t="s">
        <v>42</v>
      </c>
      <c r="I1099" s="418" t="s">
        <v>1320</v>
      </c>
      <c r="J1099" s="418" t="s">
        <v>44</v>
      </c>
      <c r="K1099" s="418" t="s">
        <v>44</v>
      </c>
      <c r="L1099" s="418" t="s">
        <v>44</v>
      </c>
      <c r="M1099" s="418" t="s">
        <v>45</v>
      </c>
      <c r="N1099" s="418">
        <v>0</v>
      </c>
      <c r="O1099" s="418">
        <v>0</v>
      </c>
      <c r="P1099" s="418" t="s">
        <v>761</v>
      </c>
      <c r="Q1099" s="418" t="s">
        <v>762</v>
      </c>
      <c r="R1099" s="545">
        <v>28</v>
      </c>
      <c r="S1099" s="545">
        <v>144</v>
      </c>
      <c r="T1099" s="441"/>
      <c r="U1099" s="423"/>
      <c r="V1099" s="418"/>
      <c r="W1099" s="413" t="s">
        <v>2228</v>
      </c>
      <c r="X1099" s="547"/>
      <c r="Y1099" s="539"/>
      <c r="Z1099" s="545"/>
    </row>
    <row r="1100" spans="1:26" ht="14.25" customHeight="1">
      <c r="A1100" s="550" t="s">
        <v>702</v>
      </c>
      <c r="B1100" s="445" t="s">
        <v>723</v>
      </c>
      <c r="C1100" s="489" t="s">
        <v>1957</v>
      </c>
      <c r="D1100" s="420"/>
      <c r="E1100" s="418"/>
      <c r="F1100" s="418"/>
      <c r="G1100" s="418"/>
      <c r="H1100" s="418"/>
      <c r="I1100" s="418"/>
      <c r="J1100" s="418" t="s">
        <v>1449</v>
      </c>
      <c r="K1100" s="418" t="s">
        <v>44</v>
      </c>
      <c r="L1100" s="418" t="s">
        <v>44</v>
      </c>
      <c r="M1100" s="418" t="s">
        <v>45</v>
      </c>
      <c r="N1100" s="418"/>
      <c r="O1100" s="418"/>
      <c r="P1100" s="418" t="s">
        <v>761</v>
      </c>
      <c r="Q1100" s="418" t="s">
        <v>1949</v>
      </c>
      <c r="R1100" s="429"/>
      <c r="S1100" s="422"/>
      <c r="T1100" s="441">
        <v>43270</v>
      </c>
      <c r="U1100" s="423"/>
      <c r="V1100" s="418"/>
      <c r="W1100" s="421"/>
      <c r="X1100" s="547"/>
      <c r="Y1100" s="539"/>
      <c r="Z1100" s="545"/>
    </row>
    <row r="1101" spans="1:26" ht="14.25" customHeight="1">
      <c r="A1101" s="550" t="s">
        <v>702</v>
      </c>
      <c r="B1101" s="445" t="s">
        <v>723</v>
      </c>
      <c r="C1101" s="489" t="s">
        <v>734</v>
      </c>
      <c r="D1101" s="420" t="s">
        <v>2896</v>
      </c>
      <c r="E1101" s="418" t="s">
        <v>1408</v>
      </c>
      <c r="F1101" s="418" t="s">
        <v>1681</v>
      </c>
      <c r="G1101" s="418" t="s">
        <v>1682</v>
      </c>
      <c r="H1101" s="418" t="s">
        <v>42</v>
      </c>
      <c r="I1101" s="418" t="s">
        <v>2726</v>
      </c>
      <c r="J1101" s="418" t="s">
        <v>44</v>
      </c>
      <c r="K1101" s="418" t="s">
        <v>44</v>
      </c>
      <c r="L1101" s="418" t="s">
        <v>44</v>
      </c>
      <c r="M1101" s="418" t="s">
        <v>45</v>
      </c>
      <c r="N1101" s="418">
        <v>23.094290000000001</v>
      </c>
      <c r="O1101" s="418">
        <v>97.404089999999997</v>
      </c>
      <c r="P1101" s="418" t="s">
        <v>761</v>
      </c>
      <c r="Q1101" s="418" t="s">
        <v>780</v>
      </c>
      <c r="R1101" s="429">
        <v>38</v>
      </c>
      <c r="S1101" s="422">
        <v>159</v>
      </c>
      <c r="T1101" s="441"/>
      <c r="U1101" s="423"/>
      <c r="V1101" s="418" t="s">
        <v>734</v>
      </c>
      <c r="W1101" s="413" t="s">
        <v>2229</v>
      </c>
      <c r="X1101" s="547"/>
      <c r="Y1101" s="539"/>
      <c r="Z1101" s="545"/>
    </row>
    <row r="1102" spans="1:26" ht="14.25" customHeight="1">
      <c r="A1102" s="550" t="s">
        <v>702</v>
      </c>
      <c r="B1102" s="574" t="s">
        <v>723</v>
      </c>
      <c r="C1102" s="489" t="s">
        <v>965</v>
      </c>
      <c r="D1102" s="544" t="s">
        <v>1655</v>
      </c>
      <c r="E1102" s="539" t="s">
        <v>1407</v>
      </c>
      <c r="F1102" s="539" t="s">
        <v>1681</v>
      </c>
      <c r="G1102" s="539" t="s">
        <v>1682</v>
      </c>
      <c r="H1102" s="539"/>
      <c r="I1102" s="539">
        <v>0</v>
      </c>
      <c r="J1102" s="539" t="s">
        <v>44</v>
      </c>
      <c r="K1102" s="539" t="s">
        <v>44</v>
      </c>
      <c r="L1102" s="539" t="s">
        <v>760</v>
      </c>
      <c r="M1102" s="539" t="s">
        <v>45</v>
      </c>
      <c r="N1102" s="539">
        <v>23.088058</v>
      </c>
      <c r="O1102" s="539">
        <v>97.398989</v>
      </c>
      <c r="P1102" s="539" t="s">
        <v>773</v>
      </c>
      <c r="Q1102" s="539" t="s">
        <v>780</v>
      </c>
      <c r="R1102" s="553"/>
      <c r="S1102" s="546"/>
      <c r="T1102" s="565"/>
      <c r="U1102" s="547"/>
      <c r="V1102" s="539" t="s">
        <v>787</v>
      </c>
      <c r="W1102" s="413" t="s">
        <v>2230</v>
      </c>
      <c r="X1102" s="547"/>
      <c r="Y1102" s="539"/>
      <c r="Z1102" s="545"/>
    </row>
    <row r="1103" spans="1:26" ht="14.25" customHeight="1">
      <c r="A1103" s="550" t="s">
        <v>702</v>
      </c>
      <c r="B1103" s="574" t="s">
        <v>723</v>
      </c>
      <c r="C1103" s="489" t="s">
        <v>783</v>
      </c>
      <c r="D1103" s="544" t="s">
        <v>1655</v>
      </c>
      <c r="E1103" s="539" t="s">
        <v>1327</v>
      </c>
      <c r="F1103" s="539" t="s">
        <v>1681</v>
      </c>
      <c r="G1103" s="539" t="s">
        <v>1682</v>
      </c>
      <c r="H1103" s="539"/>
      <c r="I1103" s="539">
        <v>0</v>
      </c>
      <c r="J1103" s="539" t="s">
        <v>44</v>
      </c>
      <c r="K1103" s="539" t="s">
        <v>44</v>
      </c>
      <c r="L1103" s="539" t="s">
        <v>760</v>
      </c>
      <c r="M1103" s="539" t="s">
        <v>45</v>
      </c>
      <c r="N1103" s="539"/>
      <c r="O1103" s="539"/>
      <c r="P1103" s="539" t="s">
        <v>761</v>
      </c>
      <c r="Q1103" s="539" t="s">
        <v>762</v>
      </c>
      <c r="R1103" s="553"/>
      <c r="S1103" s="546"/>
      <c r="T1103" s="565">
        <v>43019</v>
      </c>
      <c r="U1103" s="547" t="s">
        <v>784</v>
      </c>
      <c r="V1103" s="539"/>
      <c r="W1103" s="545" t="s">
        <v>784</v>
      </c>
      <c r="X1103" s="547"/>
      <c r="Y1103" s="539"/>
      <c r="Z1103" s="545"/>
    </row>
    <row r="1104" spans="1:26" ht="14.25" customHeight="1">
      <c r="A1104" s="546" t="s">
        <v>702</v>
      </c>
      <c r="B1104" s="574" t="s">
        <v>723</v>
      </c>
      <c r="C1104" s="489" t="s">
        <v>785</v>
      </c>
      <c r="D1104" s="470" t="s">
        <v>1655</v>
      </c>
      <c r="E1104" s="539" t="s">
        <v>1328</v>
      </c>
      <c r="F1104" s="539" t="s">
        <v>1681</v>
      </c>
      <c r="G1104" s="539" t="s">
        <v>1682</v>
      </c>
      <c r="H1104" s="539"/>
      <c r="I1104" s="543">
        <v>0</v>
      </c>
      <c r="J1104" s="539" t="s">
        <v>44</v>
      </c>
      <c r="K1104" s="539" t="s">
        <v>44</v>
      </c>
      <c r="L1104" s="539" t="s">
        <v>760</v>
      </c>
      <c r="M1104" s="539" t="s">
        <v>45</v>
      </c>
      <c r="N1104" s="539"/>
      <c r="O1104" s="539"/>
      <c r="P1104" s="539" t="s">
        <v>761</v>
      </c>
      <c r="Q1104" s="539" t="s">
        <v>762</v>
      </c>
      <c r="R1104" s="545"/>
      <c r="S1104" s="545"/>
      <c r="T1104" s="565">
        <v>42927</v>
      </c>
      <c r="U1104" s="547" t="s">
        <v>786</v>
      </c>
      <c r="V1104" s="539"/>
      <c r="W1104" s="413" t="s">
        <v>784</v>
      </c>
      <c r="X1104" s="547"/>
      <c r="Y1104" s="539"/>
      <c r="Z1104" s="545"/>
    </row>
    <row r="1105" spans="1:26" ht="14.25" customHeight="1">
      <c r="A1105" s="546" t="s">
        <v>702</v>
      </c>
      <c r="B1105" s="574" t="s">
        <v>723</v>
      </c>
      <c r="C1105" s="489" t="s">
        <v>787</v>
      </c>
      <c r="D1105" s="544" t="s">
        <v>1655</v>
      </c>
      <c r="E1105" s="539" t="s">
        <v>1329</v>
      </c>
      <c r="F1105" s="539" t="s">
        <v>1681</v>
      </c>
      <c r="G1105" s="539" t="s">
        <v>1682</v>
      </c>
      <c r="H1105" s="539"/>
      <c r="I1105" s="539">
        <v>0</v>
      </c>
      <c r="J1105" s="539" t="s">
        <v>44</v>
      </c>
      <c r="K1105" s="539" t="s">
        <v>44</v>
      </c>
      <c r="L1105" s="539" t="s">
        <v>760</v>
      </c>
      <c r="M1105" s="539" t="s">
        <v>45</v>
      </c>
      <c r="N1105" s="539"/>
      <c r="O1105" s="539"/>
      <c r="P1105" s="539" t="s">
        <v>761</v>
      </c>
      <c r="Q1105" s="539" t="s">
        <v>762</v>
      </c>
      <c r="R1105" s="553"/>
      <c r="S1105" s="546"/>
      <c r="T1105" s="565">
        <v>42927</v>
      </c>
      <c r="U1105" s="547" t="s">
        <v>788</v>
      </c>
      <c r="V1105" s="539"/>
      <c r="W1105" s="413" t="s">
        <v>2219</v>
      </c>
      <c r="X1105" s="547"/>
      <c r="Y1105" s="539"/>
      <c r="Z1105" s="545"/>
    </row>
    <row r="1106" spans="1:26" ht="14.25" customHeight="1">
      <c r="A1106" s="546" t="s">
        <v>702</v>
      </c>
      <c r="B1106" s="574" t="s">
        <v>723</v>
      </c>
      <c r="C1106" s="489" t="s">
        <v>724</v>
      </c>
      <c r="D1106" s="544" t="s">
        <v>2896</v>
      </c>
      <c r="E1106" s="539" t="s">
        <v>1406</v>
      </c>
      <c r="F1106" s="539" t="s">
        <v>1757</v>
      </c>
      <c r="G1106" s="539" t="s">
        <v>1758</v>
      </c>
      <c r="H1106" s="539"/>
      <c r="I1106" s="539" t="s">
        <v>2141</v>
      </c>
      <c r="J1106" s="539" t="s">
        <v>44</v>
      </c>
      <c r="K1106" s="539" t="s">
        <v>44</v>
      </c>
      <c r="L1106" s="539" t="s">
        <v>776</v>
      </c>
      <c r="M1106" s="539" t="s">
        <v>45</v>
      </c>
      <c r="N1106" s="539">
        <v>22.765999999999998</v>
      </c>
      <c r="O1106" s="539">
        <v>97.358999999999995</v>
      </c>
      <c r="P1106" s="539" t="s">
        <v>761</v>
      </c>
      <c r="Q1106" s="539" t="s">
        <v>762</v>
      </c>
      <c r="R1106" s="553">
        <v>6</v>
      </c>
      <c r="S1106" s="546">
        <v>27</v>
      </c>
      <c r="T1106" s="565"/>
      <c r="U1106" s="547" t="s">
        <v>964</v>
      </c>
      <c r="V1106" s="539"/>
      <c r="W1106" s="545" t="s">
        <v>2231</v>
      </c>
      <c r="X1106" s="547"/>
      <c r="Y1106" s="539"/>
      <c r="Z1106" s="545"/>
    </row>
    <row r="1107" spans="1:26" ht="14.25" customHeight="1">
      <c r="A1107" s="546" t="s">
        <v>702</v>
      </c>
      <c r="B1107" s="574" t="s">
        <v>723</v>
      </c>
      <c r="C1107" s="489" t="s">
        <v>966</v>
      </c>
      <c r="D1107" s="544" t="s">
        <v>1654</v>
      </c>
      <c r="E1107" s="539" t="s">
        <v>1410</v>
      </c>
      <c r="F1107" s="548"/>
      <c r="G1107" s="539"/>
      <c r="H1107" s="539"/>
      <c r="I1107" s="539">
        <v>0</v>
      </c>
      <c r="J1107" s="539" t="s">
        <v>44</v>
      </c>
      <c r="K1107" s="539" t="s">
        <v>44</v>
      </c>
      <c r="L1107" s="539" t="s">
        <v>760</v>
      </c>
      <c r="M1107" s="539" t="s">
        <v>45</v>
      </c>
      <c r="N1107" s="539">
        <v>23.099304</v>
      </c>
      <c r="O1107" s="539">
        <v>97.400671000000003</v>
      </c>
      <c r="P1107" s="539" t="s">
        <v>761</v>
      </c>
      <c r="Q1107" s="539" t="s">
        <v>762</v>
      </c>
      <c r="R1107" s="553"/>
      <c r="S1107" s="546"/>
      <c r="T1107" s="565">
        <v>42747</v>
      </c>
      <c r="U1107" s="547" t="s">
        <v>967</v>
      </c>
      <c r="V1107" s="539"/>
      <c r="W1107" s="545" t="s">
        <v>2232</v>
      </c>
      <c r="X1107" s="547"/>
      <c r="Y1107" s="539"/>
      <c r="Z1107" s="545"/>
    </row>
    <row r="1108" spans="1:26" ht="14.25" customHeight="1">
      <c r="A1108" s="546" t="s">
        <v>702</v>
      </c>
      <c r="B1108" s="574" t="s">
        <v>723</v>
      </c>
      <c r="C1108" s="489" t="s">
        <v>1148</v>
      </c>
      <c r="D1108" s="544" t="s">
        <v>1654</v>
      </c>
      <c r="E1108" s="539"/>
      <c r="F1108" s="539"/>
      <c r="G1108" s="539"/>
      <c r="H1108" s="539"/>
      <c r="I1108" s="539"/>
      <c r="J1108" s="539" t="s">
        <v>1449</v>
      </c>
      <c r="K1108" s="539" t="s">
        <v>44</v>
      </c>
      <c r="L1108" s="539" t="s">
        <v>760</v>
      </c>
      <c r="M1108" s="539" t="s">
        <v>45</v>
      </c>
      <c r="N1108" s="539"/>
      <c r="O1108" s="539"/>
      <c r="P1108" s="539" t="s">
        <v>761</v>
      </c>
      <c r="Q1108" s="539" t="s">
        <v>780</v>
      </c>
      <c r="R1108" s="553"/>
      <c r="S1108" s="546"/>
      <c r="T1108" s="565">
        <v>42747</v>
      </c>
      <c r="U1108" s="547"/>
      <c r="V1108" s="539"/>
      <c r="W1108" s="545"/>
      <c r="X1108" s="547"/>
      <c r="Y1108" s="539"/>
      <c r="Z1108" s="545"/>
    </row>
    <row r="1109" spans="1:26" ht="14.25" customHeight="1">
      <c r="A1109" s="546" t="s">
        <v>702</v>
      </c>
      <c r="B1109" s="574" t="s">
        <v>1260</v>
      </c>
      <c r="C1109" s="489" t="s">
        <v>2252</v>
      </c>
      <c r="D1109" s="544"/>
      <c r="E1109" s="539"/>
      <c r="F1109" s="539"/>
      <c r="G1109" s="539"/>
      <c r="H1109" s="539"/>
      <c r="I1109" s="539"/>
      <c r="J1109" s="539" t="s">
        <v>2714</v>
      </c>
      <c r="K1109" s="539" t="s">
        <v>2676</v>
      </c>
      <c r="L1109" s="539" t="s">
        <v>2676</v>
      </c>
      <c r="M1109" s="539" t="s">
        <v>45</v>
      </c>
      <c r="N1109" s="539"/>
      <c r="O1109" s="539"/>
      <c r="P1109" s="539" t="s">
        <v>1992</v>
      </c>
      <c r="Q1109" s="539" t="s">
        <v>926</v>
      </c>
      <c r="R1109" s="553"/>
      <c r="S1109" s="546"/>
      <c r="T1109" s="565">
        <v>43392</v>
      </c>
      <c r="U1109" s="547"/>
      <c r="V1109" s="562"/>
      <c r="W1109" s="545"/>
      <c r="X1109" s="547"/>
      <c r="Y1109" s="539"/>
      <c r="Z1109" s="545"/>
    </row>
    <row r="1110" spans="1:26" ht="14.25" customHeight="1">
      <c r="A1110" s="596" t="s">
        <v>702</v>
      </c>
      <c r="B1110" s="597" t="s">
        <v>1260</v>
      </c>
      <c r="C1110" s="598" t="s">
        <v>1126</v>
      </c>
      <c r="D1110" s="544" t="s">
        <v>1654</v>
      </c>
      <c r="E1110" s="599"/>
      <c r="F1110" s="599"/>
      <c r="G1110" s="599"/>
      <c r="H1110" s="599"/>
      <c r="I1110" s="599"/>
      <c r="J1110" s="599" t="s">
        <v>1449</v>
      </c>
      <c r="K1110" s="599" t="s">
        <v>44</v>
      </c>
      <c r="L1110" s="599" t="s">
        <v>760</v>
      </c>
      <c r="M1110" s="599" t="s">
        <v>45</v>
      </c>
      <c r="N1110" s="599"/>
      <c r="O1110" s="599"/>
      <c r="P1110" s="599" t="s">
        <v>761</v>
      </c>
      <c r="Q1110" s="599" t="s">
        <v>780</v>
      </c>
      <c r="R1110" s="600"/>
      <c r="S1110" s="596"/>
      <c r="T1110" s="601">
        <v>42747</v>
      </c>
      <c r="U1110" s="600"/>
      <c r="V1110" s="599"/>
      <c r="W1110" s="545"/>
      <c r="X1110" s="547"/>
      <c r="Y1110" s="539"/>
      <c r="Z1110" s="545"/>
    </row>
    <row r="1111" spans="1:26" ht="14.25" customHeight="1">
      <c r="A1111" s="596" t="s">
        <v>702</v>
      </c>
      <c r="B1111" s="597" t="s">
        <v>1263</v>
      </c>
      <c r="C1111" s="598" t="s">
        <v>1303</v>
      </c>
      <c r="D1111" s="544" t="s">
        <v>1874</v>
      </c>
      <c r="E1111" s="599"/>
      <c r="F1111" s="599"/>
      <c r="G1111" s="599"/>
      <c r="H1111" s="599"/>
      <c r="I1111" s="599"/>
      <c r="J1111" s="599" t="s">
        <v>1449</v>
      </c>
      <c r="K1111" s="599" t="s">
        <v>44</v>
      </c>
      <c r="L1111" s="599" t="s">
        <v>776</v>
      </c>
      <c r="M1111" s="599" t="s">
        <v>2020</v>
      </c>
      <c r="N1111" s="599"/>
      <c r="O1111" s="599"/>
      <c r="P1111" s="599" t="s">
        <v>761</v>
      </c>
      <c r="Q1111" s="599"/>
      <c r="R1111" s="600"/>
      <c r="S1111" s="596"/>
      <c r="T1111" s="601">
        <v>43298</v>
      </c>
      <c r="U1111" s="600"/>
      <c r="V1111" s="599"/>
      <c r="W1111" s="545"/>
      <c r="X1111" s="547"/>
      <c r="Y1111" s="539"/>
      <c r="Z1111" s="545"/>
    </row>
  </sheetData>
  <conditionalFormatting sqref="V226">
    <cfRule type="duplicateValues" dxfId="680" priority="4"/>
  </conditionalFormatting>
  <conditionalFormatting sqref="V940">
    <cfRule type="duplicateValues" dxfId="679" priority="3"/>
  </conditionalFormatting>
  <conditionalFormatting sqref="V985">
    <cfRule type="duplicateValues" dxfId="678" priority="2"/>
  </conditionalFormatting>
  <conditionalFormatting sqref="V1109">
    <cfRule type="duplicateValues" dxfId="677" priority="1"/>
  </conditionalFormatting>
  <conditionalFormatting sqref="C3:C1111">
    <cfRule type="duplicateValues" dxfId="676" priority="12140"/>
  </conditionalFormatting>
  <conditionalFormatting sqref="E3:E1111">
    <cfRule type="duplicateValues" dxfId="675" priority="12142"/>
  </conditionalFormatting>
  <dataValidations count="1">
    <dataValidation type="list" allowBlank="1" showInputMessage="1" showErrorMessage="1" sqref="C769" xr:uid="{00000000-0002-0000-0300-000001000000}">
      <formula1>OFFSET(Township_start,MATCH(B769,Township_list, 0),1, COUNTIF(Township_list,B769),1)</formula1>
    </dataValidation>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C4BE1491-950D-4CE8-81F6-C21A5305EBD5}">
          <x14:formula1>
            <xm:f>'C:\Users\mthaw\Mee Mee\2. Information Management\C_Camp Info\2. CCCM Camp list\Kachin\2019\[shelter-nfi-cccm_kachin_northern_shan_cluster_analysis_report_march_2019.xlsx]Definition'!#REF!</xm:f>
          </x14:formula1>
          <xm:sqref>L531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2741C3-1183-407C-AC8B-9E3DB0A0F35B}">
  <sheetPr>
    <tabColor rgb="FF92D050"/>
  </sheetPr>
  <dimension ref="A1:G11"/>
  <sheetViews>
    <sheetView view="pageBreakPreview" zoomScale="89" zoomScaleNormal="85" zoomScaleSheetLayoutView="89" workbookViewId="0">
      <selection activeCell="F66" sqref="F66"/>
    </sheetView>
  </sheetViews>
  <sheetFormatPr defaultColWidth="6.75" defaultRowHeight="15.75"/>
  <cols>
    <col min="1" max="1" width="10.75" style="236" customWidth="1"/>
    <col min="2" max="2" width="39.375" style="236" customWidth="1"/>
    <col min="3" max="3" width="19" style="236" customWidth="1"/>
    <col min="4" max="4" width="63.5" style="236" customWidth="1"/>
    <col min="5" max="5" width="40.875" style="238" customWidth="1"/>
    <col min="6" max="6" width="25.375" style="238" hidden="1" customWidth="1"/>
    <col min="7" max="16384" width="6.75" style="238"/>
  </cols>
  <sheetData>
    <row r="1" spans="1:7">
      <c r="B1" s="237" t="s">
        <v>2373</v>
      </c>
      <c r="C1" s="237"/>
      <c r="D1" s="237"/>
    </row>
    <row r="2" spans="1:7" ht="39">
      <c r="A2" s="239" t="s">
        <v>72</v>
      </c>
      <c r="B2" s="239" t="s">
        <v>2374</v>
      </c>
      <c r="C2" s="239" t="s">
        <v>73</v>
      </c>
      <c r="D2" s="239" t="s">
        <v>74</v>
      </c>
      <c r="E2" s="239" t="s">
        <v>1289</v>
      </c>
      <c r="F2" s="239" t="s">
        <v>75</v>
      </c>
    </row>
    <row r="3" spans="1:7" ht="157.5" customHeight="1">
      <c r="A3" s="240" t="s">
        <v>1300</v>
      </c>
      <c r="B3" s="240" t="s">
        <v>2375</v>
      </c>
      <c r="C3" s="240" t="s">
        <v>3002</v>
      </c>
      <c r="D3" s="241" t="s">
        <v>3003</v>
      </c>
      <c r="E3" s="240" t="s">
        <v>3004</v>
      </c>
      <c r="F3" s="240" t="s">
        <v>2376</v>
      </c>
    </row>
    <row r="4" spans="1:7" ht="170.25" customHeight="1">
      <c r="A4" s="242" t="s">
        <v>1301</v>
      </c>
      <c r="B4" s="242" t="s">
        <v>2377</v>
      </c>
      <c r="C4" s="242" t="s">
        <v>3005</v>
      </c>
      <c r="D4" s="242" t="s">
        <v>3006</v>
      </c>
      <c r="E4" s="242" t="s">
        <v>3007</v>
      </c>
      <c r="F4" s="242" t="s">
        <v>2787</v>
      </c>
    </row>
    <row r="5" spans="1:7" ht="242.25" customHeight="1">
      <c r="A5" s="243" t="s">
        <v>1617</v>
      </c>
      <c r="B5" s="243" t="s">
        <v>2528</v>
      </c>
      <c r="C5" s="243" t="s">
        <v>3008</v>
      </c>
      <c r="D5" s="243" t="s">
        <v>3009</v>
      </c>
      <c r="E5" s="243"/>
      <c r="F5" s="243"/>
    </row>
    <row r="6" spans="1:7">
      <c r="E6" s="236"/>
      <c r="F6" s="236"/>
    </row>
    <row r="7" spans="1:7">
      <c r="E7" s="236"/>
      <c r="F7" s="236"/>
    </row>
    <row r="8" spans="1:7" s="236" customFormat="1">
      <c r="G8" s="244"/>
    </row>
    <row r="9" spans="1:7" s="236" customFormat="1"/>
    <row r="10" spans="1:7">
      <c r="E10" s="236"/>
      <c r="F10" s="236"/>
    </row>
    <row r="11" spans="1:7">
      <c r="E11" s="236"/>
      <c r="F11" s="236"/>
    </row>
  </sheetData>
  <pageMargins left="0" right="0" top="0.5" bottom="0.5" header="0.3" footer="0.3"/>
  <pageSetup scale="64"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sheetPr>
  <dimension ref="A1:F69"/>
  <sheetViews>
    <sheetView zoomScale="110" zoomScaleNormal="110" zoomScaleSheetLayoutView="50" workbookViewId="0">
      <pane xSplit="1" ySplit="2" topLeftCell="B60" activePane="bottomRight" state="frozen"/>
      <selection activeCell="B3" sqref="B3"/>
      <selection pane="topRight" activeCell="B3" sqref="B3"/>
      <selection pane="bottomLeft" activeCell="B3" sqref="B3"/>
      <selection pane="bottomRight" activeCell="F66" sqref="F66"/>
    </sheetView>
  </sheetViews>
  <sheetFormatPr defaultColWidth="8" defaultRowHeight="45" customHeight="1"/>
  <cols>
    <col min="1" max="1" width="7.625" style="302" bestFit="1" customWidth="1"/>
    <col min="2" max="2" width="42.75" style="325" bestFit="1" customWidth="1"/>
    <col min="3" max="4" width="11.625" style="325" customWidth="1"/>
    <col min="5" max="5" width="61.5" style="325" bestFit="1" customWidth="1"/>
    <col min="6" max="6" width="57.375" style="615" bestFit="1" customWidth="1"/>
    <col min="7" max="16378" width="8" style="301"/>
    <col min="16379" max="16384" width="21.25" style="301" customWidth="1"/>
  </cols>
  <sheetData>
    <row r="1" spans="1:6" ht="45" customHeight="1">
      <c r="A1" s="986"/>
      <c r="B1" s="986"/>
      <c r="C1" s="986"/>
      <c r="D1" s="986"/>
      <c r="E1" s="986"/>
    </row>
    <row r="2" spans="1:6" s="305" customFormat="1" ht="45" customHeight="1">
      <c r="A2" s="303" t="s">
        <v>47</v>
      </c>
      <c r="B2" s="304" t="s">
        <v>2313</v>
      </c>
      <c r="C2" s="304" t="s">
        <v>2314</v>
      </c>
      <c r="D2" s="304" t="s">
        <v>2902</v>
      </c>
      <c r="E2" s="304" t="s">
        <v>48</v>
      </c>
      <c r="F2" s="214" t="s">
        <v>2390</v>
      </c>
    </row>
    <row r="3" spans="1:6" ht="45" customHeight="1">
      <c r="A3" s="306" t="s">
        <v>0</v>
      </c>
      <c r="B3" s="307" t="s">
        <v>2317</v>
      </c>
      <c r="C3" s="307" t="s">
        <v>16</v>
      </c>
      <c r="D3" s="307"/>
      <c r="E3" s="308"/>
      <c r="F3" s="616"/>
    </row>
    <row r="4" spans="1:6" ht="62.45" customHeight="1">
      <c r="A4" s="306" t="s">
        <v>1</v>
      </c>
      <c r="B4" s="307" t="s">
        <v>2319</v>
      </c>
      <c r="C4" s="307" t="s">
        <v>16</v>
      </c>
      <c r="D4" s="307"/>
      <c r="E4" s="308" t="s">
        <v>2320</v>
      </c>
      <c r="F4" s="616"/>
    </row>
    <row r="5" spans="1:6" ht="45" customHeight="1">
      <c r="A5" s="306" t="s">
        <v>2</v>
      </c>
      <c r="B5" s="307" t="s">
        <v>2321</v>
      </c>
      <c r="C5" s="307" t="s">
        <v>16</v>
      </c>
      <c r="D5" s="307"/>
      <c r="E5" s="308" t="s">
        <v>2322</v>
      </c>
      <c r="F5" s="616"/>
    </row>
    <row r="6" spans="1:6" ht="45" customHeight="1">
      <c r="A6" s="306" t="s">
        <v>3</v>
      </c>
      <c r="B6" s="307" t="s">
        <v>2323</v>
      </c>
      <c r="C6" s="307" t="s">
        <v>18</v>
      </c>
      <c r="D6" s="307"/>
      <c r="E6" s="308" t="s">
        <v>2474</v>
      </c>
      <c r="F6" s="616"/>
    </row>
    <row r="7" spans="1:6" ht="45" customHeight="1">
      <c r="A7" s="306" t="s">
        <v>4</v>
      </c>
      <c r="B7" s="307" t="s">
        <v>22</v>
      </c>
      <c r="C7" s="307" t="s">
        <v>16</v>
      </c>
      <c r="D7" s="307"/>
      <c r="E7" s="308" t="s">
        <v>2324</v>
      </c>
      <c r="F7" s="616"/>
    </row>
    <row r="8" spans="1:6" ht="45" customHeight="1">
      <c r="A8" s="306" t="s">
        <v>1154</v>
      </c>
      <c r="B8" s="307" t="s">
        <v>23</v>
      </c>
      <c r="C8" s="307" t="s">
        <v>16</v>
      </c>
      <c r="D8" s="307"/>
      <c r="E8" s="308" t="s">
        <v>2324</v>
      </c>
      <c r="F8" s="616"/>
    </row>
    <row r="9" spans="1:6" ht="45" customHeight="1">
      <c r="A9" s="306" t="s">
        <v>5</v>
      </c>
      <c r="B9" s="307" t="s">
        <v>2325</v>
      </c>
      <c r="C9" s="307" t="s">
        <v>2468</v>
      </c>
      <c r="D9" s="307"/>
      <c r="E9" s="308" t="s">
        <v>2326</v>
      </c>
      <c r="F9" s="616"/>
    </row>
    <row r="10" spans="1:6" ht="45" customHeight="1">
      <c r="A10" s="306" t="s">
        <v>6</v>
      </c>
      <c r="B10" s="307" t="s">
        <v>2327</v>
      </c>
      <c r="C10" s="307" t="s">
        <v>16</v>
      </c>
      <c r="D10" s="307"/>
      <c r="E10" s="308" t="s">
        <v>2328</v>
      </c>
      <c r="F10" s="616"/>
    </row>
    <row r="11" spans="1:6" ht="75" customHeight="1">
      <c r="A11" s="306" t="s">
        <v>51</v>
      </c>
      <c r="B11" s="307" t="s">
        <v>25</v>
      </c>
      <c r="C11" s="307" t="s">
        <v>17</v>
      </c>
      <c r="D11" s="307"/>
      <c r="E11" s="308" t="s">
        <v>2382</v>
      </c>
      <c r="F11" s="616"/>
    </row>
    <row r="12" spans="1:6" ht="85.15" customHeight="1">
      <c r="A12" s="306" t="s">
        <v>52</v>
      </c>
      <c r="B12" s="307" t="s">
        <v>1896</v>
      </c>
      <c r="C12" s="307" t="s">
        <v>17</v>
      </c>
      <c r="D12" s="307"/>
      <c r="E12" s="308" t="s">
        <v>2382</v>
      </c>
      <c r="F12" s="616"/>
    </row>
    <row r="13" spans="1:6" ht="45" customHeight="1">
      <c r="A13" s="306" t="s">
        <v>55</v>
      </c>
      <c r="B13" s="307" t="s">
        <v>2329</v>
      </c>
      <c r="C13" s="307" t="s">
        <v>19</v>
      </c>
      <c r="D13" s="307"/>
      <c r="E13" s="308" t="s">
        <v>2330</v>
      </c>
      <c r="F13" s="616"/>
    </row>
    <row r="14" spans="1:6" ht="45" customHeight="1">
      <c r="A14" s="306" t="s">
        <v>57</v>
      </c>
      <c r="B14" s="307" t="s">
        <v>2331</v>
      </c>
      <c r="C14" s="307" t="s">
        <v>19</v>
      </c>
      <c r="D14" s="307"/>
      <c r="E14" s="308" t="s">
        <v>2332</v>
      </c>
      <c r="F14" s="616"/>
    </row>
    <row r="15" spans="1:6" ht="45" customHeight="1">
      <c r="A15" s="306" t="s">
        <v>59</v>
      </c>
      <c r="B15" s="307" t="s">
        <v>2490</v>
      </c>
      <c r="C15" s="307" t="s">
        <v>17</v>
      </c>
      <c r="D15" s="307"/>
      <c r="E15" s="308"/>
      <c r="F15" s="616"/>
    </row>
    <row r="16" spans="1:6" ht="45" customHeight="1">
      <c r="A16" s="306" t="s">
        <v>115</v>
      </c>
      <c r="B16" s="307" t="s">
        <v>1988</v>
      </c>
      <c r="C16" s="307" t="s">
        <v>17</v>
      </c>
      <c r="D16" s="307"/>
      <c r="E16" s="308" t="s">
        <v>2491</v>
      </c>
      <c r="F16" s="616"/>
    </row>
    <row r="17" spans="1:6" ht="45" customHeight="1">
      <c r="A17" s="306" t="s">
        <v>116</v>
      </c>
      <c r="B17" s="307" t="s">
        <v>1990</v>
      </c>
      <c r="C17" s="307" t="s">
        <v>17</v>
      </c>
      <c r="D17" s="307"/>
      <c r="E17" s="308" t="s">
        <v>2492</v>
      </c>
      <c r="F17" s="616"/>
    </row>
    <row r="18" spans="1:6" ht="45" customHeight="1">
      <c r="A18" s="306" t="s">
        <v>61</v>
      </c>
      <c r="B18" s="307" t="s">
        <v>2333</v>
      </c>
      <c r="C18" s="307" t="s">
        <v>17</v>
      </c>
      <c r="D18" s="307"/>
      <c r="E18" s="308" t="s">
        <v>2494</v>
      </c>
      <c r="F18" s="616"/>
    </row>
    <row r="19" spans="1:6" ht="45" customHeight="1">
      <c r="A19" s="306" t="s">
        <v>60</v>
      </c>
      <c r="B19" s="307" t="s">
        <v>2334</v>
      </c>
      <c r="C19" s="307" t="s">
        <v>2335</v>
      </c>
      <c r="D19" s="307"/>
      <c r="E19" s="308" t="s">
        <v>2495</v>
      </c>
      <c r="F19" s="616"/>
    </row>
    <row r="20" spans="1:6" ht="45" customHeight="1">
      <c r="A20" s="306" t="s">
        <v>62</v>
      </c>
      <c r="B20" s="307" t="s">
        <v>2336</v>
      </c>
      <c r="C20" s="307" t="s">
        <v>17</v>
      </c>
      <c r="D20" s="307"/>
      <c r="E20" s="308" t="s">
        <v>2496</v>
      </c>
      <c r="F20" s="616"/>
    </row>
    <row r="21" spans="1:6" ht="45" customHeight="1">
      <c r="A21" s="306" t="s">
        <v>1155</v>
      </c>
      <c r="B21" s="307" t="s">
        <v>2337</v>
      </c>
      <c r="C21" s="307" t="s">
        <v>17</v>
      </c>
      <c r="D21" s="307"/>
      <c r="E21" s="308" t="s">
        <v>2496</v>
      </c>
      <c r="F21" s="616"/>
    </row>
    <row r="22" spans="1:6" ht="76.5">
      <c r="A22" s="309" t="s">
        <v>64</v>
      </c>
      <c r="B22" s="602" t="s">
        <v>2909</v>
      </c>
      <c r="C22" s="218" t="s">
        <v>17</v>
      </c>
      <c r="D22" s="218" t="s">
        <v>2903</v>
      </c>
      <c r="E22" s="288" t="s">
        <v>3022</v>
      </c>
      <c r="F22" s="691" t="s">
        <v>2339</v>
      </c>
    </row>
    <row r="23" spans="1:6" ht="25.5">
      <c r="A23" s="309" t="s">
        <v>65</v>
      </c>
      <c r="B23" s="602" t="s">
        <v>2920</v>
      </c>
      <c r="C23" s="218" t="s">
        <v>17</v>
      </c>
      <c r="D23" s="218" t="s">
        <v>2903</v>
      </c>
      <c r="E23" s="288"/>
      <c r="F23" s="616"/>
    </row>
    <row r="24" spans="1:6" ht="45" customHeight="1">
      <c r="A24" s="309" t="s">
        <v>66</v>
      </c>
      <c r="B24" s="602" t="s">
        <v>2999</v>
      </c>
      <c r="C24" s="218" t="s">
        <v>17</v>
      </c>
      <c r="D24" s="218" t="s">
        <v>2904</v>
      </c>
      <c r="E24" s="288" t="s">
        <v>2907</v>
      </c>
      <c r="F24" s="691" t="s">
        <v>2339</v>
      </c>
    </row>
    <row r="25" spans="1:6" ht="38.25">
      <c r="A25" s="309" t="s">
        <v>67</v>
      </c>
      <c r="B25" s="602" t="s">
        <v>3000</v>
      </c>
      <c r="C25" s="218" t="s">
        <v>17</v>
      </c>
      <c r="D25" s="218" t="s">
        <v>2905</v>
      </c>
      <c r="E25" s="288" t="s">
        <v>3023</v>
      </c>
      <c r="F25" s="691" t="s">
        <v>2339</v>
      </c>
    </row>
    <row r="26" spans="1:6" ht="38.25">
      <c r="A26" s="309" t="s">
        <v>1156</v>
      </c>
      <c r="B26" s="218" t="s">
        <v>2966</v>
      </c>
      <c r="C26" s="218" t="s">
        <v>17</v>
      </c>
      <c r="D26" s="218" t="s">
        <v>2903</v>
      </c>
      <c r="E26" s="288" t="s">
        <v>3024</v>
      </c>
      <c r="F26" s="616"/>
    </row>
    <row r="27" spans="1:6" ht="25.5">
      <c r="A27" s="309" t="s">
        <v>68</v>
      </c>
      <c r="B27" s="218" t="s">
        <v>2967</v>
      </c>
      <c r="C27" s="218" t="s">
        <v>17</v>
      </c>
      <c r="D27" s="218" t="s">
        <v>2903</v>
      </c>
      <c r="E27" s="288" t="s">
        <v>3025</v>
      </c>
      <c r="F27" s="616"/>
    </row>
    <row r="28" spans="1:6" ht="38.25">
      <c r="A28" s="309" t="s">
        <v>69</v>
      </c>
      <c r="B28" s="218" t="s">
        <v>2968</v>
      </c>
      <c r="C28" s="218" t="s">
        <v>17</v>
      </c>
      <c r="D28" s="218" t="s">
        <v>2903</v>
      </c>
      <c r="E28" s="288" t="s">
        <v>3026</v>
      </c>
      <c r="F28" s="616"/>
    </row>
    <row r="29" spans="1:6" ht="25.5">
      <c r="A29" s="309" t="s">
        <v>70</v>
      </c>
      <c r="B29" s="218" t="s">
        <v>2969</v>
      </c>
      <c r="C29" s="218" t="s">
        <v>17</v>
      </c>
      <c r="D29" s="218" t="s">
        <v>2903</v>
      </c>
      <c r="E29" s="288" t="s">
        <v>3027</v>
      </c>
      <c r="F29" s="616"/>
    </row>
    <row r="30" spans="1:6" ht="25.5">
      <c r="A30" s="309" t="s">
        <v>71</v>
      </c>
      <c r="B30" s="218" t="s">
        <v>2910</v>
      </c>
      <c r="C30" s="218" t="s">
        <v>17</v>
      </c>
      <c r="D30" s="218" t="s">
        <v>2906</v>
      </c>
      <c r="E30" s="288" t="s">
        <v>3028</v>
      </c>
      <c r="F30" s="616"/>
    </row>
    <row r="31" spans="1:6" ht="38.25">
      <c r="A31" s="309" t="s">
        <v>1290</v>
      </c>
      <c r="B31" s="218" t="s">
        <v>2919</v>
      </c>
      <c r="C31" s="218" t="s">
        <v>17</v>
      </c>
      <c r="D31" s="218" t="s">
        <v>2903</v>
      </c>
      <c r="E31" s="288" t="s">
        <v>3029</v>
      </c>
      <c r="F31" s="617"/>
    </row>
    <row r="32" spans="1:6" ht="89.25">
      <c r="A32" s="309" t="s">
        <v>1291</v>
      </c>
      <c r="B32" s="218" t="s">
        <v>2970</v>
      </c>
      <c r="C32" s="218" t="s">
        <v>17</v>
      </c>
      <c r="D32" s="218"/>
      <c r="E32" s="288" t="s">
        <v>3030</v>
      </c>
      <c r="F32" s="691" t="s">
        <v>2339</v>
      </c>
    </row>
    <row r="33" spans="1:6" ht="45" customHeight="1">
      <c r="A33" s="309" t="s">
        <v>1292</v>
      </c>
      <c r="B33" s="287" t="s">
        <v>2921</v>
      </c>
      <c r="C33" s="218" t="s">
        <v>18</v>
      </c>
      <c r="D33" s="218"/>
      <c r="E33" s="288"/>
      <c r="F33" s="616"/>
    </row>
    <row r="34" spans="1:6" ht="76.5">
      <c r="A34" s="313" t="s">
        <v>1293</v>
      </c>
      <c r="B34" s="230" t="s">
        <v>2971</v>
      </c>
      <c r="C34" s="230" t="s">
        <v>17</v>
      </c>
      <c r="D34" s="230" t="s">
        <v>2903</v>
      </c>
      <c r="E34" s="314" t="s">
        <v>3032</v>
      </c>
      <c r="F34" s="692" t="s">
        <v>2344</v>
      </c>
    </row>
    <row r="35" spans="1:6" ht="25.5">
      <c r="A35" s="313" t="s">
        <v>1294</v>
      </c>
      <c r="B35" s="230" t="s">
        <v>2972</v>
      </c>
      <c r="C35" s="230" t="s">
        <v>17</v>
      </c>
      <c r="D35" s="230" t="s">
        <v>2903</v>
      </c>
      <c r="E35" s="314" t="s">
        <v>3031</v>
      </c>
      <c r="F35" s="616"/>
    </row>
    <row r="36" spans="1:6" ht="38.25">
      <c r="A36" s="313" t="s">
        <v>1295</v>
      </c>
      <c r="B36" s="230" t="s">
        <v>2973</v>
      </c>
      <c r="C36" s="230" t="s">
        <v>17</v>
      </c>
      <c r="D36" s="230" t="s">
        <v>2903</v>
      </c>
      <c r="E36" s="314" t="s">
        <v>3033</v>
      </c>
      <c r="F36" s="616"/>
    </row>
    <row r="37" spans="1:6" ht="25.5">
      <c r="A37" s="313" t="s">
        <v>1296</v>
      </c>
      <c r="B37" s="230" t="s">
        <v>2974</v>
      </c>
      <c r="C37" s="230" t="s">
        <v>56</v>
      </c>
      <c r="D37" s="230" t="s">
        <v>2903</v>
      </c>
      <c r="E37" s="314" t="s">
        <v>3034</v>
      </c>
      <c r="F37" s="616"/>
    </row>
    <row r="38" spans="1:6" ht="33" customHeight="1">
      <c r="A38" s="313" t="s">
        <v>1297</v>
      </c>
      <c r="B38" s="230" t="s">
        <v>2975</v>
      </c>
      <c r="C38" s="230" t="s">
        <v>17</v>
      </c>
      <c r="D38" s="230" t="s">
        <v>2903</v>
      </c>
      <c r="E38" s="314" t="s">
        <v>3035</v>
      </c>
      <c r="F38" s="616"/>
    </row>
    <row r="39" spans="1:6" ht="33" customHeight="1">
      <c r="A39" s="313" t="s">
        <v>1298</v>
      </c>
      <c r="B39" s="230" t="s">
        <v>2976</v>
      </c>
      <c r="C39" s="230" t="s">
        <v>56</v>
      </c>
      <c r="D39" s="230" t="s">
        <v>2903</v>
      </c>
      <c r="E39" s="314" t="s">
        <v>3036</v>
      </c>
      <c r="F39" s="616"/>
    </row>
    <row r="40" spans="1:6" ht="33" customHeight="1">
      <c r="A40" s="313" t="s">
        <v>1299</v>
      </c>
      <c r="B40" s="230" t="s">
        <v>2977</v>
      </c>
      <c r="C40" s="230" t="s">
        <v>56</v>
      </c>
      <c r="D40" s="230" t="s">
        <v>2903</v>
      </c>
      <c r="E40" s="314" t="s">
        <v>3037</v>
      </c>
      <c r="F40" s="616"/>
    </row>
    <row r="41" spans="1:6" ht="33" customHeight="1">
      <c r="A41" s="313" t="s">
        <v>1987</v>
      </c>
      <c r="B41" s="230" t="s">
        <v>2978</v>
      </c>
      <c r="C41" s="230" t="s">
        <v>56</v>
      </c>
      <c r="D41" s="230" t="s">
        <v>2903</v>
      </c>
      <c r="E41" s="314" t="s">
        <v>3038</v>
      </c>
      <c r="F41" s="616"/>
    </row>
    <row r="42" spans="1:6" ht="33" customHeight="1">
      <c r="A42" s="313" t="s">
        <v>1989</v>
      </c>
      <c r="B42" s="230" t="s">
        <v>2979</v>
      </c>
      <c r="C42" s="230" t="s">
        <v>56</v>
      </c>
      <c r="D42" s="230" t="s">
        <v>2903</v>
      </c>
      <c r="E42" s="314" t="s">
        <v>3039</v>
      </c>
      <c r="F42" s="616"/>
    </row>
    <row r="43" spans="1:6" ht="51">
      <c r="A43" s="313" t="s">
        <v>2235</v>
      </c>
      <c r="B43" s="230" t="s">
        <v>2980</v>
      </c>
      <c r="C43" s="315" t="s">
        <v>17</v>
      </c>
      <c r="D43" s="230" t="s">
        <v>2903</v>
      </c>
      <c r="E43" s="314" t="s">
        <v>3040</v>
      </c>
      <c r="F43" s="692" t="s">
        <v>2344</v>
      </c>
    </row>
    <row r="44" spans="1:6" ht="51">
      <c r="A44" s="313" t="s">
        <v>2345</v>
      </c>
      <c r="B44" s="230" t="s">
        <v>2981</v>
      </c>
      <c r="C44" s="230" t="s">
        <v>17</v>
      </c>
      <c r="D44" s="230" t="s">
        <v>2903</v>
      </c>
      <c r="E44" s="314" t="s">
        <v>3041</v>
      </c>
      <c r="F44" s="616"/>
    </row>
    <row r="45" spans="1:6" ht="43.5" customHeight="1">
      <c r="A45" s="313" t="s">
        <v>2346</v>
      </c>
      <c r="B45" s="604" t="s">
        <v>2908</v>
      </c>
      <c r="C45" s="230" t="s">
        <v>17</v>
      </c>
      <c r="D45" s="230" t="s">
        <v>2903</v>
      </c>
      <c r="E45" s="314" t="s">
        <v>3042</v>
      </c>
      <c r="F45" s="692" t="s">
        <v>2344</v>
      </c>
    </row>
    <row r="46" spans="1:6" ht="38.25">
      <c r="A46" s="313" t="s">
        <v>2347</v>
      </c>
      <c r="B46" s="230" t="s">
        <v>2982</v>
      </c>
      <c r="C46" s="317" t="s">
        <v>2335</v>
      </c>
      <c r="D46" s="230" t="s">
        <v>2903</v>
      </c>
      <c r="E46" s="314" t="s">
        <v>3043</v>
      </c>
      <c r="F46" s="616"/>
    </row>
    <row r="47" spans="1:6" ht="25.5">
      <c r="A47" s="313" t="s">
        <v>2348</v>
      </c>
      <c r="B47" s="317" t="s">
        <v>2922</v>
      </c>
      <c r="C47" s="317" t="s">
        <v>18</v>
      </c>
      <c r="D47" s="317"/>
      <c r="E47" s="314"/>
      <c r="F47" s="616"/>
    </row>
    <row r="48" spans="1:6" ht="45" customHeight="1">
      <c r="A48" s="318" t="s">
        <v>2350</v>
      </c>
      <c r="B48" s="319" t="s">
        <v>2983</v>
      </c>
      <c r="C48" s="319" t="s">
        <v>17</v>
      </c>
      <c r="D48" s="290" t="s">
        <v>2903</v>
      </c>
      <c r="E48" s="321" t="s">
        <v>3044</v>
      </c>
      <c r="F48" s="714" t="s">
        <v>2364</v>
      </c>
    </row>
    <row r="49" spans="1:6" ht="45" customHeight="1">
      <c r="A49" s="318" t="s">
        <v>2351</v>
      </c>
      <c r="B49" s="319" t="s">
        <v>2984</v>
      </c>
      <c r="C49" s="319" t="s">
        <v>17</v>
      </c>
      <c r="D49" s="290" t="s">
        <v>2903</v>
      </c>
      <c r="E49" s="321" t="s">
        <v>3045</v>
      </c>
      <c r="F49" s="714" t="s">
        <v>2364</v>
      </c>
    </row>
    <row r="50" spans="1:6" ht="45" customHeight="1">
      <c r="A50" s="318" t="s">
        <v>2352</v>
      </c>
      <c r="B50" s="319" t="s">
        <v>2985</v>
      </c>
      <c r="C50" s="319" t="s">
        <v>17</v>
      </c>
      <c r="D50" s="290" t="s">
        <v>2903</v>
      </c>
      <c r="E50" s="321" t="s">
        <v>3046</v>
      </c>
      <c r="F50" s="714" t="s">
        <v>2364</v>
      </c>
    </row>
    <row r="51" spans="1:6" ht="45" customHeight="1">
      <c r="A51" s="318" t="s">
        <v>2353</v>
      </c>
      <c r="B51" s="319" t="s">
        <v>2986</v>
      </c>
      <c r="C51" s="319" t="s">
        <v>17</v>
      </c>
      <c r="D51" s="290" t="s">
        <v>2903</v>
      </c>
      <c r="E51" s="321" t="s">
        <v>3047</v>
      </c>
      <c r="F51" s="714" t="s">
        <v>2364</v>
      </c>
    </row>
    <row r="52" spans="1:6" ht="45" customHeight="1">
      <c r="A52" s="318" t="s">
        <v>2354</v>
      </c>
      <c r="B52" s="319" t="s">
        <v>2987</v>
      </c>
      <c r="C52" s="319" t="s">
        <v>17</v>
      </c>
      <c r="D52" s="290" t="s">
        <v>2903</v>
      </c>
      <c r="E52" s="321" t="s">
        <v>3048</v>
      </c>
      <c r="F52" s="714" t="s">
        <v>2364</v>
      </c>
    </row>
    <row r="53" spans="1:6" ht="45" customHeight="1">
      <c r="A53" s="318" t="s">
        <v>2355</v>
      </c>
      <c r="B53" s="319" t="s">
        <v>2988</v>
      </c>
      <c r="C53" s="320" t="s">
        <v>17</v>
      </c>
      <c r="D53" s="290" t="s">
        <v>2903</v>
      </c>
      <c r="E53" s="321" t="s">
        <v>3049</v>
      </c>
      <c r="F53" s="714" t="s">
        <v>2364</v>
      </c>
    </row>
    <row r="54" spans="1:6" ht="25.5">
      <c r="A54" s="318" t="s">
        <v>2356</v>
      </c>
      <c r="B54" s="603" t="s">
        <v>2989</v>
      </c>
      <c r="C54" s="320" t="s">
        <v>56</v>
      </c>
      <c r="D54" s="290" t="s">
        <v>2903</v>
      </c>
      <c r="E54" s="321" t="s">
        <v>3050</v>
      </c>
      <c r="F54" s="616"/>
    </row>
    <row r="55" spans="1:6" ht="45" customHeight="1">
      <c r="A55" s="318" t="s">
        <v>2357</v>
      </c>
      <c r="B55" s="319" t="s">
        <v>2995</v>
      </c>
      <c r="C55" s="320" t="s">
        <v>56</v>
      </c>
      <c r="D55" s="290" t="s">
        <v>2906</v>
      </c>
      <c r="E55" s="321" t="s">
        <v>3051</v>
      </c>
      <c r="F55" s="616"/>
    </row>
    <row r="56" spans="1:6" ht="45" customHeight="1">
      <c r="A56" s="318" t="s">
        <v>2358</v>
      </c>
      <c r="B56" s="319" t="s">
        <v>3052</v>
      </c>
      <c r="C56" s="320" t="s">
        <v>56</v>
      </c>
      <c r="D56" s="290" t="s">
        <v>2906</v>
      </c>
      <c r="E56" s="321" t="s">
        <v>2911</v>
      </c>
      <c r="F56" s="616"/>
    </row>
    <row r="57" spans="1:6" ht="45" customHeight="1">
      <c r="A57" s="318" t="s">
        <v>2359</v>
      </c>
      <c r="B57" s="319" t="s">
        <v>2990</v>
      </c>
      <c r="C57" s="320" t="s">
        <v>56</v>
      </c>
      <c r="D57" s="290" t="s">
        <v>2903</v>
      </c>
      <c r="E57" s="321" t="s">
        <v>2991</v>
      </c>
      <c r="F57" s="616"/>
    </row>
    <row r="58" spans="1:6" ht="45" customHeight="1">
      <c r="A58" s="318" t="s">
        <v>2360</v>
      </c>
      <c r="B58" s="322" t="s">
        <v>2923</v>
      </c>
      <c r="C58" s="322" t="s">
        <v>18</v>
      </c>
      <c r="D58" s="322"/>
      <c r="E58" s="323"/>
      <c r="F58" s="618"/>
    </row>
    <row r="59" spans="1:6" ht="45" customHeight="1">
      <c r="A59" s="607" t="s">
        <v>2361</v>
      </c>
      <c r="B59" s="606" t="s">
        <v>2992</v>
      </c>
      <c r="C59" s="606" t="s">
        <v>56</v>
      </c>
      <c r="D59" s="606" t="s">
        <v>2903</v>
      </c>
      <c r="E59" s="605" t="s">
        <v>2913</v>
      </c>
      <c r="F59" s="618"/>
    </row>
    <row r="60" spans="1:6" ht="45" customHeight="1">
      <c r="A60" s="607" t="s">
        <v>2365</v>
      </c>
      <c r="B60" s="606" t="s">
        <v>2993</v>
      </c>
      <c r="C60" s="606" t="s">
        <v>56</v>
      </c>
      <c r="D60" s="606" t="s">
        <v>2903</v>
      </c>
      <c r="E60" s="605" t="s">
        <v>2913</v>
      </c>
      <c r="F60" s="618"/>
    </row>
    <row r="61" spans="1:6" ht="45" customHeight="1">
      <c r="A61" s="607" t="s">
        <v>2366</v>
      </c>
      <c r="B61" s="606" t="s">
        <v>2994</v>
      </c>
      <c r="C61" s="606" t="s">
        <v>17</v>
      </c>
      <c r="D61" s="606" t="s">
        <v>2903</v>
      </c>
      <c r="E61" s="605" t="s">
        <v>2913</v>
      </c>
      <c r="F61" s="618"/>
    </row>
    <row r="62" spans="1:6" ht="45" customHeight="1">
      <c r="A62" s="607" t="s">
        <v>2368</v>
      </c>
      <c r="B62" s="606" t="s">
        <v>2912</v>
      </c>
      <c r="C62" s="606" t="s">
        <v>56</v>
      </c>
      <c r="D62" s="606" t="s">
        <v>2903</v>
      </c>
      <c r="E62" s="605" t="s">
        <v>2913</v>
      </c>
      <c r="F62" s="618"/>
    </row>
    <row r="63" spans="1:6" ht="45" customHeight="1">
      <c r="A63" s="609" t="s">
        <v>2370</v>
      </c>
      <c r="B63" s="610" t="s">
        <v>2914</v>
      </c>
      <c r="C63" s="610" t="s">
        <v>56</v>
      </c>
      <c r="D63" s="610" t="s">
        <v>2903</v>
      </c>
      <c r="E63" s="611" t="s">
        <v>2918</v>
      </c>
      <c r="F63" s="618"/>
    </row>
    <row r="64" spans="1:6" ht="45" customHeight="1">
      <c r="A64" s="608" t="s">
        <v>2371</v>
      </c>
      <c r="B64" s="614" t="s">
        <v>2915</v>
      </c>
      <c r="C64" s="614" t="s">
        <v>2335</v>
      </c>
      <c r="D64" s="614" t="s">
        <v>2903</v>
      </c>
      <c r="E64" s="612"/>
      <c r="F64" s="618"/>
    </row>
    <row r="65" spans="1:6" ht="45" customHeight="1">
      <c r="A65" s="608" t="s">
        <v>2372</v>
      </c>
      <c r="B65" s="614" t="s">
        <v>2916</v>
      </c>
      <c r="C65" s="614" t="s">
        <v>18</v>
      </c>
      <c r="D65" s="614" t="s">
        <v>2903</v>
      </c>
      <c r="E65" s="613"/>
      <c r="F65" s="618"/>
    </row>
    <row r="66" spans="1:6" ht="45" customHeight="1">
      <c r="A66" s="608" t="s">
        <v>2472</v>
      </c>
      <c r="B66" s="614" t="s">
        <v>2917</v>
      </c>
      <c r="C66" s="614" t="s">
        <v>18</v>
      </c>
      <c r="D66" s="614" t="s">
        <v>2903</v>
      </c>
      <c r="E66" s="613"/>
      <c r="F66" s="618"/>
    </row>
    <row r="69" spans="1:6" ht="45" customHeight="1">
      <c r="B69" s="324" t="s">
        <v>1626</v>
      </c>
    </row>
  </sheetData>
  <autoFilter ref="A2:F58" xr:uid="{00000000-0009-0000-0000-000004000000}"/>
  <mergeCells count="1">
    <mergeCell ref="A1:E1"/>
  </mergeCells>
  <pageMargins left="0.25" right="0.25" top="0" bottom="0" header="0.3" footer="0.3"/>
  <pageSetup scale="60" orientation="portrait" r:id="rId1"/>
  <rowBreaks count="3" manualBreakCount="3">
    <brk id="24" max="5" man="1"/>
    <brk id="42" max="5" man="1"/>
    <brk id="64"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74"/>
  <sheetViews>
    <sheetView topLeftCell="A14" zoomScale="110" zoomScaleNormal="110" zoomScaleSheetLayoutView="91" workbookViewId="0">
      <selection activeCell="C19" sqref="C19"/>
    </sheetView>
  </sheetViews>
  <sheetFormatPr defaultColWidth="8" defaultRowHeight="45" customHeight="1"/>
  <cols>
    <col min="1" max="1" width="6.125" style="302" customWidth="1"/>
    <col min="2" max="2" width="40.25" style="332" customWidth="1"/>
    <col min="3" max="3" width="11.625" style="325" customWidth="1"/>
    <col min="4" max="4" width="16.625" style="325" hidden="1" customWidth="1"/>
    <col min="5" max="5" width="13.25" style="325" bestFit="1" customWidth="1"/>
    <col min="6" max="6" width="65.25" style="331" customWidth="1"/>
    <col min="7" max="7" width="21.125" style="211" customWidth="1"/>
    <col min="8" max="8" width="20.875" style="211" customWidth="1"/>
    <col min="9" max="9" width="57.375" style="210" bestFit="1" customWidth="1"/>
    <col min="10" max="16384" width="8" style="326"/>
  </cols>
  <sheetData>
    <row r="1" spans="1:9" ht="45" customHeight="1">
      <c r="A1" s="987"/>
      <c r="B1" s="987"/>
      <c r="C1" s="987"/>
      <c r="D1" s="987"/>
      <c r="E1" s="987"/>
      <c r="F1" s="987"/>
      <c r="G1" s="209" t="s">
        <v>46</v>
      </c>
      <c r="H1" s="209" t="s">
        <v>46</v>
      </c>
    </row>
    <row r="2" spans="1:9" s="327" customFormat="1" ht="56.25" customHeight="1">
      <c r="A2" s="303" t="s">
        <v>47</v>
      </c>
      <c r="B2" s="278" t="s">
        <v>2313</v>
      </c>
      <c r="C2" s="304" t="s">
        <v>2314</v>
      </c>
      <c r="D2" s="304" t="s">
        <v>2315</v>
      </c>
      <c r="E2" s="304" t="s">
        <v>2316</v>
      </c>
      <c r="F2" s="304" t="s">
        <v>48</v>
      </c>
      <c r="G2" s="212" t="s">
        <v>49</v>
      </c>
      <c r="H2" s="213" t="s">
        <v>50</v>
      </c>
      <c r="I2" s="214" t="s">
        <v>2390</v>
      </c>
    </row>
    <row r="3" spans="1:9" ht="36" customHeight="1">
      <c r="A3" s="306" t="s">
        <v>0</v>
      </c>
      <c r="B3" s="277" t="s">
        <v>2392</v>
      </c>
      <c r="C3" s="307" t="s">
        <v>16</v>
      </c>
      <c r="D3" s="307"/>
      <c r="E3" s="307" t="s">
        <v>2318</v>
      </c>
      <c r="F3" s="275" t="s">
        <v>2392</v>
      </c>
      <c r="G3" s="215"/>
      <c r="H3" s="216"/>
      <c r="I3" s="217"/>
    </row>
    <row r="4" spans="1:9" ht="36" customHeight="1">
      <c r="A4" s="306" t="s">
        <v>1</v>
      </c>
      <c r="B4" s="277" t="s">
        <v>2393</v>
      </c>
      <c r="C4" s="307" t="s">
        <v>16</v>
      </c>
      <c r="D4" s="307"/>
      <c r="E4" s="307" t="s">
        <v>2318</v>
      </c>
      <c r="F4" s="275" t="s">
        <v>2476</v>
      </c>
      <c r="G4" s="215"/>
      <c r="H4" s="216"/>
      <c r="I4" s="217"/>
    </row>
    <row r="5" spans="1:9" ht="36" customHeight="1">
      <c r="A5" s="306" t="s">
        <v>2</v>
      </c>
      <c r="B5" s="277" t="s">
        <v>2394</v>
      </c>
      <c r="C5" s="307" t="s">
        <v>16</v>
      </c>
      <c r="D5" s="307"/>
      <c r="E5" s="307" t="s">
        <v>2318</v>
      </c>
      <c r="F5" s="275" t="s">
        <v>2394</v>
      </c>
      <c r="G5" s="215"/>
      <c r="H5" s="216"/>
      <c r="I5" s="217"/>
    </row>
    <row r="6" spans="1:9" ht="36" customHeight="1">
      <c r="A6" s="306" t="s">
        <v>3</v>
      </c>
      <c r="B6" s="277" t="s">
        <v>2395</v>
      </c>
      <c r="C6" s="307" t="s">
        <v>18</v>
      </c>
      <c r="D6" s="307"/>
      <c r="E6" s="307" t="s">
        <v>2318</v>
      </c>
      <c r="F6" s="275" t="s">
        <v>2475</v>
      </c>
      <c r="G6" s="215"/>
      <c r="H6" s="216"/>
      <c r="I6" s="217"/>
    </row>
    <row r="7" spans="1:9" ht="36" customHeight="1">
      <c r="A7" s="306" t="s">
        <v>4</v>
      </c>
      <c r="B7" s="277" t="s">
        <v>2396</v>
      </c>
      <c r="C7" s="307" t="s">
        <v>16</v>
      </c>
      <c r="D7" s="307"/>
      <c r="E7" s="307" t="s">
        <v>2318</v>
      </c>
      <c r="F7" s="275" t="s">
        <v>2396</v>
      </c>
      <c r="G7" s="215"/>
      <c r="H7" s="216"/>
      <c r="I7" s="217"/>
    </row>
    <row r="8" spans="1:9" ht="36" customHeight="1">
      <c r="A8" s="306" t="s">
        <v>1154</v>
      </c>
      <c r="B8" s="277" t="s">
        <v>2397</v>
      </c>
      <c r="C8" s="307" t="s">
        <v>16</v>
      </c>
      <c r="D8" s="307"/>
      <c r="E8" s="307" t="s">
        <v>2318</v>
      </c>
      <c r="F8" s="275" t="s">
        <v>2397</v>
      </c>
      <c r="G8" s="215"/>
      <c r="H8" s="216"/>
      <c r="I8" s="217"/>
    </row>
    <row r="9" spans="1:9" ht="45" customHeight="1">
      <c r="A9" s="306" t="s">
        <v>5</v>
      </c>
      <c r="B9" s="277" t="s">
        <v>2398</v>
      </c>
      <c r="C9" s="307" t="s">
        <v>2468</v>
      </c>
      <c r="D9" s="307"/>
      <c r="E9" s="307" t="s">
        <v>2318</v>
      </c>
      <c r="F9" s="275" t="s">
        <v>2398</v>
      </c>
      <c r="G9" s="215"/>
      <c r="H9" s="216"/>
      <c r="I9" s="217"/>
    </row>
    <row r="10" spans="1:9" ht="45" customHeight="1">
      <c r="A10" s="306" t="s">
        <v>6</v>
      </c>
      <c r="B10" s="277" t="s">
        <v>2399</v>
      </c>
      <c r="C10" s="307" t="s">
        <v>16</v>
      </c>
      <c r="D10" s="307"/>
      <c r="E10" s="307" t="s">
        <v>2318</v>
      </c>
      <c r="F10" s="275" t="s">
        <v>2399</v>
      </c>
      <c r="G10" s="215"/>
      <c r="H10" s="216"/>
      <c r="I10" s="217"/>
    </row>
    <row r="11" spans="1:9" ht="37.5" customHeight="1">
      <c r="A11" s="306" t="s">
        <v>51</v>
      </c>
      <c r="B11" s="277" t="s">
        <v>2441</v>
      </c>
      <c r="C11" s="307" t="s">
        <v>17</v>
      </c>
      <c r="D11" s="307"/>
      <c r="E11" s="307" t="s">
        <v>2318</v>
      </c>
      <c r="F11" s="275" t="s">
        <v>2477</v>
      </c>
      <c r="G11" s="215"/>
      <c r="H11" s="216"/>
      <c r="I11" s="217"/>
    </row>
    <row r="12" spans="1:9" ht="37.5" customHeight="1">
      <c r="A12" s="306" t="s">
        <v>52</v>
      </c>
      <c r="B12" s="277" t="s">
        <v>2440</v>
      </c>
      <c r="C12" s="307" t="s">
        <v>17</v>
      </c>
      <c r="D12" s="307"/>
      <c r="E12" s="307" t="s">
        <v>2318</v>
      </c>
      <c r="F12" s="275" t="s">
        <v>2478</v>
      </c>
      <c r="G12" s="215"/>
      <c r="H12" s="216"/>
      <c r="I12" s="217"/>
    </row>
    <row r="13" spans="1:9" ht="37.5" customHeight="1">
      <c r="A13" s="306" t="s">
        <v>55</v>
      </c>
      <c r="B13" s="277" t="s">
        <v>2400</v>
      </c>
      <c r="C13" s="307" t="s">
        <v>19</v>
      </c>
      <c r="D13" s="307"/>
      <c r="E13" s="307" t="s">
        <v>2318</v>
      </c>
      <c r="F13" s="275" t="s">
        <v>2400</v>
      </c>
      <c r="G13" s="215"/>
      <c r="H13" s="216"/>
      <c r="I13" s="217"/>
    </row>
    <row r="14" spans="1:9" ht="37.5" customHeight="1">
      <c r="A14" s="306" t="s">
        <v>57</v>
      </c>
      <c r="B14" s="277" t="s">
        <v>2401</v>
      </c>
      <c r="C14" s="307" t="s">
        <v>19</v>
      </c>
      <c r="D14" s="307"/>
      <c r="E14" s="307" t="s">
        <v>2318</v>
      </c>
      <c r="F14" s="275" t="s">
        <v>2401</v>
      </c>
      <c r="G14" s="215"/>
      <c r="H14" s="216"/>
      <c r="I14" s="217"/>
    </row>
    <row r="15" spans="1:9" ht="45" customHeight="1">
      <c r="A15" s="306" t="s">
        <v>59</v>
      </c>
      <c r="B15" s="277" t="s">
        <v>2503</v>
      </c>
      <c r="C15" s="307" t="s">
        <v>17</v>
      </c>
      <c r="D15" s="307"/>
      <c r="E15" s="307" t="s">
        <v>2466</v>
      </c>
      <c r="F15" s="275" t="s">
        <v>2503</v>
      </c>
      <c r="G15" s="215"/>
      <c r="H15" s="216"/>
      <c r="I15" s="217"/>
    </row>
    <row r="16" spans="1:9" ht="45" customHeight="1">
      <c r="A16" s="306" t="s">
        <v>115</v>
      </c>
      <c r="B16" s="277" t="s">
        <v>1991</v>
      </c>
      <c r="C16" s="307" t="s">
        <v>17</v>
      </c>
      <c r="D16" s="307"/>
      <c r="E16" s="307" t="s">
        <v>298</v>
      </c>
      <c r="F16" s="275" t="s">
        <v>2402</v>
      </c>
      <c r="G16" s="215"/>
      <c r="H16" s="216"/>
      <c r="I16" s="217"/>
    </row>
    <row r="17" spans="1:9" ht="45" customHeight="1">
      <c r="A17" s="306" t="s">
        <v>116</v>
      </c>
      <c r="B17" s="277" t="s">
        <v>2403</v>
      </c>
      <c r="C17" s="307" t="s">
        <v>17</v>
      </c>
      <c r="D17" s="307"/>
      <c r="E17" s="307" t="s">
        <v>298</v>
      </c>
      <c r="F17" s="275" t="s">
        <v>2404</v>
      </c>
      <c r="G17" s="215"/>
      <c r="H17" s="216"/>
      <c r="I17" s="217"/>
    </row>
    <row r="18" spans="1:9" ht="40.5">
      <c r="A18" s="306" t="s">
        <v>61</v>
      </c>
      <c r="B18" s="277" t="s">
        <v>2405</v>
      </c>
      <c r="C18" s="307" t="s">
        <v>17</v>
      </c>
      <c r="D18" s="307" t="s">
        <v>2493</v>
      </c>
      <c r="E18" s="307" t="s">
        <v>2318</v>
      </c>
      <c r="F18" s="275" t="s">
        <v>2406</v>
      </c>
      <c r="G18" s="215"/>
      <c r="H18" s="216"/>
      <c r="I18" s="217"/>
    </row>
    <row r="19" spans="1:9" ht="45" customHeight="1">
      <c r="A19" s="306" t="s">
        <v>60</v>
      </c>
      <c r="B19" s="277" t="s">
        <v>2407</v>
      </c>
      <c r="C19" s="307" t="s">
        <v>2335</v>
      </c>
      <c r="D19" s="307"/>
      <c r="E19" s="307" t="s">
        <v>2318</v>
      </c>
      <c r="F19" s="275" t="s">
        <v>2479</v>
      </c>
      <c r="G19" s="215"/>
      <c r="H19" s="216"/>
      <c r="I19" s="217"/>
    </row>
    <row r="20" spans="1:9" ht="36" customHeight="1">
      <c r="A20" s="306" t="s">
        <v>62</v>
      </c>
      <c r="B20" s="277" t="s">
        <v>2408</v>
      </c>
      <c r="C20" s="307" t="s">
        <v>17</v>
      </c>
      <c r="D20" s="307"/>
      <c r="E20" s="307" t="s">
        <v>2318</v>
      </c>
      <c r="F20" s="275" t="s">
        <v>2481</v>
      </c>
      <c r="G20" s="215"/>
      <c r="H20" s="216"/>
      <c r="I20" s="217"/>
    </row>
    <row r="21" spans="1:9" ht="35.25" customHeight="1">
      <c r="A21" s="306" t="s">
        <v>1155</v>
      </c>
      <c r="B21" s="277" t="s">
        <v>2409</v>
      </c>
      <c r="C21" s="307" t="s">
        <v>17</v>
      </c>
      <c r="D21" s="307"/>
      <c r="E21" s="307" t="s">
        <v>2318</v>
      </c>
      <c r="F21" s="275" t="s">
        <v>2480</v>
      </c>
      <c r="G21" s="215"/>
      <c r="H21" s="216"/>
      <c r="I21" s="217"/>
    </row>
    <row r="22" spans="1:9" ht="52.5" customHeight="1">
      <c r="A22" s="309" t="s">
        <v>64</v>
      </c>
      <c r="B22" s="267" t="s">
        <v>2469</v>
      </c>
      <c r="C22" s="218" t="s">
        <v>17</v>
      </c>
      <c r="D22" s="218"/>
      <c r="E22" s="218" t="s">
        <v>2318</v>
      </c>
      <c r="F22" s="265" t="s">
        <v>2482</v>
      </c>
      <c r="G22" s="219" t="s">
        <v>58</v>
      </c>
      <c r="H22" s="220" t="s">
        <v>58</v>
      </c>
      <c r="I22" s="221" t="s">
        <v>2339</v>
      </c>
    </row>
    <row r="23" spans="1:9" ht="45" customHeight="1">
      <c r="A23" s="309" t="s">
        <v>65</v>
      </c>
      <c r="B23" s="267" t="s">
        <v>2446</v>
      </c>
      <c r="C23" s="218" t="s">
        <v>17</v>
      </c>
      <c r="D23" s="218"/>
      <c r="E23" s="218" t="s">
        <v>2318</v>
      </c>
      <c r="F23" s="265" t="s">
        <v>2446</v>
      </c>
      <c r="G23" s="215"/>
      <c r="H23" s="216"/>
      <c r="I23" s="217"/>
    </row>
    <row r="24" spans="1:9" ht="45" customHeight="1">
      <c r="A24" s="309" t="s">
        <v>66</v>
      </c>
      <c r="B24" s="267" t="s">
        <v>2447</v>
      </c>
      <c r="C24" s="218" t="s">
        <v>17</v>
      </c>
      <c r="D24" s="218"/>
      <c r="E24" s="218" t="s">
        <v>2318</v>
      </c>
      <c r="F24" s="268" t="s">
        <v>2448</v>
      </c>
      <c r="G24" s="215"/>
      <c r="H24" s="216"/>
      <c r="I24" s="217"/>
    </row>
    <row r="25" spans="1:9" ht="60.75">
      <c r="A25" s="309" t="s">
        <v>67</v>
      </c>
      <c r="B25" s="269" t="s">
        <v>2504</v>
      </c>
      <c r="C25" s="222" t="s">
        <v>17</v>
      </c>
      <c r="D25" s="218"/>
      <c r="E25" s="222" t="s">
        <v>2318</v>
      </c>
      <c r="F25" s="266" t="s">
        <v>2470</v>
      </c>
      <c r="G25" s="219" t="s">
        <v>58</v>
      </c>
      <c r="H25" s="220" t="s">
        <v>58</v>
      </c>
      <c r="I25" s="221" t="s">
        <v>2339</v>
      </c>
    </row>
    <row r="26" spans="1:9" ht="54" customHeight="1">
      <c r="A26" s="309" t="s">
        <v>69</v>
      </c>
      <c r="B26" s="267" t="s">
        <v>2471</v>
      </c>
      <c r="C26" s="222" t="s">
        <v>17</v>
      </c>
      <c r="D26" s="218"/>
      <c r="E26" s="222" t="s">
        <v>2318</v>
      </c>
      <c r="F26" s="268" t="s">
        <v>2434</v>
      </c>
      <c r="G26" s="215"/>
      <c r="H26" s="216"/>
      <c r="I26" s="217"/>
    </row>
    <row r="27" spans="1:9" ht="90">
      <c r="A27" s="309" t="s">
        <v>1156</v>
      </c>
      <c r="B27" s="269" t="s">
        <v>2505</v>
      </c>
      <c r="C27" s="222" t="s">
        <v>17</v>
      </c>
      <c r="D27" s="218"/>
      <c r="E27" s="222" t="s">
        <v>2318</v>
      </c>
      <c r="F27" s="269" t="s">
        <v>2505</v>
      </c>
      <c r="G27" s="215"/>
      <c r="H27" s="216"/>
      <c r="I27" s="217"/>
    </row>
    <row r="28" spans="1:9" ht="90">
      <c r="A28" s="309" t="s">
        <v>68</v>
      </c>
      <c r="B28" s="267" t="s">
        <v>2506</v>
      </c>
      <c r="C28" s="222" t="s">
        <v>17</v>
      </c>
      <c r="D28" s="218"/>
      <c r="E28" s="222" t="s">
        <v>2318</v>
      </c>
      <c r="F28" s="267" t="s">
        <v>2506</v>
      </c>
      <c r="G28" s="215"/>
      <c r="H28" s="216"/>
      <c r="I28" s="217"/>
    </row>
    <row r="29" spans="1:9" ht="55.5" customHeight="1">
      <c r="A29" s="309" t="s">
        <v>70</v>
      </c>
      <c r="B29" s="269" t="s">
        <v>2483</v>
      </c>
      <c r="C29" s="222" t="s">
        <v>2497</v>
      </c>
      <c r="D29" s="222" t="s">
        <v>2465</v>
      </c>
      <c r="E29" s="222" t="s">
        <v>2318</v>
      </c>
      <c r="F29" s="266" t="s">
        <v>2435</v>
      </c>
      <c r="G29" s="219" t="s">
        <v>58</v>
      </c>
      <c r="H29" s="219" t="s">
        <v>58</v>
      </c>
      <c r="I29" s="221" t="s">
        <v>2339</v>
      </c>
    </row>
    <row r="30" spans="1:9" ht="51.75" customHeight="1">
      <c r="A30" s="309" t="s">
        <v>71</v>
      </c>
      <c r="B30" s="269" t="s">
        <v>2488</v>
      </c>
      <c r="C30" s="222" t="s">
        <v>2497</v>
      </c>
      <c r="D30" s="222"/>
      <c r="E30" s="222" t="s">
        <v>2318</v>
      </c>
      <c r="F30" s="266" t="s">
        <v>2449</v>
      </c>
      <c r="G30" s="291"/>
      <c r="H30" s="216"/>
      <c r="I30" s="217"/>
    </row>
    <row r="31" spans="1:9" ht="69" customHeight="1">
      <c r="A31" s="309" t="s">
        <v>1290</v>
      </c>
      <c r="B31" s="269" t="s">
        <v>2507</v>
      </c>
      <c r="C31" s="222" t="s">
        <v>2497</v>
      </c>
      <c r="D31" s="222"/>
      <c r="E31" s="222" t="s">
        <v>2318</v>
      </c>
      <c r="F31" s="266" t="s">
        <v>2450</v>
      </c>
      <c r="G31" s="292"/>
      <c r="H31" s="282"/>
      <c r="I31" s="283"/>
    </row>
    <row r="32" spans="1:9" s="329" customFormat="1" ht="61.9" customHeight="1">
      <c r="A32" s="328" t="s">
        <v>1291</v>
      </c>
      <c r="B32" s="269" t="s">
        <v>2410</v>
      </c>
      <c r="C32" s="222" t="s">
        <v>2442</v>
      </c>
      <c r="D32" s="218" t="s">
        <v>2498</v>
      </c>
      <c r="E32" s="222" t="s">
        <v>2466</v>
      </c>
      <c r="F32" s="268" t="s">
        <v>2411</v>
      </c>
      <c r="G32" s="284" t="s">
        <v>58</v>
      </c>
      <c r="H32" s="285" t="s">
        <v>58</v>
      </c>
      <c r="I32" s="286" t="s">
        <v>2339</v>
      </c>
    </row>
    <row r="33" spans="1:9" s="329" customFormat="1" ht="60.75" customHeight="1">
      <c r="A33" s="328" t="s">
        <v>1292</v>
      </c>
      <c r="B33" s="269" t="s">
        <v>2463</v>
      </c>
      <c r="C33" s="293" t="s">
        <v>17</v>
      </c>
      <c r="D33" s="218" t="s">
        <v>2338</v>
      </c>
      <c r="E33" s="293" t="s">
        <v>298</v>
      </c>
      <c r="F33" s="289" t="s">
        <v>2412</v>
      </c>
      <c r="G33" s="284" t="s">
        <v>2340</v>
      </c>
      <c r="H33" s="285" t="s">
        <v>2340</v>
      </c>
      <c r="I33" s="286" t="s">
        <v>2339</v>
      </c>
    </row>
    <row r="34" spans="1:9" s="329" customFormat="1" ht="61.5" customHeight="1">
      <c r="A34" s="328" t="s">
        <v>1293</v>
      </c>
      <c r="B34" s="269" t="s">
        <v>2508</v>
      </c>
      <c r="C34" s="293" t="s">
        <v>2442</v>
      </c>
      <c r="D34" s="218" t="s">
        <v>2338</v>
      </c>
      <c r="E34" s="293" t="s">
        <v>2318</v>
      </c>
      <c r="F34" s="289" t="s">
        <v>2509</v>
      </c>
      <c r="G34" s="284" t="s">
        <v>2340</v>
      </c>
      <c r="H34" s="285" t="s">
        <v>2341</v>
      </c>
      <c r="I34" s="286" t="s">
        <v>2339</v>
      </c>
    </row>
    <row r="35" spans="1:9" s="329" customFormat="1" ht="61.5" customHeight="1">
      <c r="A35" s="328" t="s">
        <v>1294</v>
      </c>
      <c r="B35" s="269" t="s">
        <v>2510</v>
      </c>
      <c r="C35" s="310" t="s">
        <v>17</v>
      </c>
      <c r="D35" s="311"/>
      <c r="E35" s="312" t="s">
        <v>298</v>
      </c>
      <c r="F35" s="269" t="s">
        <v>2510</v>
      </c>
      <c r="G35" s="223"/>
      <c r="H35" s="224"/>
      <c r="I35" s="235"/>
    </row>
    <row r="36" spans="1:9" s="329" customFormat="1" ht="55.15" customHeight="1">
      <c r="A36" s="328" t="s">
        <v>1295</v>
      </c>
      <c r="B36" s="269" t="s">
        <v>2511</v>
      </c>
      <c r="C36" s="312" t="s">
        <v>17</v>
      </c>
      <c r="D36" s="312"/>
      <c r="E36" s="312" t="s">
        <v>298</v>
      </c>
      <c r="F36" s="289" t="s">
        <v>2512</v>
      </c>
      <c r="G36" s="223"/>
      <c r="H36" s="224"/>
      <c r="I36" s="235"/>
    </row>
    <row r="37" spans="1:9" s="329" customFormat="1" ht="45" customHeight="1">
      <c r="A37" s="328" t="s">
        <v>1296</v>
      </c>
      <c r="B37" s="269" t="s">
        <v>2452</v>
      </c>
      <c r="C37" s="225" t="s">
        <v>17</v>
      </c>
      <c r="D37" s="225"/>
      <c r="E37" s="225" t="s">
        <v>2318</v>
      </c>
      <c r="F37" s="289" t="s">
        <v>2453</v>
      </c>
      <c r="G37" s="215"/>
      <c r="H37" s="216"/>
      <c r="I37" s="217"/>
    </row>
    <row r="38" spans="1:9" s="329" customFormat="1" ht="54">
      <c r="A38" s="328" t="s">
        <v>1297</v>
      </c>
      <c r="B38" s="269" t="s">
        <v>2451</v>
      </c>
      <c r="C38" s="225" t="s">
        <v>17</v>
      </c>
      <c r="D38" s="225"/>
      <c r="E38" s="225" t="s">
        <v>2318</v>
      </c>
      <c r="F38" s="289" t="s">
        <v>2451</v>
      </c>
      <c r="G38" s="215"/>
      <c r="H38" s="216"/>
      <c r="I38" s="217"/>
    </row>
    <row r="39" spans="1:9" s="329" customFormat="1" ht="45" customHeight="1">
      <c r="A39" s="328" t="s">
        <v>1298</v>
      </c>
      <c r="B39" s="269" t="s">
        <v>2456</v>
      </c>
      <c r="C39" s="226" t="s">
        <v>17</v>
      </c>
      <c r="D39" s="226"/>
      <c r="E39" s="225" t="s">
        <v>2318</v>
      </c>
      <c r="F39" s="289" t="s">
        <v>2454</v>
      </c>
      <c r="G39" s="215"/>
      <c r="H39" s="216"/>
      <c r="I39" s="217"/>
    </row>
    <row r="40" spans="1:9" s="329" customFormat="1" ht="62.45" customHeight="1">
      <c r="A40" s="328" t="s">
        <v>1299</v>
      </c>
      <c r="B40" s="269" t="s">
        <v>2457</v>
      </c>
      <c r="C40" s="226" t="s">
        <v>17</v>
      </c>
      <c r="D40" s="226"/>
      <c r="E40" s="225" t="s">
        <v>2318</v>
      </c>
      <c r="F40" s="289" t="s">
        <v>2455</v>
      </c>
      <c r="G40" s="215"/>
      <c r="H40" s="216"/>
      <c r="I40" s="217"/>
    </row>
    <row r="41" spans="1:9" ht="45" customHeight="1">
      <c r="A41" s="328" t="s">
        <v>1987</v>
      </c>
      <c r="B41" s="269" t="s">
        <v>2513</v>
      </c>
      <c r="C41" s="222" t="s">
        <v>17</v>
      </c>
      <c r="D41" s="222"/>
      <c r="E41" s="225" t="s">
        <v>2466</v>
      </c>
      <c r="F41" s="289" t="s">
        <v>2514</v>
      </c>
      <c r="G41" s="215"/>
      <c r="H41" s="216"/>
      <c r="I41" s="217"/>
    </row>
    <row r="42" spans="1:9" ht="45" customHeight="1">
      <c r="A42" s="328" t="s">
        <v>1989</v>
      </c>
      <c r="B42" s="269" t="s">
        <v>2515</v>
      </c>
      <c r="C42" s="287" t="s">
        <v>17</v>
      </c>
      <c r="D42" s="222"/>
      <c r="E42" s="225" t="s">
        <v>2466</v>
      </c>
      <c r="F42" s="289" t="s">
        <v>2516</v>
      </c>
      <c r="G42" s="215"/>
      <c r="H42" s="216"/>
      <c r="I42" s="217"/>
    </row>
    <row r="43" spans="1:9" ht="47.25" customHeight="1">
      <c r="A43" s="328" t="s">
        <v>2235</v>
      </c>
      <c r="B43" s="269" t="s">
        <v>2413</v>
      </c>
      <c r="C43" s="287" t="s">
        <v>18</v>
      </c>
      <c r="D43" s="287"/>
      <c r="E43" s="287" t="s">
        <v>2318</v>
      </c>
      <c r="F43" s="289" t="s">
        <v>2413</v>
      </c>
      <c r="G43" s="215"/>
      <c r="H43" s="216"/>
      <c r="I43" s="217"/>
    </row>
    <row r="44" spans="1:9" ht="87.6" customHeight="1">
      <c r="A44" s="313" t="s">
        <v>2345</v>
      </c>
      <c r="B44" s="270" t="s">
        <v>2484</v>
      </c>
      <c r="C44" s="230" t="s">
        <v>17</v>
      </c>
      <c r="D44" s="230"/>
      <c r="E44" s="230" t="s">
        <v>2318</v>
      </c>
      <c r="F44" s="271" t="s">
        <v>2464</v>
      </c>
      <c r="G44" s="227" t="s">
        <v>2342</v>
      </c>
      <c r="H44" s="228" t="s">
        <v>2343</v>
      </c>
      <c r="I44" s="229" t="s">
        <v>2344</v>
      </c>
    </row>
    <row r="45" spans="1:9" ht="51">
      <c r="A45" s="313" t="s">
        <v>2346</v>
      </c>
      <c r="B45" s="270" t="s">
        <v>2517</v>
      </c>
      <c r="C45" s="230" t="s">
        <v>17</v>
      </c>
      <c r="D45" s="230"/>
      <c r="E45" s="230" t="s">
        <v>2318</v>
      </c>
      <c r="F45" s="271" t="s">
        <v>2485</v>
      </c>
      <c r="G45" s="227" t="s">
        <v>2342</v>
      </c>
      <c r="H45" s="228" t="s">
        <v>2343</v>
      </c>
      <c r="I45" s="229" t="s">
        <v>2344</v>
      </c>
    </row>
    <row r="46" spans="1:9" ht="45" customHeight="1">
      <c r="A46" s="313" t="s">
        <v>2347</v>
      </c>
      <c r="B46" s="270" t="s">
        <v>2518</v>
      </c>
      <c r="C46" s="230" t="s">
        <v>18</v>
      </c>
      <c r="D46" s="230"/>
      <c r="E46" s="230" t="s">
        <v>2318</v>
      </c>
      <c r="F46" s="271" t="s">
        <v>2519</v>
      </c>
      <c r="G46" s="215"/>
      <c r="H46" s="216"/>
      <c r="I46" s="217"/>
    </row>
    <row r="47" spans="1:9" ht="72.75" customHeight="1">
      <c r="A47" s="313" t="s">
        <v>2348</v>
      </c>
      <c r="B47" s="270" t="s">
        <v>2520</v>
      </c>
      <c r="C47" s="230" t="s">
        <v>17</v>
      </c>
      <c r="D47" s="230"/>
      <c r="E47" s="230" t="s">
        <v>2318</v>
      </c>
      <c r="F47" s="271" t="s">
        <v>2521</v>
      </c>
      <c r="G47" s="215"/>
      <c r="H47" s="216"/>
      <c r="I47" s="217"/>
    </row>
    <row r="48" spans="1:9" ht="94.5" customHeight="1">
      <c r="A48" s="313" t="s">
        <v>2350</v>
      </c>
      <c r="B48" s="270" t="s">
        <v>2522</v>
      </c>
      <c r="C48" s="230" t="s">
        <v>17</v>
      </c>
      <c r="D48" s="230"/>
      <c r="E48" s="230" t="s">
        <v>2318</v>
      </c>
      <c r="F48" s="271" t="s">
        <v>2523</v>
      </c>
      <c r="G48" s="215"/>
      <c r="H48" s="216"/>
      <c r="I48" s="217"/>
    </row>
    <row r="49" spans="1:9" ht="54" customHeight="1">
      <c r="A49" s="313" t="s">
        <v>2351</v>
      </c>
      <c r="B49" s="270" t="s">
        <v>2458</v>
      </c>
      <c r="C49" s="230" t="s">
        <v>17</v>
      </c>
      <c r="D49" s="230"/>
      <c r="E49" s="230" t="s">
        <v>2318</v>
      </c>
      <c r="F49" s="271" t="s">
        <v>2459</v>
      </c>
      <c r="G49" s="227" t="s">
        <v>2349</v>
      </c>
      <c r="H49" s="228" t="s">
        <v>63</v>
      </c>
      <c r="I49" s="229" t="s">
        <v>2344</v>
      </c>
    </row>
    <row r="50" spans="1:9" ht="51">
      <c r="A50" s="313" t="s">
        <v>2352</v>
      </c>
      <c r="B50" s="270" t="s">
        <v>2461</v>
      </c>
      <c r="C50" s="315" t="s">
        <v>2497</v>
      </c>
      <c r="D50" s="315"/>
      <c r="E50" s="315" t="s">
        <v>298</v>
      </c>
      <c r="F50" s="271" t="s">
        <v>2460</v>
      </c>
      <c r="G50" s="227" t="s">
        <v>2342</v>
      </c>
      <c r="H50" s="228" t="s">
        <v>63</v>
      </c>
      <c r="I50" s="229" t="s">
        <v>2344</v>
      </c>
    </row>
    <row r="51" spans="1:9" ht="40.5">
      <c r="A51" s="313" t="s">
        <v>2353</v>
      </c>
      <c r="B51" s="270" t="s">
        <v>2462</v>
      </c>
      <c r="C51" s="230" t="s">
        <v>17</v>
      </c>
      <c r="D51" s="230"/>
      <c r="E51" s="230" t="s">
        <v>298</v>
      </c>
      <c r="F51" s="271" t="s">
        <v>2414</v>
      </c>
      <c r="G51" s="215"/>
      <c r="H51" s="216"/>
      <c r="I51" s="217"/>
    </row>
    <row r="52" spans="1:9" ht="61.9" customHeight="1">
      <c r="A52" s="313" t="s">
        <v>2354</v>
      </c>
      <c r="B52" s="272" t="s">
        <v>2415</v>
      </c>
      <c r="C52" s="230" t="s">
        <v>2445</v>
      </c>
      <c r="D52" s="316"/>
      <c r="E52" s="316" t="s">
        <v>2318</v>
      </c>
      <c r="F52" s="271" t="s">
        <v>2416</v>
      </c>
      <c r="G52" s="215"/>
      <c r="H52" s="216"/>
      <c r="I52" s="217"/>
    </row>
    <row r="53" spans="1:9" ht="63" customHeight="1">
      <c r="A53" s="313" t="s">
        <v>2355</v>
      </c>
      <c r="B53" s="272" t="s">
        <v>2436</v>
      </c>
      <c r="C53" s="230" t="s">
        <v>2444</v>
      </c>
      <c r="D53" s="317"/>
      <c r="E53" s="317" t="s">
        <v>2318</v>
      </c>
      <c r="F53" s="271" t="s">
        <v>2417</v>
      </c>
      <c r="G53" s="215"/>
      <c r="H53" s="216"/>
      <c r="I53" s="217"/>
    </row>
    <row r="54" spans="1:9" ht="34.5" customHeight="1">
      <c r="A54" s="313" t="s">
        <v>2356</v>
      </c>
      <c r="B54" s="272" t="s">
        <v>2418</v>
      </c>
      <c r="C54" s="317" t="s">
        <v>17</v>
      </c>
      <c r="D54" s="317"/>
      <c r="E54" s="317" t="s">
        <v>2318</v>
      </c>
      <c r="F54" s="271" t="s">
        <v>2419</v>
      </c>
      <c r="G54" s="215"/>
      <c r="H54" s="216"/>
      <c r="I54" s="217"/>
    </row>
    <row r="55" spans="1:9" ht="45" customHeight="1">
      <c r="A55" s="313" t="s">
        <v>2357</v>
      </c>
      <c r="B55" s="272" t="s">
        <v>2420</v>
      </c>
      <c r="C55" s="317" t="s">
        <v>17</v>
      </c>
      <c r="D55" s="317"/>
      <c r="E55" s="317" t="s">
        <v>2318</v>
      </c>
      <c r="F55" s="271" t="s">
        <v>2421</v>
      </c>
      <c r="G55" s="215"/>
      <c r="H55" s="216"/>
      <c r="I55" s="217"/>
    </row>
    <row r="56" spans="1:9" ht="51">
      <c r="A56" s="313" t="s">
        <v>2358</v>
      </c>
      <c r="B56" s="272" t="s">
        <v>2524</v>
      </c>
      <c r="C56" s="317" t="s">
        <v>17</v>
      </c>
      <c r="D56" s="317"/>
      <c r="E56" s="317" t="s">
        <v>2466</v>
      </c>
      <c r="F56" s="271" t="s">
        <v>2525</v>
      </c>
      <c r="G56" s="227" t="s">
        <v>2342</v>
      </c>
      <c r="H56" s="228" t="s">
        <v>63</v>
      </c>
      <c r="I56" s="229" t="s">
        <v>2344</v>
      </c>
    </row>
    <row r="57" spans="1:9" ht="41.25" customHeight="1">
      <c r="A57" s="313" t="s">
        <v>2359</v>
      </c>
      <c r="B57" s="272" t="s">
        <v>2422</v>
      </c>
      <c r="C57" s="317" t="s">
        <v>18</v>
      </c>
      <c r="D57" s="317"/>
      <c r="E57" s="317" t="s">
        <v>2318</v>
      </c>
      <c r="F57" s="271" t="s">
        <v>2423</v>
      </c>
      <c r="G57" s="215"/>
      <c r="H57" s="216"/>
      <c r="I57" s="217"/>
    </row>
    <row r="58" spans="1:9" ht="40.5">
      <c r="A58" s="318" t="s">
        <v>2360</v>
      </c>
      <c r="B58" s="273" t="s">
        <v>2424</v>
      </c>
      <c r="C58" s="319" t="s">
        <v>17</v>
      </c>
      <c r="D58" s="319"/>
      <c r="E58" s="319" t="s">
        <v>2499</v>
      </c>
      <c r="F58" s="276" t="s">
        <v>2425</v>
      </c>
      <c r="G58" s="215"/>
      <c r="H58" s="216"/>
      <c r="I58" s="217"/>
    </row>
    <row r="59" spans="1:9" ht="36">
      <c r="A59" s="318" t="s">
        <v>2361</v>
      </c>
      <c r="B59" s="273" t="s">
        <v>2486</v>
      </c>
      <c r="C59" s="319" t="s">
        <v>17</v>
      </c>
      <c r="D59" s="319"/>
      <c r="E59" s="319" t="s">
        <v>2499</v>
      </c>
      <c r="F59" s="276" t="s">
        <v>2486</v>
      </c>
      <c r="G59" s="215"/>
      <c r="H59" s="216"/>
      <c r="I59" s="217"/>
    </row>
    <row r="60" spans="1:9" ht="36">
      <c r="A60" s="318" t="s">
        <v>2365</v>
      </c>
      <c r="B60" s="273" t="s">
        <v>2426</v>
      </c>
      <c r="C60" s="320" t="s">
        <v>17</v>
      </c>
      <c r="D60" s="320"/>
      <c r="E60" s="320" t="s">
        <v>298</v>
      </c>
      <c r="F60" s="276" t="s">
        <v>2426</v>
      </c>
      <c r="G60" s="215"/>
      <c r="H60" s="216"/>
      <c r="I60" s="217"/>
    </row>
    <row r="61" spans="1:9" ht="56.45" customHeight="1">
      <c r="A61" s="318" t="s">
        <v>2366</v>
      </c>
      <c r="B61" s="273" t="s">
        <v>2427</v>
      </c>
      <c r="C61" s="320" t="s">
        <v>17</v>
      </c>
      <c r="D61" s="320"/>
      <c r="E61" s="319" t="s">
        <v>2499</v>
      </c>
      <c r="F61" s="276" t="s">
        <v>2428</v>
      </c>
      <c r="G61" s="215"/>
      <c r="H61" s="216"/>
      <c r="I61" s="217"/>
    </row>
    <row r="62" spans="1:9" ht="56.45" customHeight="1">
      <c r="A62" s="318" t="s">
        <v>2368</v>
      </c>
      <c r="B62" s="273" t="s">
        <v>2487</v>
      </c>
      <c r="C62" s="320" t="s">
        <v>17</v>
      </c>
      <c r="D62" s="320"/>
      <c r="E62" s="319" t="s">
        <v>2499</v>
      </c>
      <c r="F62" s="276" t="s">
        <v>2487</v>
      </c>
      <c r="G62" s="215"/>
      <c r="H62" s="216"/>
      <c r="I62" s="217"/>
    </row>
    <row r="63" spans="1:9" ht="56.45" customHeight="1">
      <c r="A63" s="318" t="s">
        <v>2370</v>
      </c>
      <c r="B63" s="274" t="s">
        <v>2437</v>
      </c>
      <c r="C63" s="320" t="s">
        <v>17</v>
      </c>
      <c r="D63" s="320"/>
      <c r="E63" s="320" t="s">
        <v>2318</v>
      </c>
      <c r="F63" s="276" t="s">
        <v>2438</v>
      </c>
      <c r="G63" s="231" t="s">
        <v>2362</v>
      </c>
      <c r="H63" s="232" t="s">
        <v>2363</v>
      </c>
      <c r="I63" s="233" t="s">
        <v>2364</v>
      </c>
    </row>
    <row r="64" spans="1:9" ht="51" customHeight="1">
      <c r="A64" s="318" t="s">
        <v>2371</v>
      </c>
      <c r="B64" s="274" t="s">
        <v>2439</v>
      </c>
      <c r="C64" s="320" t="s">
        <v>17</v>
      </c>
      <c r="D64" s="320"/>
      <c r="E64" s="320" t="s">
        <v>2318</v>
      </c>
      <c r="F64" s="276" t="s">
        <v>2429</v>
      </c>
      <c r="G64" s="231" t="s">
        <v>2362</v>
      </c>
      <c r="H64" s="232" t="s">
        <v>2362</v>
      </c>
      <c r="I64" s="233" t="s">
        <v>2364</v>
      </c>
    </row>
    <row r="65" spans="1:9" ht="44.25" customHeight="1">
      <c r="A65" s="318" t="s">
        <v>2372</v>
      </c>
      <c r="B65" s="274" t="s">
        <v>2430</v>
      </c>
      <c r="C65" s="290" t="s">
        <v>17</v>
      </c>
      <c r="D65" s="290"/>
      <c r="E65" s="320" t="s">
        <v>2318</v>
      </c>
      <c r="F65" s="276" t="s">
        <v>2430</v>
      </c>
      <c r="G65" s="234" t="s">
        <v>2367</v>
      </c>
      <c r="H65" s="232" t="s">
        <v>63</v>
      </c>
      <c r="I65" s="233" t="s">
        <v>2364</v>
      </c>
    </row>
    <row r="66" spans="1:9" ht="64.5" customHeight="1">
      <c r="A66" s="318" t="s">
        <v>2472</v>
      </c>
      <c r="B66" s="274" t="s">
        <v>2431</v>
      </c>
      <c r="C66" s="290" t="s">
        <v>17</v>
      </c>
      <c r="D66" s="290"/>
      <c r="E66" s="320" t="s">
        <v>2318</v>
      </c>
      <c r="F66" s="276" t="s">
        <v>2431</v>
      </c>
      <c r="G66" s="234" t="s">
        <v>2369</v>
      </c>
      <c r="H66" s="232" t="s">
        <v>63</v>
      </c>
      <c r="I66" s="233" t="s">
        <v>2364</v>
      </c>
    </row>
    <row r="67" spans="1:9" ht="45" customHeight="1">
      <c r="A67" s="318" t="s">
        <v>2473</v>
      </c>
      <c r="B67" s="274" t="s">
        <v>2432</v>
      </c>
      <c r="C67" s="290" t="s">
        <v>2443</v>
      </c>
      <c r="D67" s="290"/>
      <c r="E67" s="290" t="s">
        <v>2466</v>
      </c>
      <c r="F67" s="276" t="s">
        <v>2432</v>
      </c>
      <c r="G67" s="215"/>
      <c r="H67" s="216"/>
      <c r="I67" s="217"/>
    </row>
    <row r="68" spans="1:9" ht="72">
      <c r="A68" s="318" t="s">
        <v>2500</v>
      </c>
      <c r="B68" s="274" t="s">
        <v>2526</v>
      </c>
      <c r="C68" s="290" t="s">
        <v>17</v>
      </c>
      <c r="D68" s="290"/>
      <c r="E68" s="290" t="s">
        <v>2466</v>
      </c>
      <c r="F68" s="276" t="s">
        <v>2526</v>
      </c>
      <c r="G68" s="215"/>
      <c r="H68" s="216"/>
      <c r="I68" s="217"/>
    </row>
    <row r="69" spans="1:9" ht="36">
      <c r="A69" s="318" t="s">
        <v>2501</v>
      </c>
      <c r="B69" s="274" t="s">
        <v>2527</v>
      </c>
      <c r="C69" s="322" t="s">
        <v>56</v>
      </c>
      <c r="D69" s="322"/>
      <c r="E69" s="290" t="s">
        <v>298</v>
      </c>
      <c r="F69" s="276" t="s">
        <v>2527</v>
      </c>
      <c r="G69" s="223"/>
      <c r="H69" s="224"/>
      <c r="I69" s="235"/>
    </row>
    <row r="70" spans="1:9" ht="54.75" customHeight="1">
      <c r="A70" s="318" t="s">
        <v>2502</v>
      </c>
      <c r="B70" s="274" t="s">
        <v>2433</v>
      </c>
      <c r="C70" s="322" t="s">
        <v>18</v>
      </c>
      <c r="D70" s="322"/>
      <c r="E70" s="322" t="s">
        <v>2318</v>
      </c>
      <c r="F70" s="276" t="s">
        <v>2433</v>
      </c>
      <c r="G70" s="223"/>
      <c r="H70" s="224"/>
      <c r="I70" s="235"/>
    </row>
    <row r="74" spans="1:9" ht="45" customHeight="1">
      <c r="B74" s="330" t="s">
        <v>1626</v>
      </c>
    </row>
  </sheetData>
  <mergeCells count="1">
    <mergeCell ref="A1:F1"/>
  </mergeCells>
  <pageMargins left="0" right="0" top="0.25" bottom="0.25" header="0.3" footer="0.3"/>
  <pageSetup scale="65" orientation="portrait" r:id="rId1"/>
  <rowBreaks count="3" manualBreakCount="3">
    <brk id="25" max="5" man="1"/>
    <brk id="48" max="5" man="1"/>
    <brk id="70" max="16383" man="1"/>
  </rowBreaks>
  <colBreaks count="1" manualBreakCount="1">
    <brk id="6" max="1048575"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2:AG414"/>
  <sheetViews>
    <sheetView showGridLines="0" topLeftCell="A254" zoomScale="98" zoomScaleNormal="98" workbookViewId="0">
      <selection activeCell="A278" sqref="A278"/>
    </sheetView>
  </sheetViews>
  <sheetFormatPr defaultColWidth="9" defaultRowHeight="15"/>
  <cols>
    <col min="1" max="1" width="9.625" style="107" customWidth="1"/>
    <col min="2" max="2" width="16.625" style="107" customWidth="1"/>
    <col min="3" max="3" width="24.25" style="107" customWidth="1"/>
    <col min="4" max="4" width="17.875" style="107" customWidth="1"/>
    <col min="5" max="5" width="16" style="107" customWidth="1"/>
    <col min="6" max="6" width="17.25" style="107" customWidth="1"/>
    <col min="7" max="7" width="12.5" style="107" customWidth="1"/>
    <col min="8" max="8" width="14.5" style="107" customWidth="1"/>
    <col min="9" max="9" width="17.25" style="107" customWidth="1"/>
    <col min="10" max="10" width="15" style="107" customWidth="1"/>
    <col min="11" max="11" width="17.375" style="107" customWidth="1"/>
    <col min="12" max="12" width="19.875" style="107" customWidth="1"/>
    <col min="13" max="13" width="12.875" style="107" customWidth="1"/>
    <col min="14" max="14" width="11.25" style="107" customWidth="1"/>
    <col min="15" max="15" width="13.375" style="107" customWidth="1"/>
    <col min="16" max="18" width="9.625" style="107" customWidth="1"/>
    <col min="19" max="19" width="13.125" style="107" customWidth="1"/>
    <col min="20" max="21" width="9.625" style="107" customWidth="1"/>
    <col min="22" max="22" width="14.25" style="107" customWidth="1"/>
    <col min="23" max="23" width="14.875" style="107" customWidth="1"/>
    <col min="24" max="24" width="13.875" style="107" customWidth="1"/>
    <col min="25" max="31" width="9.625" style="107" customWidth="1"/>
    <col min="32" max="32" width="16.75" style="107" customWidth="1"/>
    <col min="33" max="33" width="9.625" style="107" customWidth="1"/>
    <col min="34" max="16384" width="9" style="107"/>
  </cols>
  <sheetData>
    <row r="2" spans="1:33" s="141" customFormat="1" ht="18.75">
      <c r="A2" s="106" t="s">
        <v>1993</v>
      </c>
      <c r="B2" s="106"/>
      <c r="C2" s="106"/>
      <c r="D2" s="106"/>
      <c r="E2" s="106"/>
      <c r="F2" s="106"/>
      <c r="G2" s="106"/>
      <c r="H2" s="106"/>
      <c r="I2" s="106"/>
      <c r="J2" s="106"/>
      <c r="K2" s="106"/>
      <c r="L2" s="106"/>
      <c r="M2" s="106"/>
      <c r="N2" s="106"/>
      <c r="O2" s="106"/>
      <c r="P2" s="106"/>
      <c r="Q2" s="106"/>
      <c r="R2" s="106"/>
      <c r="S2" s="106"/>
      <c r="T2" s="106"/>
      <c r="U2" s="106"/>
      <c r="V2" s="106"/>
      <c r="W2" s="106"/>
      <c r="X2" s="106"/>
      <c r="Y2" s="106"/>
      <c r="Z2" s="106"/>
    </row>
    <row r="3" spans="1:33">
      <c r="C3" s="108"/>
      <c r="K3" s="108"/>
      <c r="R3" s="108"/>
    </row>
    <row r="4" spans="1:33" ht="15.75">
      <c r="B4" s="530"/>
      <c r="C4" s="530"/>
      <c r="D4" s="530"/>
      <c r="E4" s="530"/>
      <c r="F4" s="530"/>
      <c r="G4" s="530"/>
    </row>
    <row r="5" spans="1:33" ht="15.75">
      <c r="B5" s="903" t="s">
        <v>20</v>
      </c>
      <c r="C5" s="904" t="s">
        <v>2389</v>
      </c>
      <c r="G5" s="530"/>
    </row>
    <row r="6" spans="1:33" ht="15.75">
      <c r="B6" s="903" t="s">
        <v>35</v>
      </c>
      <c r="C6" s="904" t="s">
        <v>35</v>
      </c>
      <c r="G6" s="530"/>
    </row>
    <row r="7" spans="1:33" ht="15.75">
      <c r="B7" s="912" t="s">
        <v>22</v>
      </c>
      <c r="C7" s="904" t="s">
        <v>2706</v>
      </c>
      <c r="G7" s="530"/>
    </row>
    <row r="8" spans="1:33" ht="15.75">
      <c r="B8" s="903" t="s">
        <v>128</v>
      </c>
      <c r="C8" s="904" t="s">
        <v>44</v>
      </c>
      <c r="G8" s="530"/>
      <c r="AE8" s="160"/>
    </row>
    <row r="9" spans="1:33" s="112" customFormat="1" ht="15.75">
      <c r="B9" s="530"/>
      <c r="C9" s="107"/>
      <c r="D9" s="160" t="s">
        <v>44</v>
      </c>
      <c r="E9" s="107"/>
      <c r="F9" s="107"/>
      <c r="G9" s="530"/>
      <c r="N9" s="107"/>
      <c r="O9" s="107"/>
      <c r="P9" s="107"/>
      <c r="Q9" s="107"/>
      <c r="R9" s="107"/>
      <c r="S9" s="107"/>
      <c r="T9" s="107"/>
      <c r="U9" s="107"/>
      <c r="V9" s="107"/>
      <c r="W9" s="107"/>
      <c r="X9" s="107"/>
      <c r="Y9" s="107"/>
      <c r="Z9" s="107"/>
      <c r="AA9" s="107"/>
      <c r="AE9"/>
      <c r="AF9"/>
      <c r="AG9"/>
    </row>
    <row r="10" spans="1:33" s="112" customFormat="1" ht="15.75">
      <c r="B10" s="908" t="s">
        <v>23</v>
      </c>
      <c r="C10" s="909" t="s">
        <v>1893</v>
      </c>
      <c r="D10" s="904" t="s">
        <v>2850</v>
      </c>
      <c r="E10" s="904" t="s">
        <v>2851</v>
      </c>
      <c r="F10" s="904" t="s">
        <v>2852</v>
      </c>
      <c r="G10" s="530"/>
      <c r="N10" s="107"/>
      <c r="O10" s="107"/>
      <c r="P10" s="107"/>
      <c r="Q10" s="107"/>
      <c r="R10" s="107"/>
      <c r="S10" s="107"/>
      <c r="T10" s="107"/>
      <c r="U10" s="107"/>
      <c r="V10" s="107"/>
      <c r="W10" s="107"/>
      <c r="X10" s="107"/>
      <c r="Y10" s="107"/>
      <c r="Z10" s="107"/>
      <c r="AA10" s="107"/>
      <c r="AE10"/>
      <c r="AF10"/>
      <c r="AG10"/>
    </row>
    <row r="11" spans="1:33" ht="15.75">
      <c r="B11" s="905" t="s">
        <v>361</v>
      </c>
      <c r="C11" s="910">
        <v>974</v>
      </c>
      <c r="D11" s="911">
        <v>0</v>
      </c>
      <c r="E11" s="911">
        <v>0</v>
      </c>
      <c r="F11" s="911">
        <v>0</v>
      </c>
      <c r="G11" s="530"/>
      <c r="AE11"/>
      <c r="AF11"/>
      <c r="AG11"/>
    </row>
    <row r="12" spans="1:33" ht="15.75">
      <c r="B12" s="905" t="s">
        <v>403</v>
      </c>
      <c r="C12" s="910">
        <v>2920</v>
      </c>
      <c r="D12" s="911">
        <v>0</v>
      </c>
      <c r="E12" s="911">
        <v>0</v>
      </c>
      <c r="F12" s="911">
        <v>0</v>
      </c>
      <c r="G12" s="530"/>
      <c r="AE12"/>
      <c r="AF12"/>
      <c r="AG12"/>
    </row>
    <row r="13" spans="1:33" ht="15.75">
      <c r="B13" s="905" t="s">
        <v>406</v>
      </c>
      <c r="C13" s="910">
        <v>23025</v>
      </c>
      <c r="D13" s="911">
        <v>0</v>
      </c>
      <c r="E13" s="911">
        <v>0.24338762214983711</v>
      </c>
      <c r="F13" s="911">
        <v>0</v>
      </c>
      <c r="G13" s="530"/>
      <c r="AB13"/>
      <c r="AE13"/>
      <c r="AF13"/>
      <c r="AG13"/>
    </row>
    <row r="14" spans="1:33" ht="15.75">
      <c r="B14" s="905" t="s">
        <v>299</v>
      </c>
      <c r="C14" s="910">
        <v>92236</v>
      </c>
      <c r="D14" s="942">
        <v>1.2359599288781498E-3</v>
      </c>
      <c r="E14" s="911">
        <v>0.16860011275423914</v>
      </c>
      <c r="F14" s="911">
        <v>7.7995576564465097E-2</v>
      </c>
      <c r="G14" s="530"/>
      <c r="AB14"/>
      <c r="AE14"/>
      <c r="AF14"/>
      <c r="AG14"/>
    </row>
    <row r="15" spans="1:33" ht="15.75">
      <c r="B15" s="905" t="s">
        <v>1630</v>
      </c>
      <c r="C15" s="910">
        <v>119155</v>
      </c>
      <c r="D15" s="942">
        <v>9.567370232050898E-4</v>
      </c>
      <c r="E15" s="911">
        <v>0.17754185724476523</v>
      </c>
      <c r="F15" s="911">
        <v>6.0375141622256767E-2</v>
      </c>
      <c r="G15" s="530"/>
      <c r="AB15"/>
      <c r="AE15"/>
      <c r="AF15"/>
      <c r="AG15"/>
    </row>
    <row r="16" spans="1:33" ht="15.75">
      <c r="B16"/>
      <c r="C16"/>
      <c r="D16"/>
      <c r="E16"/>
      <c r="F16"/>
      <c r="G16" s="530"/>
      <c r="O16"/>
      <c r="P16"/>
      <c r="Q16"/>
      <c r="R16"/>
      <c r="S16"/>
      <c r="U16" s="414"/>
      <c r="AB16"/>
      <c r="AE16"/>
      <c r="AF16"/>
      <c r="AG16"/>
    </row>
    <row r="17" spans="1:33" ht="15.75">
      <c r="B17"/>
      <c r="C17"/>
      <c r="D17"/>
      <c r="E17" s="857"/>
      <c r="F17"/>
      <c r="G17"/>
      <c r="H17"/>
      <c r="J17"/>
      <c r="K17"/>
      <c r="L17"/>
      <c r="M17"/>
      <c r="N17"/>
      <c r="O17"/>
      <c r="P17"/>
      <c r="Q17"/>
      <c r="R17"/>
      <c r="S17"/>
      <c r="AB17"/>
      <c r="AE17"/>
      <c r="AF17"/>
      <c r="AG17"/>
    </row>
    <row r="18" spans="1:33" ht="15.75">
      <c r="B18"/>
      <c r="C18"/>
      <c r="D18"/>
      <c r="E18"/>
      <c r="F18"/>
      <c r="G18"/>
      <c r="H18"/>
      <c r="J18"/>
      <c r="K18"/>
      <c r="L18"/>
      <c r="M18"/>
      <c r="N18"/>
      <c r="O18"/>
      <c r="P18"/>
      <c r="Q18"/>
      <c r="R18"/>
      <c r="S18"/>
      <c r="AB18"/>
      <c r="AE18"/>
      <c r="AF18"/>
      <c r="AG18"/>
    </row>
    <row r="19" spans="1:33" ht="15.75">
      <c r="B19"/>
      <c r="C19"/>
      <c r="D19"/>
      <c r="E19"/>
      <c r="F19"/>
      <c r="G19"/>
      <c r="H19"/>
      <c r="J19"/>
      <c r="K19"/>
      <c r="L19"/>
      <c r="M19"/>
      <c r="N19"/>
      <c r="O19"/>
      <c r="P19"/>
      <c r="Q19"/>
      <c r="R19"/>
      <c r="S19"/>
      <c r="AB19"/>
      <c r="AE19"/>
      <c r="AF19"/>
      <c r="AG19"/>
    </row>
    <row r="20" spans="1:33" s="126" customFormat="1" ht="18.75">
      <c r="A20" s="523"/>
      <c r="B20" s="524"/>
      <c r="C20" s="524"/>
      <c r="D20" s="524"/>
      <c r="E20" s="524"/>
      <c r="F20" s="524"/>
      <c r="G20" s="524"/>
      <c r="H20" s="525"/>
      <c r="I20" s="526"/>
      <c r="J20" s="527"/>
      <c r="K20" s="527"/>
      <c r="L20" s="527"/>
      <c r="M20" s="524"/>
      <c r="N20" s="524"/>
      <c r="O20" s="524"/>
      <c r="P20" s="524"/>
      <c r="Q20" s="524"/>
      <c r="R20" s="524"/>
      <c r="S20" s="524"/>
      <c r="T20" s="524"/>
      <c r="U20" s="524"/>
      <c r="V20" s="524"/>
      <c r="W20" s="524"/>
      <c r="X20" s="524"/>
      <c r="Y20" s="524"/>
      <c r="Z20" s="524"/>
      <c r="AC20" s="428"/>
      <c r="AF20" s="428"/>
    </row>
    <row r="21" spans="1:33" ht="18.75">
      <c r="A21" s="155" t="s">
        <v>2002</v>
      </c>
      <c r="B21" s="115"/>
      <c r="C21" s="115"/>
      <c r="D21" s="115"/>
      <c r="E21" s="115"/>
      <c r="F21" s="115"/>
      <c r="G21" s="115"/>
      <c r="H21" s="520"/>
      <c r="I21" s="521"/>
      <c r="J21" s="522"/>
      <c r="K21" s="522"/>
      <c r="L21" s="522"/>
      <c r="M21" s="115"/>
      <c r="N21" s="115"/>
      <c r="O21" s="115"/>
      <c r="P21" s="115"/>
      <c r="Q21" s="115"/>
      <c r="R21" s="115"/>
      <c r="S21" s="115"/>
      <c r="T21" s="115"/>
      <c r="U21" s="115"/>
      <c r="V21" s="115"/>
      <c r="W21" s="115"/>
      <c r="X21" s="115"/>
      <c r="Y21" s="115"/>
      <c r="Z21" s="115"/>
      <c r="AC21" s="414"/>
      <c r="AF21" s="414"/>
    </row>
    <row r="22" spans="1:33" ht="15.75">
      <c r="AC22"/>
      <c r="AF22"/>
    </row>
    <row r="23" spans="1:33" ht="15.75">
      <c r="AC23"/>
    </row>
    <row r="24" spans="1:33" ht="15.75">
      <c r="B24" s="903" t="s">
        <v>20</v>
      </c>
      <c r="C24" s="904" t="s">
        <v>2389</v>
      </c>
      <c r="I24" s="903" t="s">
        <v>20</v>
      </c>
      <c r="J24" s="904" t="s">
        <v>2389</v>
      </c>
      <c r="AC24"/>
    </row>
    <row r="25" spans="1:33" ht="15.75">
      <c r="B25" s="912" t="s">
        <v>22</v>
      </c>
      <c r="C25" s="904" t="s">
        <v>2706</v>
      </c>
      <c r="I25" s="912" t="s">
        <v>22</v>
      </c>
      <c r="J25" s="904" t="s">
        <v>2706</v>
      </c>
      <c r="AC25"/>
    </row>
    <row r="26" spans="1:33" ht="15.75">
      <c r="B26" s="903" t="s">
        <v>35</v>
      </c>
      <c r="C26" s="904" t="s">
        <v>35</v>
      </c>
      <c r="I26" s="903" t="s">
        <v>35</v>
      </c>
      <c r="J26" s="904" t="s">
        <v>35</v>
      </c>
      <c r="AC26"/>
    </row>
    <row r="27" spans="1:33" ht="15.75">
      <c r="AC27"/>
    </row>
    <row r="28" spans="1:33" ht="15.75">
      <c r="B28" s="903" t="s">
        <v>1628</v>
      </c>
      <c r="C28" s="909" t="s">
        <v>1640</v>
      </c>
      <c r="D28" s="909" t="s">
        <v>1641</v>
      </c>
      <c r="I28" s="904" t="s">
        <v>3151</v>
      </c>
      <c r="J28"/>
      <c r="K28"/>
      <c r="L28" s="461"/>
      <c r="M28" s="461"/>
      <c r="N28" s="461"/>
      <c r="O28" s="461"/>
      <c r="P28" s="461"/>
      <c r="Q28" s="461"/>
      <c r="R28" s="461"/>
      <c r="S28" s="461"/>
      <c r="T28" s="461"/>
      <c r="U28" s="461"/>
      <c r="V28" s="461"/>
      <c r="W28" s="461"/>
      <c r="X28" s="461"/>
      <c r="Y28" s="461"/>
      <c r="Z28" s="461"/>
      <c r="AA28" s="461"/>
      <c r="AB28" s="461"/>
      <c r="AC28" s="461"/>
      <c r="AD28" s="461"/>
      <c r="AE28" s="461"/>
      <c r="AF28" s="461"/>
      <c r="AG28" s="461"/>
    </row>
    <row r="29" spans="1:33" ht="15.75">
      <c r="B29" s="905" t="s">
        <v>44</v>
      </c>
      <c r="C29" s="907">
        <v>238.08200000000005</v>
      </c>
      <c r="D29" s="907">
        <v>3.7159999999999971</v>
      </c>
      <c r="I29" s="910">
        <v>306</v>
      </c>
      <c r="J29"/>
      <c r="K29"/>
    </row>
    <row r="30" spans="1:33" ht="15.75">
      <c r="B30"/>
      <c r="C30"/>
      <c r="D30"/>
      <c r="E30" s="114"/>
    </row>
    <row r="31" spans="1:33" ht="15.75">
      <c r="B31"/>
      <c r="C31"/>
      <c r="D31"/>
      <c r="E31" s="114"/>
    </row>
    <row r="32" spans="1:33" ht="15.75">
      <c r="B32"/>
      <c r="C32"/>
      <c r="D32"/>
      <c r="E32" s="114"/>
      <c r="I32"/>
      <c r="J32"/>
      <c r="K32"/>
      <c r="P32"/>
      <c r="Q32"/>
      <c r="R32"/>
    </row>
    <row r="33" spans="2:33" ht="15.75">
      <c r="B33"/>
      <c r="C33"/>
      <c r="D33"/>
      <c r="E33" s="114"/>
      <c r="F33" s="114"/>
      <c r="G33" s="114"/>
      <c r="H33" s="114"/>
      <c r="I33"/>
      <c r="J33"/>
      <c r="K33"/>
    </row>
    <row r="34" spans="2:33" ht="15.75">
      <c r="F34" s="114"/>
      <c r="G34" s="114"/>
      <c r="H34" s="114"/>
      <c r="I34"/>
      <c r="J34"/>
      <c r="K34"/>
    </row>
    <row r="38" spans="2:33">
      <c r="B38" s="114"/>
      <c r="C38" s="114"/>
      <c r="D38" s="114"/>
      <c r="F38" s="114"/>
      <c r="G38" s="114"/>
      <c r="H38" s="114"/>
      <c r="J38" s="114"/>
      <c r="K38" s="114"/>
      <c r="L38" s="114"/>
    </row>
    <row r="39" spans="2:33">
      <c r="B39" s="114"/>
      <c r="C39" s="114"/>
      <c r="D39" s="114"/>
      <c r="F39" s="114"/>
      <c r="G39" s="114"/>
      <c r="H39" s="114"/>
      <c r="J39" s="114"/>
      <c r="K39" s="114"/>
      <c r="L39" s="114"/>
    </row>
    <row r="40" spans="2:33">
      <c r="B40" s="903" t="s">
        <v>20</v>
      </c>
      <c r="C40" s="904" t="s">
        <v>2389</v>
      </c>
      <c r="D40" s="114"/>
      <c r="E40" s="191" t="s">
        <v>2236</v>
      </c>
      <c r="F40" s="114"/>
      <c r="G40" s="114"/>
      <c r="P40" s="903" t="s">
        <v>20</v>
      </c>
      <c r="Q40" s="904" t="s">
        <v>2389</v>
      </c>
      <c r="R40" s="114"/>
      <c r="S40" s="191" t="s">
        <v>2236</v>
      </c>
      <c r="T40" s="114"/>
    </row>
    <row r="41" spans="2:33">
      <c r="B41" s="903" t="s">
        <v>35</v>
      </c>
      <c r="C41" s="904" t="s">
        <v>35</v>
      </c>
      <c r="D41" s="114"/>
      <c r="F41" s="114"/>
      <c r="G41" s="114"/>
      <c r="P41" s="903" t="s">
        <v>35</v>
      </c>
      <c r="Q41" s="904" t="s">
        <v>35</v>
      </c>
      <c r="R41" s="114"/>
      <c r="T41" s="114"/>
    </row>
    <row r="42" spans="2:33">
      <c r="B42" s="903" t="s">
        <v>128</v>
      </c>
      <c r="C42" s="904" t="s">
        <v>44</v>
      </c>
      <c r="D42" s="114"/>
      <c r="F42" s="114"/>
      <c r="G42" s="114"/>
      <c r="P42" s="903" t="s">
        <v>128</v>
      </c>
      <c r="Q42" s="904" t="s">
        <v>44</v>
      </c>
      <c r="R42" s="114"/>
      <c r="T42" s="114"/>
    </row>
    <row r="43" spans="2:33" ht="15.75" thickBot="1">
      <c r="B43" s="114"/>
      <c r="C43" s="114"/>
      <c r="D43" s="114"/>
      <c r="F43" s="114"/>
      <c r="G43" s="114"/>
      <c r="P43" s="114"/>
      <c r="Q43" s="114"/>
      <c r="R43" s="114"/>
      <c r="S43" s="988" t="s">
        <v>132</v>
      </c>
      <c r="T43" s="989"/>
    </row>
    <row r="44" spans="2:33" ht="30.75" thickBot="1">
      <c r="B44" s="908" t="s">
        <v>22</v>
      </c>
      <c r="C44" s="909" t="s">
        <v>1889</v>
      </c>
      <c r="D44" s="904" t="s">
        <v>3082</v>
      </c>
      <c r="E44" s="904" t="s">
        <v>3083</v>
      </c>
      <c r="F44" s="904" t="s">
        <v>3084</v>
      </c>
      <c r="G44" s="114"/>
      <c r="H44" s="593" t="s">
        <v>22</v>
      </c>
      <c r="I44" s="516" t="s">
        <v>1889</v>
      </c>
      <c r="J44" s="517" t="s">
        <v>1933</v>
      </c>
      <c r="K44" s="517" t="s">
        <v>1932</v>
      </c>
      <c r="L44" s="517" t="s">
        <v>2893</v>
      </c>
      <c r="M44" s="518" t="s">
        <v>3085</v>
      </c>
      <c r="P44" s="908" t="s">
        <v>22</v>
      </c>
      <c r="Q44" s="909" t="s">
        <v>1889</v>
      </c>
      <c r="R44" s="904" t="s">
        <v>3086</v>
      </c>
      <c r="S44" s="904" t="s">
        <v>3087</v>
      </c>
      <c r="T44" s="904" t="s">
        <v>3088</v>
      </c>
      <c r="U44" s="461"/>
      <c r="V44" s="593" t="s">
        <v>22</v>
      </c>
      <c r="W44" s="516" t="s">
        <v>1889</v>
      </c>
      <c r="X44" s="517" t="s">
        <v>1933</v>
      </c>
      <c r="Y44" s="517" t="s">
        <v>2894</v>
      </c>
      <c r="Z44" s="517" t="s">
        <v>2895</v>
      </c>
      <c r="AA44" s="518" t="s">
        <v>3085</v>
      </c>
      <c r="AB44" s="461"/>
      <c r="AC44" s="461"/>
      <c r="AD44" s="461"/>
      <c r="AE44" s="461"/>
      <c r="AF44" s="461"/>
      <c r="AG44" s="461"/>
    </row>
    <row r="45" spans="2:33">
      <c r="B45" s="905" t="s">
        <v>2706</v>
      </c>
      <c r="C45" s="906">
        <v>24</v>
      </c>
      <c r="D45" s="906">
        <v>14</v>
      </c>
      <c r="E45" s="906">
        <v>852</v>
      </c>
      <c r="F45" s="906">
        <v>824</v>
      </c>
      <c r="G45" s="114"/>
      <c r="H45" s="136" t="s">
        <v>2706</v>
      </c>
      <c r="I45" s="519">
        <f>GETPIVOTDATA("Count of Site Name",$B$44,"State","Central Rakhine")</f>
        <v>24</v>
      </c>
      <c r="J45" s="519">
        <f>GETPIVOTDATA("Count of #_Water samples_Tested_at_water_source",$B$44,"State","Central Rakhine")</f>
        <v>14</v>
      </c>
      <c r="K45" s="594">
        <f>I45-J45</f>
        <v>10</v>
      </c>
      <c r="L45" s="519">
        <f>GETPIVOTDATA("Sum of #_Water samples_Tested_at_water_source2",$B$44,"State","Central Rakhine")</f>
        <v>852</v>
      </c>
      <c r="M45" s="519">
        <f>GETPIVOTDATA("Sum of #_Water samples _passed_at_water source",$B$44,"State","Central Rakhine")</f>
        <v>824</v>
      </c>
      <c r="P45" s="905" t="s">
        <v>2706</v>
      </c>
      <c r="Q45" s="906">
        <v>24</v>
      </c>
      <c r="R45" s="906">
        <v>13</v>
      </c>
      <c r="S45" s="906">
        <v>662</v>
      </c>
      <c r="T45" s="906">
        <v>13</v>
      </c>
      <c r="V45" s="136" t="s">
        <v>2706</v>
      </c>
      <c r="W45" s="519">
        <f>GETPIVOTDATA("Count of Site Name",$P$44,"State","Central Rakhine")</f>
        <v>24</v>
      </c>
      <c r="X45" s="519">
        <f>GETPIVOTDATA("Count of #_Water samples_Tested_at_HH",$P$44,"State","Central Rakhine")</f>
        <v>13</v>
      </c>
      <c r="Y45" s="519">
        <f>W45-X45</f>
        <v>11</v>
      </c>
      <c r="Z45" s="519">
        <f>GETPIVOTDATA("Sum of #_Water samples_Tested_at_HH2",$P$44,"State","Central Rakhine")</f>
        <v>662</v>
      </c>
      <c r="AA45" s="519">
        <f>GETPIVOTDATA("Count of #_Water samples _passed_at_HH",$P$44,"State","Central Rakhine")</f>
        <v>13</v>
      </c>
    </row>
    <row r="46" spans="2:33">
      <c r="B46" s="905" t="s">
        <v>1630</v>
      </c>
      <c r="C46" s="906">
        <v>24</v>
      </c>
      <c r="D46" s="906">
        <v>14</v>
      </c>
      <c r="E46" s="906">
        <v>852</v>
      </c>
      <c r="F46" s="906">
        <v>824</v>
      </c>
      <c r="G46" s="114"/>
      <c r="P46" s="905" t="s">
        <v>1630</v>
      </c>
      <c r="Q46" s="906">
        <v>24</v>
      </c>
      <c r="R46" s="906">
        <v>13</v>
      </c>
      <c r="S46" s="906">
        <v>662</v>
      </c>
      <c r="T46" s="906">
        <v>13</v>
      </c>
    </row>
    <row r="47" spans="2:33" ht="15.75">
      <c r="B47"/>
      <c r="C47"/>
      <c r="D47"/>
      <c r="E47"/>
      <c r="F47"/>
      <c r="G47" s="114"/>
      <c r="P47"/>
      <c r="Q47"/>
      <c r="R47"/>
      <c r="S47"/>
      <c r="T47"/>
    </row>
    <row r="48" spans="2:33" ht="15.75">
      <c r="B48"/>
      <c r="C48"/>
      <c r="D48"/>
      <c r="E48"/>
      <c r="F48"/>
      <c r="P48"/>
      <c r="Q48"/>
      <c r="R48"/>
      <c r="S48"/>
      <c r="T48"/>
    </row>
    <row r="49" spans="2:7">
      <c r="B49" s="114"/>
      <c r="C49" s="114"/>
      <c r="D49" s="114"/>
    </row>
    <row r="50" spans="2:7">
      <c r="B50" s="903" t="s">
        <v>20</v>
      </c>
      <c r="C50" s="904" t="s">
        <v>2389</v>
      </c>
      <c r="D50" s="114"/>
    </row>
    <row r="51" spans="2:7">
      <c r="B51" s="903" t="s">
        <v>35</v>
      </c>
      <c r="C51" s="904" t="s">
        <v>35</v>
      </c>
      <c r="D51" s="114"/>
      <c r="E51" s="191" t="s">
        <v>2236</v>
      </c>
    </row>
    <row r="52" spans="2:7">
      <c r="B52" s="903" t="s">
        <v>128</v>
      </c>
      <c r="C52" s="904" t="s">
        <v>44</v>
      </c>
      <c r="D52" s="114"/>
    </row>
    <row r="53" spans="2:7">
      <c r="B53" s="114"/>
      <c r="C53" s="114"/>
      <c r="D53" s="114"/>
    </row>
    <row r="54" spans="2:7">
      <c r="B54" s="903" t="s">
        <v>2715</v>
      </c>
      <c r="C54" s="903" t="s">
        <v>1944</v>
      </c>
      <c r="D54" s="904"/>
    </row>
    <row r="55" spans="2:7">
      <c r="B55" s="908" t="s">
        <v>22</v>
      </c>
      <c r="C55" s="904" t="s">
        <v>1932</v>
      </c>
      <c r="D55" s="904" t="s">
        <v>1933</v>
      </c>
    </row>
    <row r="56" spans="2:7">
      <c r="B56" s="905" t="s">
        <v>2706</v>
      </c>
      <c r="C56" s="906">
        <v>8</v>
      </c>
      <c r="D56" s="906">
        <v>16</v>
      </c>
    </row>
    <row r="57" spans="2:7" ht="15.75">
      <c r="B57"/>
      <c r="C57"/>
      <c r="D57"/>
    </row>
    <row r="58" spans="2:7" ht="15.75">
      <c r="B58"/>
      <c r="C58"/>
      <c r="D58"/>
    </row>
    <row r="59" spans="2:7" ht="15.75" thickBot="1">
      <c r="B59" s="114"/>
      <c r="C59" s="114"/>
      <c r="D59" s="114"/>
    </row>
    <row r="60" spans="2:7">
      <c r="B60" s="117"/>
      <c r="C60" s="120" t="s">
        <v>1932</v>
      </c>
      <c r="D60" s="121" t="s">
        <v>1933</v>
      </c>
      <c r="E60" s="114"/>
      <c r="F60" s="114"/>
      <c r="G60" s="114"/>
    </row>
    <row r="61" spans="2:7">
      <c r="B61" s="118"/>
      <c r="C61" s="122"/>
      <c r="D61" s="123"/>
      <c r="E61" s="114"/>
      <c r="F61" s="114"/>
      <c r="G61" s="114"/>
    </row>
    <row r="62" spans="2:7">
      <c r="B62" s="118" t="s">
        <v>298</v>
      </c>
      <c r="C62" s="122">
        <f>GETPIVOTDATA("Warter quality test done",$B$54,"State","Central Rakhine","Warter quality test done","No Test")</f>
        <v>8</v>
      </c>
      <c r="D62" s="123">
        <f>GETPIVOTDATA("Warter quality test done",$B$54,"State","Central Rakhine","Warter quality test done","Tested")</f>
        <v>16</v>
      </c>
      <c r="E62" s="114"/>
      <c r="F62" s="114"/>
      <c r="G62" s="114"/>
    </row>
    <row r="63" spans="2:7" ht="15.75" thickBot="1">
      <c r="B63" s="119"/>
      <c r="C63" s="124"/>
      <c r="D63" s="125"/>
      <c r="E63" s="110"/>
      <c r="F63" s="110"/>
      <c r="G63" s="111"/>
    </row>
    <row r="64" spans="2:7" s="126" customFormat="1">
      <c r="B64" s="127"/>
      <c r="C64" s="128"/>
      <c r="D64" s="128"/>
      <c r="E64" s="129"/>
      <c r="F64" s="129"/>
      <c r="G64" s="130"/>
    </row>
    <row r="65" spans="2:24" s="126" customFormat="1">
      <c r="B65" s="127"/>
      <c r="C65" s="128"/>
      <c r="D65" s="128"/>
      <c r="E65" s="129"/>
      <c r="F65" s="129"/>
      <c r="G65" s="130"/>
    </row>
    <row r="66" spans="2:24" s="126" customFormat="1">
      <c r="B66" s="127"/>
      <c r="C66" s="128"/>
      <c r="D66" s="128"/>
      <c r="E66" s="129"/>
      <c r="F66" s="129"/>
      <c r="G66" s="130"/>
    </row>
    <row r="67" spans="2:24" s="126" customFormat="1" ht="15.75">
      <c r="B67"/>
      <c r="C67"/>
      <c r="D67"/>
      <c r="E67"/>
      <c r="F67" s="129"/>
      <c r="G67" s="130"/>
    </row>
    <row r="68" spans="2:24" s="126" customFormat="1" ht="15.75">
      <c r="B68"/>
      <c r="C68"/>
      <c r="D68"/>
      <c r="E68"/>
      <c r="F68" s="129"/>
      <c r="G68" s="130"/>
      <c r="M68"/>
      <c r="N68"/>
      <c r="O68"/>
    </row>
    <row r="69" spans="2:24" s="126" customFormat="1" ht="15.75">
      <c r="B69"/>
      <c r="C69"/>
      <c r="D69"/>
      <c r="E69"/>
      <c r="F69" s="129"/>
      <c r="G69" s="130"/>
      <c r="M69"/>
      <c r="N69"/>
      <c r="O69"/>
    </row>
    <row r="70" spans="2:24" s="126" customFormat="1" ht="15.75">
      <c r="B70"/>
      <c r="C70"/>
      <c r="D70"/>
      <c r="E70" s="129"/>
      <c r="F70" s="129"/>
      <c r="G70" s="130"/>
      <c r="M70"/>
      <c r="N70"/>
      <c r="O70"/>
    </row>
    <row r="71" spans="2:24" s="126" customFormat="1" ht="15.75">
      <c r="B71"/>
      <c r="C71"/>
      <c r="D71"/>
      <c r="E71" s="129"/>
      <c r="F71" s="129"/>
      <c r="G71" s="130"/>
    </row>
    <row r="72" spans="2:24" s="126" customFormat="1" ht="15.75">
      <c r="B72"/>
      <c r="C72"/>
      <c r="D72"/>
      <c r="E72" s="129"/>
      <c r="F72" s="129"/>
      <c r="G72" s="130"/>
    </row>
    <row r="73" spans="2:24" s="126" customFormat="1" ht="15.75">
      <c r="B73"/>
      <c r="C73"/>
      <c r="D73" s="128"/>
      <c r="E73" s="129"/>
      <c r="F73" s="129"/>
      <c r="G73" s="130"/>
    </row>
    <row r="74" spans="2:24" s="126" customFormat="1">
      <c r="B74" s="903" t="s">
        <v>20</v>
      </c>
      <c r="C74" s="904" t="s">
        <v>2389</v>
      </c>
      <c r="D74" s="114"/>
      <c r="E74" s="129"/>
      <c r="F74" s="129"/>
      <c r="G74" s="130"/>
    </row>
    <row r="75" spans="2:24" s="126" customFormat="1">
      <c r="B75" s="903" t="s">
        <v>35</v>
      </c>
      <c r="C75" s="904" t="s">
        <v>35</v>
      </c>
      <c r="D75" s="114"/>
      <c r="E75" s="129"/>
      <c r="F75" s="129"/>
      <c r="G75" s="130"/>
    </row>
    <row r="76" spans="2:24" s="126" customFormat="1">
      <c r="B76" s="922" t="s">
        <v>22</v>
      </c>
      <c r="C76" s="904" t="s">
        <v>2706</v>
      </c>
      <c r="D76" s="114"/>
      <c r="E76" s="129"/>
      <c r="F76" s="129"/>
      <c r="G76" s="130"/>
    </row>
    <row r="77" spans="2:24" s="126" customFormat="1">
      <c r="B77" s="455" t="s">
        <v>298</v>
      </c>
      <c r="C77" s="114"/>
      <c r="D77" s="114"/>
      <c r="E77" s="129"/>
      <c r="F77" s="129"/>
      <c r="G77" s="130"/>
    </row>
    <row r="78" spans="2:24" s="126" customFormat="1" ht="15.75">
      <c r="B78" s="918" t="s">
        <v>22</v>
      </c>
      <c r="C78" s="904" t="s">
        <v>2854</v>
      </c>
      <c r="D78" s="904" t="s">
        <v>2850</v>
      </c>
      <c r="E78" s="129"/>
      <c r="F78" s="129"/>
      <c r="G78" s="130"/>
      <c r="V78"/>
      <c r="W78"/>
      <c r="X78"/>
    </row>
    <row r="79" spans="2:24" s="126" customFormat="1" ht="15.75">
      <c r="B79" s="905" t="s">
        <v>361</v>
      </c>
      <c r="C79" s="911">
        <v>1</v>
      </c>
      <c r="D79" s="911">
        <v>0</v>
      </c>
      <c r="E79" s="129"/>
      <c r="F79" s="129"/>
      <c r="G79" s="130"/>
      <c r="V79"/>
      <c r="W79"/>
      <c r="X79"/>
    </row>
    <row r="80" spans="2:24" s="126" customFormat="1" ht="15.75">
      <c r="B80" s="905" t="s">
        <v>403</v>
      </c>
      <c r="C80" s="911">
        <v>1</v>
      </c>
      <c r="D80" s="911">
        <v>0</v>
      </c>
      <c r="E80" s="129"/>
      <c r="F80" s="129"/>
      <c r="G80" s="130"/>
      <c r="K80"/>
      <c r="L80"/>
      <c r="M80"/>
      <c r="V80"/>
      <c r="W80"/>
      <c r="X80"/>
    </row>
    <row r="81" spans="1:30" s="126" customFormat="1" ht="15.75">
      <c r="B81" s="905" t="s">
        <v>406</v>
      </c>
      <c r="C81" s="911">
        <v>1</v>
      </c>
      <c r="D81" s="911">
        <v>0</v>
      </c>
      <c r="E81" s="129"/>
      <c r="F81" s="129"/>
      <c r="G81" s="130"/>
      <c r="K81"/>
      <c r="L81"/>
      <c r="M81"/>
      <c r="V81"/>
      <c r="W81"/>
      <c r="X81"/>
    </row>
    <row r="82" spans="1:30" s="126" customFormat="1" ht="15.75">
      <c r="B82" s="905" t="s">
        <v>299</v>
      </c>
      <c r="C82" s="911">
        <v>0.99876404007112185</v>
      </c>
      <c r="D82" s="911">
        <v>1.2359599288781498E-3</v>
      </c>
      <c r="E82" s="129"/>
      <c r="F82" s="129"/>
      <c r="G82" s="130"/>
      <c r="K82"/>
      <c r="L82"/>
      <c r="M82"/>
      <c r="V82"/>
      <c r="W82"/>
      <c r="X82"/>
    </row>
    <row r="83" spans="1:30" s="126" customFormat="1" ht="15.75">
      <c r="B83"/>
      <c r="C83"/>
      <c r="D83"/>
      <c r="E83" s="129"/>
      <c r="F83" s="129"/>
      <c r="G83" s="130"/>
      <c r="K83"/>
      <c r="L83"/>
      <c r="M83"/>
      <c r="V83"/>
      <c r="W83"/>
      <c r="X83"/>
    </row>
    <row r="84" spans="1:30" s="126" customFormat="1" ht="15.75">
      <c r="B84"/>
      <c r="C84"/>
      <c r="D84" s="128"/>
      <c r="E84" s="129"/>
      <c r="F84" s="129"/>
      <c r="G84" s="130"/>
      <c r="K84"/>
      <c r="L84"/>
      <c r="M84"/>
      <c r="T84"/>
      <c r="U84"/>
      <c r="V84"/>
      <c r="W84"/>
      <c r="X84"/>
      <c r="Y84"/>
    </row>
    <row r="85" spans="1:30" s="126" customFormat="1" ht="15.75">
      <c r="B85"/>
      <c r="C85"/>
      <c r="D85" s="128"/>
      <c r="E85" s="129"/>
      <c r="F85" s="129"/>
      <c r="G85" s="130"/>
      <c r="K85"/>
      <c r="L85"/>
      <c r="M85"/>
      <c r="T85"/>
      <c r="U85"/>
      <c r="V85"/>
    </row>
    <row r="86" spans="1:30" s="126" customFormat="1" ht="15.75">
      <c r="B86"/>
      <c r="C86"/>
      <c r="D86" s="128"/>
      <c r="E86" s="129"/>
      <c r="F86" s="129"/>
      <c r="G86" s="130"/>
      <c r="K86"/>
      <c r="L86"/>
      <c r="M86"/>
      <c r="T86"/>
      <c r="U86"/>
      <c r="V86"/>
    </row>
    <row r="87" spans="1:30" s="126" customFormat="1" ht="15.75">
      <c r="B87"/>
      <c r="C87"/>
      <c r="D87" s="128"/>
      <c r="E87" s="129"/>
      <c r="F87" s="129"/>
      <c r="G87" s="130"/>
      <c r="K87"/>
      <c r="L87"/>
      <c r="M87"/>
      <c r="T87"/>
      <c r="U87"/>
      <c r="V87"/>
    </row>
    <row r="88" spans="1:30" s="126" customFormat="1" ht="15.75">
      <c r="B88" s="127"/>
      <c r="C88" s="128"/>
      <c r="D88" s="128"/>
      <c r="E88" s="129"/>
      <c r="F88" s="129"/>
      <c r="G88" s="130"/>
      <c r="K88"/>
      <c r="L88"/>
      <c r="M88"/>
      <c r="T88"/>
      <c r="U88"/>
    </row>
    <row r="89" spans="1:30" s="126" customFormat="1" ht="15.75">
      <c r="B89" s="127"/>
      <c r="C89" s="128"/>
      <c r="D89" s="128"/>
      <c r="E89" s="129"/>
      <c r="F89" s="129"/>
      <c r="G89" s="130"/>
      <c r="T89"/>
      <c r="U89"/>
    </row>
    <row r="90" spans="1:30" s="140" customFormat="1" ht="18.75">
      <c r="A90" s="105" t="s">
        <v>2003</v>
      </c>
      <c r="B90" s="105"/>
      <c r="C90" s="137"/>
      <c r="D90" s="138"/>
      <c r="E90" s="138"/>
      <c r="F90" s="138"/>
      <c r="G90" s="139"/>
      <c r="H90" s="105"/>
      <c r="I90" s="105"/>
      <c r="J90" s="105"/>
      <c r="K90" s="105"/>
      <c r="L90" s="105"/>
      <c r="M90" s="105"/>
      <c r="N90" s="105"/>
      <c r="O90" s="105"/>
      <c r="P90" s="105"/>
      <c r="Q90" s="105"/>
      <c r="R90" s="105"/>
      <c r="S90" s="105"/>
      <c r="T90" s="105"/>
      <c r="U90" s="105"/>
      <c r="V90" s="105"/>
      <c r="W90" s="105"/>
      <c r="X90" s="105"/>
      <c r="Y90" s="105"/>
      <c r="Z90" s="105"/>
    </row>
    <row r="91" spans="1:30">
      <c r="C91" s="109"/>
      <c r="D91" s="110"/>
      <c r="E91" s="110"/>
      <c r="F91" s="110"/>
      <c r="G91" s="111"/>
    </row>
    <row r="92" spans="1:30" ht="15.75">
      <c r="F92" s="110"/>
      <c r="G92" s="111"/>
      <c r="K92"/>
      <c r="L92"/>
    </row>
    <row r="93" spans="1:30" ht="15.75" thickBot="1">
      <c r="C93" s="903" t="s">
        <v>20</v>
      </c>
      <c r="D93" s="904" t="s">
        <v>2389</v>
      </c>
      <c r="E93" s="110"/>
      <c r="S93" s="904"/>
      <c r="T93" s="904"/>
    </row>
    <row r="94" spans="1:30">
      <c r="C94" s="915" t="s">
        <v>22</v>
      </c>
      <c r="D94" s="904" t="s">
        <v>2706</v>
      </c>
      <c r="F94" s="142" t="s">
        <v>298</v>
      </c>
      <c r="G94" s="143" t="s">
        <v>3200</v>
      </c>
      <c r="I94" s="114" t="s">
        <v>1943</v>
      </c>
      <c r="J94" s="113">
        <f>G95</f>
        <v>5256</v>
      </c>
    </row>
    <row r="95" spans="1:30">
      <c r="C95" s="903" t="s">
        <v>35</v>
      </c>
      <c r="D95" s="904" t="s">
        <v>35</v>
      </c>
      <c r="F95" s="144" t="s">
        <v>1640</v>
      </c>
      <c r="G95" s="145">
        <f>GETPIVOTDATA("Sum of #_Functional_adult_latrines",$C$97,"Location Type","# in active camps (20:1)")+GETPIVOTDATA("Sum of #_of_functional_children_latrines",$C$97,"Location Type","# in active camps (20:1)")</f>
        <v>5256</v>
      </c>
      <c r="I95" s="114" t="s">
        <v>3199</v>
      </c>
      <c r="J95" s="113">
        <f>GETPIVOTDATA("Sum of #_Existing_latrines",$C$97,"Location Type","# in active camps (20:1)")-J94</f>
        <v>656</v>
      </c>
      <c r="S95" s="904"/>
      <c r="T95" s="904"/>
    </row>
    <row r="96" spans="1:30" s="112" customFormat="1">
      <c r="C96" s="107"/>
      <c r="D96" s="107"/>
      <c r="E96" s="107"/>
      <c r="F96" s="144" t="s">
        <v>1940</v>
      </c>
      <c r="G96" s="145">
        <f>G98-G95</f>
        <v>704</v>
      </c>
      <c r="H96" s="107"/>
      <c r="I96" s="114" t="s">
        <v>2717</v>
      </c>
      <c r="J96" s="113">
        <f>G97</f>
        <v>1452</v>
      </c>
      <c r="M96" s="107"/>
      <c r="S96" s="107"/>
      <c r="T96" s="107"/>
      <c r="U96" s="107"/>
      <c r="V96" s="107"/>
      <c r="W96" s="107"/>
      <c r="Y96" s="107"/>
      <c r="AC96" s="107"/>
      <c r="AD96" s="107"/>
    </row>
    <row r="97" spans="1:21" ht="30">
      <c r="C97" s="904"/>
      <c r="D97" s="903" t="s">
        <v>1887</v>
      </c>
      <c r="E97"/>
      <c r="F97" s="144" t="s">
        <v>2720</v>
      </c>
      <c r="G97" s="145">
        <f>GETPIVOTDATA("Sum of #_latrines_repaired",$C$97,"Location Type","# in active camps (20:1)")</f>
        <v>1452</v>
      </c>
      <c r="I97" s="114"/>
      <c r="J97" s="113"/>
      <c r="M97"/>
      <c r="Q97" s="114"/>
      <c r="S97"/>
      <c r="T97"/>
      <c r="U97"/>
    </row>
    <row r="98" spans="1:21" ht="16.5" thickBot="1">
      <c r="C98" s="903" t="s">
        <v>1888</v>
      </c>
      <c r="D98" s="904" t="s">
        <v>1930</v>
      </c>
      <c r="E98"/>
      <c r="F98" s="146" t="s">
        <v>1929</v>
      </c>
      <c r="G98" s="465">
        <f>GETPIVOTDATA("# latrines (target)",$C$97,"Location Type","# in active camps (20:1)")</f>
        <v>5960</v>
      </c>
      <c r="M98"/>
      <c r="Q98" s="114"/>
      <c r="S98"/>
      <c r="T98"/>
      <c r="U98"/>
    </row>
    <row r="99" spans="1:21" ht="15.75">
      <c r="C99" s="905" t="s">
        <v>1929</v>
      </c>
      <c r="D99" s="910">
        <v>5960</v>
      </c>
      <c r="E99"/>
      <c r="F99"/>
      <c r="G99"/>
      <c r="M99"/>
      <c r="Q99" s="114"/>
      <c r="S99"/>
      <c r="T99"/>
      <c r="U99"/>
    </row>
    <row r="100" spans="1:21" ht="15.75">
      <c r="C100" s="905" t="s">
        <v>3089</v>
      </c>
      <c r="D100" s="910">
        <v>1452</v>
      </c>
      <c r="E100"/>
      <c r="F100"/>
      <c r="G100" s="858"/>
      <c r="M100"/>
      <c r="Q100" s="114"/>
      <c r="S100"/>
      <c r="T100"/>
      <c r="U100"/>
    </row>
    <row r="101" spans="1:21" ht="15.75">
      <c r="C101" s="905" t="s">
        <v>3090</v>
      </c>
      <c r="D101" s="910">
        <v>5912</v>
      </c>
      <c r="E101"/>
      <c r="F101"/>
      <c r="G101"/>
      <c r="K101"/>
      <c r="L101"/>
      <c r="M101"/>
      <c r="Q101" s="114"/>
      <c r="S101"/>
      <c r="T101"/>
      <c r="U101"/>
    </row>
    <row r="102" spans="1:21" ht="15.75">
      <c r="C102" s="905" t="s">
        <v>3091</v>
      </c>
      <c r="D102" s="910">
        <v>5092</v>
      </c>
      <c r="E102"/>
      <c r="F102"/>
      <c r="G102"/>
      <c r="K102"/>
      <c r="L102"/>
      <c r="M102"/>
      <c r="Q102" s="114"/>
      <c r="S102"/>
      <c r="T102"/>
      <c r="U102"/>
    </row>
    <row r="103" spans="1:21" ht="15.75">
      <c r="B103" s="114"/>
      <c r="C103" s="905" t="s">
        <v>3092</v>
      </c>
      <c r="D103" s="910">
        <v>401</v>
      </c>
      <c r="E103"/>
      <c r="F103"/>
      <c r="G103"/>
      <c r="K103"/>
      <c r="L103"/>
      <c r="M103"/>
      <c r="Q103" s="114"/>
      <c r="S103"/>
      <c r="T103"/>
      <c r="U103"/>
    </row>
    <row r="104" spans="1:21" ht="15.75">
      <c r="B104" s="114"/>
      <c r="C104" s="905" t="s">
        <v>3093</v>
      </c>
      <c r="D104" s="910">
        <v>164</v>
      </c>
      <c r="E104"/>
      <c r="F104"/>
      <c r="G104"/>
      <c r="K104"/>
      <c r="L104"/>
      <c r="M104"/>
      <c r="Q104" s="114"/>
      <c r="S104"/>
      <c r="T104"/>
      <c r="U104"/>
    </row>
    <row r="105" spans="1:21" ht="15.75">
      <c r="C105"/>
      <c r="D105"/>
      <c r="F105"/>
      <c r="G105"/>
      <c r="J105" s="109"/>
      <c r="K105"/>
      <c r="L105"/>
      <c r="M105"/>
      <c r="Q105" s="114"/>
      <c r="R105" s="114"/>
      <c r="S105"/>
      <c r="T105"/>
      <c r="U105"/>
    </row>
    <row r="106" spans="1:21" ht="15.75">
      <c r="C106"/>
      <c r="D106"/>
      <c r="E106" s="110"/>
      <c r="F106" s="114"/>
      <c r="G106" s="114"/>
    </row>
    <row r="107" spans="1:21">
      <c r="C107" s="903" t="s">
        <v>20</v>
      </c>
      <c r="D107" s="904" t="s">
        <v>2389</v>
      </c>
      <c r="F107" s="114"/>
      <c r="G107" s="114"/>
    </row>
    <row r="108" spans="1:21">
      <c r="A108" s="463" t="s">
        <v>2719</v>
      </c>
      <c r="C108" s="915" t="s">
        <v>22</v>
      </c>
      <c r="D108" s="904" t="s">
        <v>2706</v>
      </c>
    </row>
    <row r="109" spans="1:21">
      <c r="A109" s="463" t="s">
        <v>2718</v>
      </c>
      <c r="B109" s="112"/>
      <c r="C109" s="903" t="s">
        <v>35</v>
      </c>
      <c r="D109" s="904" t="s">
        <v>35</v>
      </c>
    </row>
    <row r="111" spans="1:21" ht="15.75">
      <c r="C111" s="903" t="s">
        <v>1888</v>
      </c>
      <c r="D111" s="904"/>
      <c r="E111"/>
      <c r="F111" s="756" t="s">
        <v>3118</v>
      </c>
      <c r="G111" s="757" t="s">
        <v>3116</v>
      </c>
      <c r="H111" s="758" t="s">
        <v>3117</v>
      </c>
    </row>
    <row r="112" spans="1:21" ht="15.75">
      <c r="C112" s="905" t="s">
        <v>3112</v>
      </c>
      <c r="D112" s="911">
        <v>0.97250000000000014</v>
      </c>
      <c r="E112"/>
      <c r="F112" s="759" t="s">
        <v>3119</v>
      </c>
      <c r="G112" s="760">
        <f>GETPIVOTDATA("Average of %_of_Men_that_feel_safe_to_use_latrines_when_they_need_to_(or_at_day/night)'?",$C$111)</f>
        <v>0.97250000000000014</v>
      </c>
      <c r="H112" s="760">
        <f>1-G112</f>
        <v>2.7499999999999858E-2</v>
      </c>
    </row>
    <row r="113" spans="2:21">
      <c r="C113" s="905" t="s">
        <v>3113</v>
      </c>
      <c r="D113" s="911">
        <v>0.6908333333333333</v>
      </c>
      <c r="F113" s="759" t="s">
        <v>3120</v>
      </c>
      <c r="G113" s="760">
        <f>GETPIVOTDATA("Average of %_of_Women_that_feel_safe_to_use_latrines_when_they_need_to_(or_at_day/night)?",$C$111)</f>
        <v>0.6908333333333333</v>
      </c>
      <c r="H113" s="760">
        <f t="shared" ref="H113:H115" si="0">1-G113</f>
        <v>0.3091666666666667</v>
      </c>
      <c r="I113" s="461"/>
      <c r="J113" s="461"/>
      <c r="K113" s="461"/>
      <c r="L113" s="461"/>
      <c r="M113" s="461"/>
      <c r="N113" s="461"/>
      <c r="O113" s="461"/>
      <c r="P113" s="461"/>
      <c r="Q113" s="461"/>
      <c r="R113" s="461"/>
    </row>
    <row r="114" spans="2:21">
      <c r="C114" s="905" t="s">
        <v>3114</v>
      </c>
      <c r="D114" s="911">
        <v>0.67916666666666659</v>
      </c>
      <c r="F114" s="759" t="s">
        <v>3121</v>
      </c>
      <c r="G114" s="760">
        <f>GETPIVOTDATA("Average of %_of_Boys_that_feel_safe_to_use_latrines_when_they_need_to_(or_at_day/night)?",$C$111)</f>
        <v>0.67916666666666659</v>
      </c>
      <c r="H114" s="760">
        <f t="shared" si="0"/>
        <v>0.32083333333333341</v>
      </c>
      <c r="Q114" s="114"/>
      <c r="R114" s="114"/>
    </row>
    <row r="115" spans="2:21" ht="15.75">
      <c r="C115" s="905" t="s">
        <v>3115</v>
      </c>
      <c r="D115" s="911">
        <v>0.67333333333333334</v>
      </c>
      <c r="E115" s="530"/>
      <c r="F115" s="759" t="s">
        <v>3122</v>
      </c>
      <c r="G115" s="760">
        <f>GETPIVOTDATA("Average of %_of_Girlss_that_feel_safe_to_use_latrines_when_they_need_to_(or_at_day/night)?",$C$111)</f>
        <v>0.67333333333333334</v>
      </c>
      <c r="H115" s="760">
        <f t="shared" si="0"/>
        <v>0.32666666666666666</v>
      </c>
      <c r="K115" s="147"/>
      <c r="L115" s="148"/>
      <c r="M115" s="148"/>
      <c r="Q115" s="114"/>
      <c r="R115" s="114"/>
    </row>
    <row r="116" spans="2:21" ht="15.75">
      <c r="B116" s="114"/>
      <c r="C116"/>
      <c r="D116"/>
      <c r="E116" s="148"/>
      <c r="K116" s="147"/>
      <c r="L116" s="148"/>
      <c r="M116" s="148"/>
      <c r="Q116" s="114"/>
      <c r="R116" s="114"/>
    </row>
    <row r="117" spans="2:21" ht="15.75">
      <c r="B117" s="114"/>
      <c r="C117"/>
      <c r="D117"/>
      <c r="E117" s="148"/>
      <c r="K117" s="147"/>
      <c r="L117" s="148"/>
      <c r="M117" s="148"/>
      <c r="Q117" s="114"/>
      <c r="R117" s="114"/>
      <c r="S117" s="147"/>
      <c r="T117" s="148"/>
      <c r="U117" s="148"/>
    </row>
    <row r="118" spans="2:21" ht="15.75">
      <c r="B118" s="114"/>
      <c r="C118"/>
      <c r="D118"/>
      <c r="E118" s="111"/>
      <c r="J118" s="114"/>
      <c r="K118" s="114"/>
      <c r="L118" s="114"/>
      <c r="Q118" s="114"/>
      <c r="R118" s="114"/>
      <c r="S118" s="114"/>
    </row>
    <row r="119" spans="2:21">
      <c r="B119" s="114"/>
      <c r="C119" s="109"/>
      <c r="D119" s="111"/>
      <c r="E119" s="111"/>
      <c r="J119" s="114"/>
      <c r="K119" s="114"/>
      <c r="L119" s="114"/>
      <c r="Q119" s="114"/>
      <c r="R119" s="114"/>
      <c r="S119" s="114"/>
    </row>
    <row r="120" spans="2:21">
      <c r="B120" s="114"/>
      <c r="C120" s="109"/>
      <c r="D120" s="111"/>
      <c r="E120" s="111"/>
      <c r="F120" s="114"/>
      <c r="G120" s="114"/>
      <c r="J120" s="114"/>
      <c r="K120" s="114"/>
      <c r="L120" s="114"/>
      <c r="Q120" s="114"/>
      <c r="R120" s="114"/>
      <c r="S120" s="114"/>
    </row>
    <row r="121" spans="2:21">
      <c r="B121" s="114"/>
      <c r="C121" s="109"/>
      <c r="D121" s="111"/>
      <c r="E121" s="111"/>
      <c r="F121" s="114"/>
      <c r="G121" s="114"/>
      <c r="J121" s="114"/>
      <c r="K121" s="114"/>
      <c r="L121" s="114"/>
      <c r="Q121" s="114"/>
      <c r="R121" s="114"/>
      <c r="S121" s="114"/>
    </row>
    <row r="122" spans="2:21">
      <c r="B122" s="114"/>
      <c r="C122" s="109"/>
      <c r="D122" s="111"/>
      <c r="E122" s="111"/>
      <c r="F122" s="114"/>
      <c r="G122" s="114"/>
      <c r="J122" s="114"/>
      <c r="K122" s="114"/>
      <c r="L122" s="114"/>
      <c r="Q122" s="114"/>
      <c r="R122" s="114"/>
      <c r="S122" s="114"/>
    </row>
    <row r="123" spans="2:21">
      <c r="B123" s="114"/>
      <c r="C123" s="109"/>
      <c r="D123" s="111"/>
      <c r="E123" s="111"/>
      <c r="F123" s="114"/>
      <c r="G123" s="114"/>
      <c r="J123" s="114"/>
      <c r="K123" s="114"/>
      <c r="L123" s="114"/>
      <c r="Q123" s="114"/>
      <c r="R123" s="114"/>
      <c r="S123" s="114"/>
    </row>
    <row r="124" spans="2:21" ht="15.75">
      <c r="B124"/>
      <c r="C124"/>
      <c r="E124" s="111"/>
      <c r="F124" s="114"/>
      <c r="G124" s="114"/>
      <c r="J124" s="114"/>
      <c r="K124" s="903" t="s">
        <v>20</v>
      </c>
      <c r="L124" s="904" t="s">
        <v>2389</v>
      </c>
      <c r="Q124" s="114"/>
      <c r="R124" s="114"/>
      <c r="S124" s="114"/>
    </row>
    <row r="125" spans="2:21">
      <c r="B125" s="903" t="s">
        <v>20</v>
      </c>
      <c r="C125" s="904" t="s">
        <v>2389</v>
      </c>
      <c r="E125" s="111"/>
      <c r="F125" s="114"/>
      <c r="G125" s="114"/>
      <c r="J125" s="114"/>
      <c r="K125" s="903" t="s">
        <v>35</v>
      </c>
      <c r="L125" s="904" t="s">
        <v>35</v>
      </c>
      <c r="Q125" s="114"/>
      <c r="R125" s="114"/>
      <c r="S125" s="114"/>
    </row>
    <row r="126" spans="2:21">
      <c r="B126" s="903" t="s">
        <v>35</v>
      </c>
      <c r="C126" s="904" t="s">
        <v>35</v>
      </c>
      <c r="E126" s="111"/>
      <c r="F126" s="114"/>
      <c r="G126" s="114"/>
      <c r="J126" s="114"/>
      <c r="Q126" s="114"/>
      <c r="R126" s="114"/>
      <c r="S126" s="114"/>
    </row>
    <row r="127" spans="2:21">
      <c r="E127" s="111"/>
      <c r="F127" s="114"/>
      <c r="G127" s="114"/>
      <c r="J127" s="114"/>
      <c r="K127" s="904" t="s">
        <v>3129</v>
      </c>
      <c r="L127" s="904" t="s">
        <v>3092</v>
      </c>
      <c r="M127" s="461"/>
      <c r="N127" s="461"/>
      <c r="O127" s="461"/>
      <c r="P127" s="461"/>
      <c r="Q127" s="764"/>
      <c r="R127" s="764"/>
      <c r="S127" s="764"/>
      <c r="T127" s="461"/>
      <c r="U127" s="461"/>
    </row>
    <row r="128" spans="2:21" ht="15.75">
      <c r="B128" s="904" t="s">
        <v>3124</v>
      </c>
      <c r="C128" s="904" t="s">
        <v>3125</v>
      </c>
      <c r="D128"/>
      <c r="K128" s="906">
        <v>14580</v>
      </c>
      <c r="L128" s="906">
        <v>401</v>
      </c>
    </row>
    <row r="129" spans="2:19" ht="15.75">
      <c r="B129" s="906">
        <v>23154</v>
      </c>
      <c r="C129" s="906">
        <v>229</v>
      </c>
      <c r="D129"/>
      <c r="E129" s="461"/>
      <c r="F129" s="461"/>
      <c r="G129" s="461"/>
      <c r="H129" s="461"/>
      <c r="I129" s="461"/>
      <c r="J129" s="461"/>
      <c r="K129" s="461"/>
      <c r="L129" s="461"/>
      <c r="M129" s="461"/>
      <c r="N129" s="461"/>
      <c r="O129" s="461"/>
      <c r="P129" s="461"/>
      <c r="Q129" s="461"/>
      <c r="R129" s="461"/>
      <c r="S129" s="461"/>
    </row>
    <row r="130" spans="2:19" ht="15.75">
      <c r="B130"/>
      <c r="C130"/>
      <c r="D130"/>
      <c r="E130"/>
      <c r="F130"/>
      <c r="G130"/>
      <c r="K130" s="755" t="s">
        <v>3130</v>
      </c>
      <c r="L130" s="765" t="s">
        <v>3132</v>
      </c>
      <c r="M130" s="765" t="s">
        <v>3131</v>
      </c>
    </row>
    <row r="131" spans="2:19" ht="15.75">
      <c r="B131"/>
      <c r="C131"/>
      <c r="D131"/>
      <c r="E131"/>
      <c r="F131"/>
      <c r="G131"/>
      <c r="K131" s="761">
        <f>GETPIVOTDATA("Sum of # of Total_People with disabilities",$K$127)</f>
        <v>14580</v>
      </c>
      <c r="L131" s="763">
        <f>GETPIVOTDATA("Sum of #_of_PWD_with_adapted_sanitation_option",$K$127)</f>
        <v>401</v>
      </c>
      <c r="M131" s="763">
        <f>K131-L131</f>
        <v>14179</v>
      </c>
    </row>
    <row r="132" spans="2:19" ht="15.75">
      <c r="B132" s="755" t="s">
        <v>2708</v>
      </c>
      <c r="C132" s="755" t="s">
        <v>3126</v>
      </c>
      <c r="D132" s="755" t="s">
        <v>3128</v>
      </c>
      <c r="E132" s="755" t="s">
        <v>3127</v>
      </c>
      <c r="F132"/>
      <c r="G132"/>
    </row>
    <row r="133" spans="2:19" ht="15.75">
      <c r="B133" s="761">
        <f>GETPIVOTDATA("Sum of #_students at TLS_CFS",$B$128)</f>
        <v>23154</v>
      </c>
      <c r="C133" s="828">
        <f>B133/50</f>
        <v>463.08</v>
      </c>
      <c r="D133" s="828">
        <f>GETPIVOTDATA("Sum of #_of_latrines_in_TLS/CFS",$B$128)</f>
        <v>229</v>
      </c>
      <c r="E133" s="828">
        <f>C133-D133</f>
        <v>234.07999999999998</v>
      </c>
      <c r="F133"/>
      <c r="G133"/>
    </row>
    <row r="134" spans="2:19" ht="15.75">
      <c r="B134"/>
      <c r="C134"/>
      <c r="D134"/>
      <c r="E134"/>
      <c r="F134"/>
      <c r="G134"/>
    </row>
    <row r="135" spans="2:19">
      <c r="B135" s="114"/>
      <c r="C135" s="114"/>
      <c r="D135" s="114"/>
      <c r="E135" s="114"/>
      <c r="F135" s="114"/>
      <c r="G135" s="114"/>
      <c r="Q135" s="114"/>
      <c r="R135" s="114"/>
      <c r="S135" s="114"/>
    </row>
    <row r="136" spans="2:19">
      <c r="B136" s="147"/>
      <c r="C136" s="148"/>
      <c r="D136" s="148"/>
      <c r="E136" s="148"/>
      <c r="F136" s="148"/>
    </row>
    <row r="137" spans="2:19">
      <c r="B137" s="147"/>
      <c r="C137" s="148"/>
      <c r="D137" s="148"/>
      <c r="E137" s="148"/>
      <c r="F137" s="148"/>
    </row>
    <row r="138" spans="2:19">
      <c r="B138" s="903" t="s">
        <v>20</v>
      </c>
      <c r="C138" s="904" t="s">
        <v>2389</v>
      </c>
    </row>
    <row r="139" spans="2:19">
      <c r="B139" s="903" t="s">
        <v>35</v>
      </c>
      <c r="C139" s="904" t="s">
        <v>35</v>
      </c>
    </row>
    <row r="140" spans="2:19">
      <c r="B140" s="903" t="s">
        <v>128</v>
      </c>
      <c r="C140" s="904" t="s">
        <v>44</v>
      </c>
    </row>
    <row r="142" spans="2:19" ht="15.75">
      <c r="B142" s="903" t="s">
        <v>3123</v>
      </c>
      <c r="C142" s="903" t="s">
        <v>1887</v>
      </c>
      <c r="D142" s="904"/>
      <c r="E142"/>
      <c r="F142"/>
      <c r="G142"/>
      <c r="H142" s="114"/>
      <c r="I142" s="114"/>
      <c r="J142" s="114"/>
      <c r="K142" s="114"/>
    </row>
    <row r="143" spans="2:19" ht="15.75">
      <c r="B143" s="903" t="s">
        <v>22</v>
      </c>
      <c r="C143" s="904" t="s">
        <v>42</v>
      </c>
      <c r="D143" s="904" t="s">
        <v>130</v>
      </c>
      <c r="E143"/>
      <c r="F143"/>
      <c r="G143"/>
      <c r="H143" s="114"/>
      <c r="I143" s="114"/>
      <c r="J143" s="114"/>
      <c r="K143" s="114"/>
    </row>
    <row r="144" spans="2:19" ht="15.75">
      <c r="B144" s="905" t="s">
        <v>2706</v>
      </c>
      <c r="C144" s="906">
        <v>19</v>
      </c>
      <c r="D144" s="906">
        <v>5</v>
      </c>
      <c r="E144"/>
      <c r="F144"/>
      <c r="G144"/>
      <c r="H144" s="114"/>
      <c r="I144" s="114"/>
      <c r="J144" s="114"/>
      <c r="K144" s="114"/>
    </row>
    <row r="145" spans="2:14" ht="15.75">
      <c r="B145"/>
      <c r="C145"/>
      <c r="D145"/>
      <c r="E145"/>
      <c r="F145"/>
      <c r="G145"/>
      <c r="H145" s="114"/>
      <c r="I145" s="114"/>
      <c r="J145" s="114"/>
      <c r="K145" s="114"/>
    </row>
    <row r="146" spans="2:14" ht="15.75">
      <c r="B146"/>
      <c r="C146"/>
      <c r="D146"/>
      <c r="E146"/>
      <c r="F146"/>
      <c r="G146"/>
      <c r="H146" s="114"/>
      <c r="I146" s="114"/>
      <c r="J146" s="114"/>
      <c r="K146" s="114"/>
    </row>
    <row r="147" spans="2:14">
      <c r="B147" s="114"/>
      <c r="C147" s="114"/>
      <c r="D147" s="114"/>
      <c r="E147" s="114"/>
      <c r="F147" s="114"/>
      <c r="G147" s="114"/>
      <c r="H147" s="114"/>
      <c r="I147" s="114"/>
    </row>
    <row r="148" spans="2:14">
      <c r="B148" s="152" t="s">
        <v>1628</v>
      </c>
      <c r="C148" s="467" t="s">
        <v>42</v>
      </c>
      <c r="D148" s="762" t="s">
        <v>130</v>
      </c>
    </row>
    <row r="149" spans="2:14">
      <c r="B149" s="149" t="s">
        <v>298</v>
      </c>
      <c r="C149" s="150">
        <f>GETPIVOTDATA("Is_there_an_effective_solid_waste_management_system_in_place?",$B$142,"State","Central Rakhine","Is_there_an_effective_solid_waste_management_system_in_place?","Yes")</f>
        <v>19</v>
      </c>
      <c r="D149" s="151">
        <f>GETPIVOTDATA("Is_there_an_effective_solid_waste_management_system_in_place?",$B$142,"State","Central Rakhine","Is_there_an_effective_solid_waste_management_system_in_place?","No")</f>
        <v>5</v>
      </c>
    </row>
    <row r="152" spans="2:14" ht="15.75">
      <c r="B152" s="530"/>
      <c r="C152" s="530"/>
      <c r="D152" s="530"/>
      <c r="E152" s="530"/>
    </row>
    <row r="153" spans="2:14" ht="15.75">
      <c r="B153" s="530"/>
      <c r="C153" s="530"/>
      <c r="D153" s="530"/>
      <c r="E153" s="530"/>
    </row>
    <row r="154" spans="2:14" ht="15.75">
      <c r="B154" s="903" t="s">
        <v>20</v>
      </c>
      <c r="C154" s="904" t="s">
        <v>2389</v>
      </c>
      <c r="D154" s="114"/>
      <c r="E154" s="530"/>
      <c r="L154"/>
      <c r="M154"/>
      <c r="N154" s="128"/>
    </row>
    <row r="155" spans="2:14" ht="15.75">
      <c r="B155" s="903" t="s">
        <v>35</v>
      </c>
      <c r="C155" s="904" t="s">
        <v>35</v>
      </c>
      <c r="D155" s="114"/>
      <c r="E155" s="530"/>
    </row>
    <row r="156" spans="2:14" ht="15.75">
      <c r="B156" s="919" t="s">
        <v>22</v>
      </c>
      <c r="C156" s="904" t="s">
        <v>2706</v>
      </c>
      <c r="D156" s="114"/>
      <c r="E156" s="530"/>
    </row>
    <row r="157" spans="2:14" ht="15.75">
      <c r="B157" s="462"/>
      <c r="C157" s="114"/>
      <c r="D157" s="114"/>
      <c r="E157" s="530"/>
    </row>
    <row r="158" spans="2:14" ht="15.75">
      <c r="B158" s="918" t="s">
        <v>22</v>
      </c>
      <c r="C158" s="904" t="s">
        <v>2855</v>
      </c>
      <c r="D158" s="904" t="s">
        <v>2856</v>
      </c>
      <c r="E158" s="530"/>
    </row>
    <row r="159" spans="2:14" ht="15.75">
      <c r="B159" s="905" t="s">
        <v>361</v>
      </c>
      <c r="C159" s="911">
        <v>1</v>
      </c>
      <c r="D159" s="911">
        <v>0</v>
      </c>
      <c r="E159" s="530"/>
    </row>
    <row r="160" spans="2:14" ht="15.75">
      <c r="B160" s="905" t="s">
        <v>403</v>
      </c>
      <c r="C160" s="911">
        <v>1</v>
      </c>
      <c r="D160" s="911">
        <v>0</v>
      </c>
      <c r="E160" s="530"/>
    </row>
    <row r="161" spans="2:14" ht="15.75">
      <c r="B161" s="905" t="s">
        <v>406</v>
      </c>
      <c r="C161" s="911">
        <v>0.75661237785016289</v>
      </c>
      <c r="D161" s="911">
        <v>0.24338762214983711</v>
      </c>
      <c r="E161" s="530"/>
    </row>
    <row r="162" spans="2:14" ht="15.75">
      <c r="B162" s="905" t="s">
        <v>299</v>
      </c>
      <c r="C162" s="911">
        <v>0.83139988724576086</v>
      </c>
      <c r="D162" s="911">
        <v>0.16860011275423914</v>
      </c>
      <c r="E162" s="530"/>
    </row>
    <row r="163" spans="2:14" ht="15.75">
      <c r="B163"/>
      <c r="C163"/>
      <c r="D163"/>
      <c r="E163" s="530"/>
    </row>
    <row r="164" spans="2:14" ht="15.75">
      <c r="B164" s="530"/>
      <c r="C164" s="530"/>
      <c r="D164" s="530"/>
      <c r="E164" s="530"/>
    </row>
    <row r="165" spans="2:14" ht="15.75">
      <c r="B165" s="530"/>
      <c r="C165" s="530"/>
      <c r="D165" s="530"/>
      <c r="E165" s="530"/>
      <c r="L165"/>
      <c r="M165"/>
      <c r="N165"/>
    </row>
    <row r="166" spans="2:14" ht="15.75">
      <c r="B166"/>
      <c r="C166"/>
      <c r="D166"/>
      <c r="L166"/>
      <c r="M166"/>
      <c r="N166"/>
    </row>
    <row r="167" spans="2:14" ht="15.75">
      <c r="B167"/>
      <c r="C167"/>
      <c r="D167"/>
      <c r="L167"/>
      <c r="M167"/>
      <c r="N167"/>
    </row>
    <row r="168" spans="2:14" ht="15.75">
      <c r="B168"/>
      <c r="C168"/>
      <c r="D168"/>
      <c r="L168"/>
      <c r="M168"/>
      <c r="N168"/>
    </row>
    <row r="169" spans="2:14" ht="15.75">
      <c r="B169"/>
      <c r="C169"/>
      <c r="D169"/>
      <c r="L169"/>
      <c r="M169"/>
      <c r="N169"/>
    </row>
    <row r="170" spans="2:14" ht="15.75">
      <c r="B170" s="921" t="s">
        <v>20</v>
      </c>
      <c r="C170" s="911" t="s">
        <v>2389</v>
      </c>
      <c r="D170"/>
      <c r="L170"/>
      <c r="M170"/>
      <c r="N170"/>
    </row>
    <row r="171" spans="2:14" ht="15.75">
      <c r="B171" s="921" t="s">
        <v>35</v>
      </c>
      <c r="C171" s="911" t="s">
        <v>35</v>
      </c>
      <c r="D171"/>
      <c r="L171"/>
      <c r="M171"/>
      <c r="N171"/>
    </row>
    <row r="172" spans="2:14" ht="15.75">
      <c r="B172" s="110"/>
      <c r="C172" s="110"/>
      <c r="D172"/>
      <c r="L172"/>
      <c r="M172"/>
      <c r="N172"/>
    </row>
    <row r="173" spans="2:14" ht="15.75">
      <c r="B173" s="911" t="s">
        <v>3156</v>
      </c>
      <c r="C173" s="911" t="s">
        <v>3157</v>
      </c>
      <c r="D173" s="911" t="s">
        <v>3093</v>
      </c>
      <c r="E173" s="461"/>
      <c r="F173" s="461"/>
      <c r="G173" s="461"/>
      <c r="H173" s="461"/>
      <c r="I173" s="461"/>
      <c r="J173" s="461"/>
      <c r="K173" s="461"/>
      <c r="L173" s="538"/>
      <c r="M173" s="538"/>
      <c r="N173" s="538"/>
    </row>
    <row r="174" spans="2:14" ht="15.75">
      <c r="B174" s="911">
        <v>0.39416666666666672</v>
      </c>
      <c r="C174" s="910">
        <v>2674</v>
      </c>
      <c r="D174" s="910">
        <v>164</v>
      </c>
      <c r="L174"/>
      <c r="M174"/>
      <c r="N174"/>
    </row>
    <row r="175" spans="2:14" ht="15.75">
      <c r="L175"/>
      <c r="M175"/>
      <c r="N175"/>
    </row>
    <row r="176" spans="2:14" ht="15.75">
      <c r="M176"/>
      <c r="N176"/>
    </row>
    <row r="177" spans="1:26" ht="15.75">
      <c r="M177"/>
      <c r="N177"/>
    </row>
    <row r="178" spans="1:26" ht="15.75">
      <c r="B178"/>
      <c r="C178"/>
      <c r="D178"/>
      <c r="J178"/>
      <c r="K178"/>
      <c r="L178"/>
      <c r="M178"/>
      <c r="N178"/>
      <c r="S178"/>
      <c r="T178"/>
      <c r="U178"/>
    </row>
    <row r="179" spans="1:26" ht="15.75">
      <c r="J179"/>
      <c r="K179"/>
      <c r="L179"/>
      <c r="S179"/>
      <c r="T179"/>
    </row>
    <row r="180" spans="1:26" ht="15.75">
      <c r="B180" s="114"/>
      <c r="C180" s="114"/>
      <c r="D180" s="114"/>
      <c r="S180"/>
      <c r="T180"/>
    </row>
    <row r="181" spans="1:26" ht="18.75">
      <c r="A181" s="156" t="s">
        <v>2004</v>
      </c>
      <c r="B181" s="153"/>
      <c r="C181" s="153"/>
      <c r="D181" s="153"/>
      <c r="E181" s="153"/>
      <c r="F181" s="153"/>
      <c r="G181" s="153"/>
      <c r="H181" s="153"/>
      <c r="I181" s="153"/>
      <c r="J181" s="153"/>
      <c r="K181" s="153"/>
      <c r="L181" s="153"/>
      <c r="M181" s="153"/>
      <c r="N181" s="153"/>
      <c r="O181" s="153"/>
      <c r="P181" s="153"/>
      <c r="Q181" s="153"/>
      <c r="R181" s="153"/>
      <c r="S181" s="153"/>
      <c r="T181" s="153"/>
      <c r="U181" s="153"/>
      <c r="V181" s="153"/>
      <c r="W181" s="153"/>
      <c r="X181" s="153"/>
      <c r="Y181" s="153"/>
      <c r="Z181" s="153"/>
    </row>
    <row r="182" spans="1:26" ht="15.75">
      <c r="S182"/>
      <c r="T182"/>
    </row>
    <row r="184" spans="1:26">
      <c r="B184" s="903" t="s">
        <v>20</v>
      </c>
      <c r="C184" s="904" t="s">
        <v>2389</v>
      </c>
      <c r="D184" s="114"/>
      <c r="I184" s="132" t="s">
        <v>298</v>
      </c>
    </row>
    <row r="185" spans="1:26">
      <c r="B185" s="903" t="s">
        <v>35</v>
      </c>
      <c r="C185" s="904" t="s">
        <v>35</v>
      </c>
      <c r="H185" s="131" t="s">
        <v>25</v>
      </c>
      <c r="J185" s="107">
        <f>GETPIVOTDATA("Sum of Total HH",$B$188,"State","Central Rakhine")</f>
        <v>23412</v>
      </c>
      <c r="M185" s="111"/>
    </row>
    <row r="186" spans="1:26">
      <c r="B186" s="903" t="s">
        <v>128</v>
      </c>
      <c r="C186" s="904" t="s">
        <v>44</v>
      </c>
      <c r="D186" s="114"/>
    </row>
    <row r="187" spans="1:26">
      <c r="I187" s="132" t="s">
        <v>35</v>
      </c>
      <c r="J187" s="132" t="s">
        <v>1641</v>
      </c>
    </row>
    <row r="188" spans="1:26" ht="15.75">
      <c r="B188" s="903" t="s">
        <v>1628</v>
      </c>
      <c r="C188" s="904" t="s">
        <v>1891</v>
      </c>
      <c r="D188" s="904" t="s">
        <v>1922</v>
      </c>
      <c r="E188" s="904" t="s">
        <v>3133</v>
      </c>
      <c r="F188" s="904" t="s">
        <v>3134</v>
      </c>
      <c r="G188"/>
      <c r="H188" s="131" t="s">
        <v>1892</v>
      </c>
      <c r="I188" s="133">
        <f>GETPIVOTDATA("Sum of # people reached by regular dedicated hygiene promotion_5",$B$188,"State","Central Rakhine")/5</f>
        <v>14266</v>
      </c>
      <c r="J188" s="133">
        <f>$J$185-I188</f>
        <v>9146</v>
      </c>
    </row>
    <row r="189" spans="1:26" ht="15.75">
      <c r="B189" s="905" t="s">
        <v>2706</v>
      </c>
      <c r="C189" s="913">
        <v>23412</v>
      </c>
      <c r="D189" s="906">
        <v>71330</v>
      </c>
      <c r="E189" s="906">
        <v>23805</v>
      </c>
      <c r="F189" s="906">
        <v>14856</v>
      </c>
      <c r="G189"/>
      <c r="H189" s="131" t="s">
        <v>1619</v>
      </c>
      <c r="I189" s="133">
        <f>GETPIVOTDATA("Sum of #_of_affected_households_receiving_a_sufficient_quantity_of_soap",$B$188,"State","Central Rakhine")</f>
        <v>23805</v>
      </c>
      <c r="J189" s="133">
        <f>$J$185-I189</f>
        <v>-393</v>
      </c>
    </row>
    <row r="190" spans="1:26" ht="15.75">
      <c r="B190" s="905" t="s">
        <v>1630</v>
      </c>
      <c r="C190" s="913">
        <v>23412</v>
      </c>
      <c r="D190" s="906">
        <v>71330</v>
      </c>
      <c r="E190" s="906">
        <v>23805</v>
      </c>
      <c r="F190" s="906">
        <v>14856</v>
      </c>
      <c r="G190"/>
      <c r="H190" s="131" t="s">
        <v>1618</v>
      </c>
      <c r="I190" s="133">
        <f>GETPIVOTDATA("Sum of #_of_affected_women_and_girls_receiving_a_sufficient_quantity_of_sanitary_pads",$B$188,"State","Central Rakhine")</f>
        <v>14856</v>
      </c>
      <c r="J190" s="133">
        <f>$J$185-I190</f>
        <v>8556</v>
      </c>
    </row>
    <row r="191" spans="1:26" ht="15.75">
      <c r="B191"/>
      <c r="C191"/>
      <c r="D191"/>
      <c r="E191"/>
      <c r="F191"/>
      <c r="G191"/>
    </row>
    <row r="192" spans="1:26" ht="15.75">
      <c r="B192"/>
      <c r="C192"/>
      <c r="D192"/>
      <c r="E192"/>
      <c r="F192"/>
      <c r="G192"/>
    </row>
    <row r="193" spans="2:23" ht="15.75">
      <c r="B193"/>
      <c r="C193"/>
      <c r="D193"/>
      <c r="E193"/>
      <c r="F193"/>
      <c r="G193"/>
      <c r="Q193" s="116"/>
      <c r="R193" s="116"/>
    </row>
    <row r="194" spans="2:23">
      <c r="B194" s="114"/>
      <c r="C194" s="114"/>
      <c r="D194" s="114"/>
    </row>
    <row r="195" spans="2:23">
      <c r="B195" s="114"/>
      <c r="C195" s="114"/>
      <c r="D195" s="114"/>
    </row>
    <row r="196" spans="2:23">
      <c r="B196" s="114"/>
      <c r="C196" s="114"/>
      <c r="D196" s="114"/>
    </row>
    <row r="197" spans="2:23" ht="15.75">
      <c r="B197" s="530"/>
      <c r="C197" s="530"/>
      <c r="D197" s="530"/>
      <c r="E197" s="530"/>
      <c r="H197" s="128"/>
      <c r="I197" s="128"/>
      <c r="J197" s="128"/>
      <c r="K197" s="128"/>
      <c r="L197" s="128"/>
    </row>
    <row r="198" spans="2:23" ht="15.75">
      <c r="B198" s="414"/>
      <c r="C198" s="414"/>
      <c r="D198" s="414"/>
      <c r="E198" s="414"/>
      <c r="F198" s="414"/>
      <c r="G198" s="414"/>
      <c r="K198" s="530"/>
      <c r="L198" s="530"/>
      <c r="M198" s="530"/>
    </row>
    <row r="199" spans="2:23" ht="15.75">
      <c r="B199"/>
      <c r="C199"/>
      <c r="D199" s="128"/>
      <c r="K199" s="530"/>
      <c r="L199" s="530"/>
      <c r="M199" s="530"/>
    </row>
    <row r="200" spans="2:23" ht="15.75">
      <c r="B200" s="903" t="s">
        <v>20</v>
      </c>
      <c r="C200" s="904" t="s">
        <v>2389</v>
      </c>
      <c r="D200" s="114"/>
      <c r="K200" s="530"/>
      <c r="L200" s="530"/>
      <c r="M200" s="530"/>
    </row>
    <row r="201" spans="2:23" ht="15.75">
      <c r="B201" s="903" t="s">
        <v>35</v>
      </c>
      <c r="C201" s="904" t="s">
        <v>35</v>
      </c>
      <c r="D201" s="114"/>
      <c r="K201" s="530"/>
      <c r="L201" s="530"/>
      <c r="M201" s="530"/>
    </row>
    <row r="202" spans="2:23" ht="15.75">
      <c r="B202" s="919" t="s">
        <v>22</v>
      </c>
      <c r="C202" s="904" t="s">
        <v>2706</v>
      </c>
      <c r="D202" s="114"/>
      <c r="K202" s="530"/>
      <c r="L202" s="530"/>
      <c r="M202" s="530"/>
    </row>
    <row r="203" spans="2:23" ht="15.75">
      <c r="B203" s="462"/>
      <c r="C203" s="114"/>
      <c r="D203" s="114"/>
      <c r="K203" s="530"/>
      <c r="L203" s="530"/>
      <c r="M203" s="530"/>
    </row>
    <row r="204" spans="2:23" ht="15.75">
      <c r="B204" s="918" t="s">
        <v>22</v>
      </c>
      <c r="C204" s="904" t="s">
        <v>2857</v>
      </c>
      <c r="D204" s="904" t="s">
        <v>2853</v>
      </c>
      <c r="K204" s="530"/>
      <c r="L204" s="530"/>
      <c r="M204" s="530"/>
    </row>
    <row r="205" spans="2:23" ht="15.75">
      <c r="B205" s="905" t="s">
        <v>361</v>
      </c>
      <c r="C205" s="911">
        <v>1</v>
      </c>
      <c r="D205" s="911">
        <v>0</v>
      </c>
      <c r="K205" s="530"/>
      <c r="L205" s="530"/>
      <c r="M205" s="530"/>
    </row>
    <row r="206" spans="2:23" ht="15.75">
      <c r="B206" s="905" t="s">
        <v>403</v>
      </c>
      <c r="C206" s="911">
        <v>1</v>
      </c>
      <c r="D206" s="911">
        <v>0</v>
      </c>
      <c r="K206" s="530"/>
      <c r="L206" s="530"/>
      <c r="M206" s="530"/>
    </row>
    <row r="207" spans="2:23" ht="15.75">
      <c r="B207" s="905" t="s">
        <v>406</v>
      </c>
      <c r="C207" s="911">
        <v>1</v>
      </c>
      <c r="D207" s="911">
        <v>0</v>
      </c>
      <c r="K207" s="530"/>
      <c r="L207" s="530"/>
      <c r="M207" s="530"/>
    </row>
    <row r="208" spans="2:23" ht="15.75">
      <c r="B208" s="905" t="s">
        <v>299</v>
      </c>
      <c r="C208" s="911">
        <v>0.9220044234355349</v>
      </c>
      <c r="D208" s="911">
        <v>7.7995576564465097E-2</v>
      </c>
      <c r="K208"/>
      <c r="L208"/>
      <c r="M208"/>
      <c r="U208"/>
      <c r="V208"/>
      <c r="W208"/>
    </row>
    <row r="209" spans="2:23" ht="15.75">
      <c r="B209"/>
      <c r="C209"/>
      <c r="D209"/>
      <c r="K209"/>
      <c r="L209"/>
      <c r="M209"/>
      <c r="U209"/>
      <c r="V209"/>
      <c r="W209"/>
    </row>
    <row r="210" spans="2:23" ht="15.75">
      <c r="B210"/>
      <c r="C210"/>
      <c r="D210"/>
      <c r="K210"/>
      <c r="L210"/>
      <c r="M210"/>
    </row>
    <row r="211" spans="2:23" ht="15.75">
      <c r="B211"/>
      <c r="C211"/>
      <c r="D211"/>
      <c r="K211"/>
      <c r="L211"/>
      <c r="M211"/>
    </row>
    <row r="212" spans="2:23" ht="15.75">
      <c r="B212"/>
      <c r="C212"/>
      <c r="D212"/>
      <c r="K212"/>
      <c r="L212"/>
      <c r="M212"/>
    </row>
    <row r="213" spans="2:23" ht="15.75">
      <c r="B213"/>
      <c r="C213"/>
      <c r="D213"/>
      <c r="K213"/>
      <c r="L213"/>
      <c r="M213"/>
    </row>
    <row r="214" spans="2:23" ht="15.75">
      <c r="B214" s="903" t="s">
        <v>20</v>
      </c>
      <c r="C214" s="904" t="s">
        <v>2389</v>
      </c>
      <c r="K214"/>
      <c r="L214"/>
      <c r="M214"/>
    </row>
    <row r="215" spans="2:23" ht="15.75">
      <c r="B215" s="903" t="s">
        <v>35</v>
      </c>
      <c r="C215" s="904" t="s">
        <v>35</v>
      </c>
      <c r="D215" s="114"/>
      <c r="K215"/>
      <c r="L215"/>
      <c r="M215"/>
    </row>
    <row r="216" spans="2:23" ht="15.75">
      <c r="K216"/>
      <c r="L216"/>
      <c r="M216"/>
    </row>
    <row r="217" spans="2:23" ht="15.75">
      <c r="B217" s="904" t="s">
        <v>3135</v>
      </c>
      <c r="C217" s="904" t="s">
        <v>3136</v>
      </c>
      <c r="D217" s="904" t="s">
        <v>3137</v>
      </c>
      <c r="K217"/>
      <c r="L217"/>
      <c r="M217"/>
    </row>
    <row r="218" spans="2:23">
      <c r="B218" s="911">
        <v>0.5</v>
      </c>
      <c r="C218" s="911">
        <v>0.82</v>
      </c>
      <c r="D218" s="911">
        <v>0.28499999999999998</v>
      </c>
    </row>
    <row r="219" spans="2:23" ht="16.5" thickBot="1">
      <c r="B219"/>
      <c r="C219"/>
      <c r="D219"/>
      <c r="J219" s="530"/>
      <c r="K219" s="530"/>
      <c r="L219" s="530"/>
      <c r="M219" s="530"/>
    </row>
    <row r="220" spans="2:23" ht="15.75">
      <c r="B220" s="768"/>
      <c r="C220" s="769" t="s">
        <v>42</v>
      </c>
      <c r="D220" s="770" t="s">
        <v>130</v>
      </c>
      <c r="J220" s="530"/>
      <c r="K220" s="530"/>
      <c r="L220" s="530"/>
      <c r="M220" s="530"/>
    </row>
    <row r="221" spans="2:23" ht="15.75">
      <c r="B221" s="771" t="s">
        <v>3138</v>
      </c>
      <c r="C221" s="766">
        <f>GETPIVOTDATA("Average of %_of_women_and_girls_who_report_that_they_have_an_adequate_system_for_disposing_of_used_sanitary_pads",$B$217)</f>
        <v>0.5</v>
      </c>
      <c r="D221" s="766">
        <f>1-C221</f>
        <v>0.5</v>
      </c>
      <c r="J221" s="530"/>
      <c r="K221" s="530"/>
      <c r="L221" s="530"/>
      <c r="M221" s="530"/>
      <c r="T221"/>
    </row>
    <row r="222" spans="2:23" ht="15.75">
      <c r="B222" s="771" t="s">
        <v>3139</v>
      </c>
      <c r="C222" s="766">
        <f>GETPIVOTDATA("Average of %_of_affected_people_who_report_handwashing_at_key_times",$B$217)</f>
        <v>0.82</v>
      </c>
      <c r="D222" s="766">
        <f>1-C222</f>
        <v>0.18000000000000005</v>
      </c>
      <c r="J222" s="530"/>
      <c r="K222" s="530"/>
      <c r="L222" s="530"/>
      <c r="M222" s="530"/>
    </row>
    <row r="223" spans="2:23" ht="16.5" thickBot="1">
      <c r="B223" s="772" t="s">
        <v>3140</v>
      </c>
      <c r="C223" s="767">
        <f>GETPIVOTDATA("Average of %_of_households_observed_with_a_place_to_WASH_hands_with_soap_present",$B$217)</f>
        <v>0.28499999999999998</v>
      </c>
      <c r="D223" s="767">
        <f>1-C223</f>
        <v>0.71500000000000008</v>
      </c>
      <c r="E223"/>
      <c r="F223"/>
      <c r="G223" s="461"/>
      <c r="H223" s="461"/>
      <c r="I223" s="461"/>
      <c r="J223" s="538"/>
      <c r="K223" s="538"/>
      <c r="L223" s="538"/>
      <c r="M223" s="538"/>
      <c r="N223" s="461"/>
      <c r="O223" s="461"/>
      <c r="P223" s="461"/>
      <c r="Q223" s="461"/>
      <c r="R223" s="461"/>
      <c r="S223" s="461"/>
      <c r="T223" s="461"/>
    </row>
    <row r="224" spans="2:23" ht="15.75">
      <c r="E224"/>
      <c r="F224"/>
      <c r="J224" s="530"/>
      <c r="K224" s="530"/>
      <c r="L224" s="530"/>
      <c r="M224" s="530"/>
    </row>
    <row r="225" spans="2:26" ht="15.75">
      <c r="E225"/>
      <c r="F225"/>
      <c r="J225" s="530"/>
      <c r="K225" s="530"/>
      <c r="L225" s="530"/>
      <c r="M225" s="530"/>
    </row>
    <row r="226" spans="2:26" ht="15.75">
      <c r="J226" s="530"/>
      <c r="K226" s="530"/>
      <c r="L226" s="530"/>
      <c r="M226" s="530"/>
    </row>
    <row r="227" spans="2:26" ht="15.75">
      <c r="J227" s="530"/>
      <c r="K227" s="530"/>
      <c r="L227" s="530"/>
      <c r="M227" s="530"/>
      <c r="T227"/>
    </row>
    <row r="228" spans="2:26" ht="15.75">
      <c r="B228" s="903" t="s">
        <v>20</v>
      </c>
      <c r="C228" s="904" t="s">
        <v>2389</v>
      </c>
      <c r="J228" s="903" t="s">
        <v>20</v>
      </c>
      <c r="K228" s="904" t="s">
        <v>2389</v>
      </c>
      <c r="L228" s="530"/>
      <c r="M228" s="530"/>
      <c r="T228"/>
    </row>
    <row r="229" spans="2:26" ht="15.75">
      <c r="B229" s="903" t="s">
        <v>35</v>
      </c>
      <c r="C229" s="904" t="s">
        <v>35</v>
      </c>
      <c r="D229" s="114"/>
      <c r="J229" s="903" t="s">
        <v>35</v>
      </c>
      <c r="K229" s="904" t="s">
        <v>35</v>
      </c>
      <c r="L229" s="530"/>
      <c r="M229" s="530"/>
      <c r="T229"/>
    </row>
    <row r="230" spans="2:26" ht="15.75">
      <c r="B230" s="806" t="s">
        <v>3158</v>
      </c>
      <c r="J230" s="806" t="s">
        <v>3158</v>
      </c>
      <c r="L230" s="530"/>
      <c r="M230" s="530"/>
      <c r="T230"/>
      <c r="W230"/>
      <c r="X230"/>
      <c r="Y230"/>
    </row>
    <row r="231" spans="2:26" ht="15.75">
      <c r="B231" s="903" t="s">
        <v>1888</v>
      </c>
      <c r="C231" s="904"/>
      <c r="D231"/>
      <c r="E231" s="806" t="s">
        <v>1946</v>
      </c>
      <c r="F231" t="s">
        <v>3160</v>
      </c>
      <c r="G231" t="s">
        <v>3159</v>
      </c>
      <c r="J231" s="904" t="s">
        <v>2882</v>
      </c>
      <c r="K231"/>
      <c r="L231" s="538"/>
      <c r="M231" s="538"/>
      <c r="N231" s="461"/>
      <c r="O231" s="461"/>
      <c r="P231" s="461"/>
      <c r="Q231" s="461"/>
      <c r="R231" s="461"/>
      <c r="S231" s="461"/>
      <c r="T231" s="538"/>
      <c r="U231" s="461"/>
      <c r="V231" s="461"/>
      <c r="W231" s="538"/>
      <c r="X231" s="538"/>
      <c r="Y231" s="538"/>
      <c r="Z231" s="461"/>
    </row>
    <row r="232" spans="2:26" ht="15.75">
      <c r="B232" s="905" t="s">
        <v>3161</v>
      </c>
      <c r="C232" s="910">
        <v>119155</v>
      </c>
      <c r="D232"/>
      <c r="E232">
        <f>GETPIVOTDATA(" Total PoP ",$B$231)</f>
        <v>119155</v>
      </c>
      <c r="F232">
        <f>GETPIVOTDATA("Men",$B$231)+GETPIVOTDATA("Women",$B$231)+GETPIVOTDATA("Boys",$B$231)+GETPIVOTDATA("Girls",$B$231)</f>
        <v>84400</v>
      </c>
      <c r="G232" s="538">
        <f>E232-F232</f>
        <v>34755</v>
      </c>
      <c r="H232" s="859"/>
      <c r="J232" s="910">
        <v>119155</v>
      </c>
      <c r="K232"/>
      <c r="L232"/>
      <c r="M232"/>
      <c r="T232"/>
      <c r="W232"/>
      <c r="X232"/>
      <c r="Y232"/>
    </row>
    <row r="233" spans="2:26" ht="15.75">
      <c r="B233" s="905" t="s">
        <v>3119</v>
      </c>
      <c r="C233" s="910">
        <v>10425</v>
      </c>
      <c r="D233" s="530"/>
      <c r="J233"/>
      <c r="K233"/>
      <c r="L233"/>
      <c r="M233"/>
      <c r="T233"/>
      <c r="U233"/>
      <c r="V233"/>
      <c r="W233"/>
      <c r="X233"/>
      <c r="Y233"/>
    </row>
    <row r="234" spans="2:26" ht="15.75">
      <c r="B234" s="905" t="s">
        <v>3120</v>
      </c>
      <c r="C234" s="910">
        <v>34015</v>
      </c>
      <c r="E234" s="791" t="s">
        <v>3162</v>
      </c>
      <c r="F234" s="791" t="s">
        <v>3119</v>
      </c>
      <c r="G234" s="791" t="s">
        <v>3120</v>
      </c>
      <c r="H234" s="791" t="s">
        <v>3121</v>
      </c>
      <c r="I234" s="827" t="s">
        <v>3122</v>
      </c>
      <c r="U234"/>
      <c r="V234"/>
      <c r="W234"/>
      <c r="X234"/>
      <c r="Y234"/>
    </row>
    <row r="235" spans="2:26" ht="15.75">
      <c r="B235" s="905" t="s">
        <v>3121</v>
      </c>
      <c r="C235" s="910">
        <v>16917</v>
      </c>
      <c r="E235" s="826">
        <f>E232-F232</f>
        <v>34755</v>
      </c>
      <c r="F235" s="826">
        <f>GETPIVOTDATA("Men",$B$231)</f>
        <v>10425</v>
      </c>
      <c r="G235" s="826">
        <f>GETPIVOTDATA("Women",$B$231)</f>
        <v>34015</v>
      </c>
      <c r="H235" s="826">
        <f>GETPIVOTDATA("Boys",$B$231)</f>
        <v>16917</v>
      </c>
      <c r="I235" s="825">
        <f>GETPIVOTDATA("Girls",$B$231)</f>
        <v>23043</v>
      </c>
      <c r="Q235" s="461"/>
      <c r="R235" s="461"/>
      <c r="S235" s="461"/>
      <c r="T235" s="461"/>
      <c r="U235" s="538"/>
      <c r="V235" s="538"/>
      <c r="W235" s="538"/>
      <c r="X235" s="538"/>
      <c r="Y235" s="538"/>
      <c r="Z235" s="461"/>
    </row>
    <row r="236" spans="2:26" ht="15.75">
      <c r="B236" s="905" t="s">
        <v>3122</v>
      </c>
      <c r="C236" s="910">
        <v>23043</v>
      </c>
      <c r="E236" s="461"/>
      <c r="F236" s="461"/>
      <c r="G236" s="461"/>
      <c r="H236" s="461"/>
      <c r="I236" s="461"/>
      <c r="J236" s="530"/>
      <c r="K236" s="530"/>
      <c r="L236" s="538"/>
      <c r="M236" s="538"/>
      <c r="N236" s="461"/>
      <c r="O236" s="461"/>
      <c r="P236" s="461"/>
      <c r="Q236" s="461"/>
      <c r="R236" s="461"/>
      <c r="S236" s="461"/>
      <c r="T236" s="461"/>
      <c r="U236" s="538"/>
      <c r="V236" s="538"/>
      <c r="W236" s="538"/>
      <c r="X236" s="538"/>
      <c r="Y236" s="538"/>
      <c r="Z236" s="461"/>
    </row>
    <row r="237" spans="2:26" ht="15.75">
      <c r="K237"/>
      <c r="L237"/>
      <c r="M237"/>
      <c r="U237"/>
      <c r="V237"/>
      <c r="W237"/>
    </row>
    <row r="238" spans="2:26" ht="15.75">
      <c r="K238"/>
      <c r="U238"/>
      <c r="V238"/>
      <c r="W238"/>
    </row>
    <row r="239" spans="2:26" ht="15.75">
      <c r="K239" s="505"/>
      <c r="U239" s="414"/>
      <c r="V239" s="414"/>
      <c r="W239" s="414"/>
    </row>
    <row r="240" spans="2:26" ht="15.75">
      <c r="K240" s="505"/>
      <c r="L240" s="506"/>
      <c r="M240" s="506"/>
      <c r="U240" s="414"/>
      <c r="V240" s="414"/>
      <c r="W240" s="414"/>
    </row>
    <row r="241" spans="1:26" ht="15.75">
      <c r="K241" s="505"/>
      <c r="L241" s="506"/>
      <c r="M241" s="506"/>
      <c r="U241" s="414"/>
      <c r="V241" s="414"/>
      <c r="W241" s="414"/>
    </row>
    <row r="242" spans="1:26" ht="15.75">
      <c r="K242" s="505"/>
      <c r="L242" s="506"/>
      <c r="M242" s="506"/>
      <c r="U242" s="414"/>
      <c r="V242" s="414"/>
      <c r="W242" s="414"/>
    </row>
    <row r="243" spans="1:26" ht="18.75">
      <c r="A243" s="157" t="s">
        <v>1640</v>
      </c>
      <c r="B243" s="134"/>
      <c r="C243" s="134"/>
      <c r="D243" s="134"/>
      <c r="E243" s="134"/>
      <c r="F243" s="134"/>
      <c r="G243" s="134"/>
      <c r="H243" s="134"/>
      <c r="I243" s="134"/>
      <c r="J243" s="134"/>
      <c r="K243" s="134"/>
      <c r="L243" s="134"/>
      <c r="M243" s="134"/>
      <c r="N243" s="134"/>
      <c r="O243" s="134"/>
      <c r="P243" s="134"/>
      <c r="Q243" s="134"/>
      <c r="R243" s="134"/>
      <c r="S243" s="134"/>
      <c r="T243" s="134"/>
      <c r="U243" s="134"/>
      <c r="V243" s="134"/>
      <c r="W243" s="134"/>
      <c r="X243" s="134"/>
      <c r="Y243" s="134"/>
      <c r="Z243" s="134"/>
    </row>
    <row r="244" spans="1:26">
      <c r="B244" s="114"/>
      <c r="C244" s="114"/>
      <c r="D244" s="114"/>
    </row>
    <row r="245" spans="1:26" ht="15.75">
      <c r="B245" s="114"/>
      <c r="C245" s="114"/>
      <c r="D245" s="114"/>
      <c r="K245"/>
      <c r="L245"/>
    </row>
    <row r="246" spans="1:26">
      <c r="H246" s="903" t="s">
        <v>20</v>
      </c>
      <c r="I246" s="904" t="s">
        <v>2389</v>
      </c>
      <c r="L246" s="903" t="s">
        <v>20</v>
      </c>
      <c r="M246" s="904" t="s">
        <v>2389</v>
      </c>
    </row>
    <row r="247" spans="1:26">
      <c r="H247" s="916" t="s">
        <v>22</v>
      </c>
      <c r="I247" s="904" t="s">
        <v>2706</v>
      </c>
      <c r="L247" s="903" t="s">
        <v>35</v>
      </c>
      <c r="M247" s="904" t="s">
        <v>35</v>
      </c>
    </row>
    <row r="249" spans="1:26" ht="15.75">
      <c r="H249" s="903" t="s">
        <v>1889</v>
      </c>
      <c r="I249" s="903" t="s">
        <v>1887</v>
      </c>
      <c r="J249" s="904"/>
      <c r="L249" s="903" t="s">
        <v>1888</v>
      </c>
      <c r="M249" s="904"/>
      <c r="P249"/>
    </row>
    <row r="250" spans="1:26" ht="15.75">
      <c r="H250" s="903" t="s">
        <v>1628</v>
      </c>
      <c r="I250" s="904" t="s">
        <v>35</v>
      </c>
      <c r="J250" s="904" t="s">
        <v>1641</v>
      </c>
      <c r="L250" s="905" t="s">
        <v>3163</v>
      </c>
      <c r="M250" s="906">
        <v>590</v>
      </c>
      <c r="N250" s="937"/>
      <c r="O250" s="461"/>
      <c r="P250" s="538"/>
    </row>
    <row r="251" spans="1:26" ht="15.75">
      <c r="H251" s="905" t="s">
        <v>44</v>
      </c>
      <c r="I251" s="906">
        <v>24</v>
      </c>
      <c r="J251" s="906">
        <v>1</v>
      </c>
      <c r="L251" s="905" t="s">
        <v>3164</v>
      </c>
      <c r="M251" s="906">
        <v>2054</v>
      </c>
      <c r="N251" s="938"/>
      <c r="P251"/>
    </row>
    <row r="252" spans="1:26" ht="15.75">
      <c r="H252"/>
      <c r="I252"/>
      <c r="J252"/>
      <c r="L252" s="905" t="s">
        <v>3165</v>
      </c>
      <c r="M252" s="906">
        <v>258</v>
      </c>
      <c r="N252" s="937"/>
      <c r="P252"/>
    </row>
    <row r="253" spans="1:26" ht="15.75">
      <c r="H253"/>
      <c r="I253"/>
      <c r="J253"/>
      <c r="L253" s="905" t="s">
        <v>3166</v>
      </c>
      <c r="M253" s="906">
        <v>121</v>
      </c>
      <c r="N253" s="939"/>
      <c r="O253"/>
      <c r="P253"/>
    </row>
    <row r="254" spans="1:26" ht="15.75">
      <c r="C254"/>
      <c r="D254"/>
      <c r="E254"/>
      <c r="H254"/>
      <c r="I254"/>
      <c r="J254"/>
    </row>
    <row r="255" spans="1:26" ht="15.75">
      <c r="H255"/>
      <c r="I255"/>
      <c r="J255"/>
    </row>
    <row r="267" spans="1:26" ht="18.75">
      <c r="A267" s="158" t="s">
        <v>2005</v>
      </c>
      <c r="B267" s="154"/>
      <c r="C267" s="154"/>
      <c r="D267" s="154"/>
      <c r="E267" s="154"/>
      <c r="F267" s="154"/>
      <c r="G267" s="154"/>
      <c r="H267" s="154"/>
      <c r="I267" s="154"/>
      <c r="J267" s="154"/>
      <c r="K267" s="154"/>
      <c r="L267" s="154"/>
      <c r="M267" s="154"/>
      <c r="N267" s="154"/>
      <c r="O267" s="154"/>
      <c r="P267" s="154"/>
      <c r="Q267" s="154"/>
      <c r="R267" s="154"/>
      <c r="S267" s="154"/>
      <c r="T267" s="154"/>
      <c r="U267" s="154"/>
      <c r="V267" s="154"/>
      <c r="W267" s="154"/>
      <c r="X267" s="154"/>
      <c r="Y267" s="154"/>
      <c r="Z267" s="154"/>
    </row>
    <row r="270" spans="1:26" ht="15.75">
      <c r="C270"/>
      <c r="D270"/>
    </row>
    <row r="271" spans="1:26">
      <c r="C271" s="903" t="s">
        <v>20</v>
      </c>
      <c r="D271" s="904" t="s">
        <v>2389</v>
      </c>
    </row>
    <row r="273" spans="3:12">
      <c r="C273" s="903" t="s">
        <v>22</v>
      </c>
      <c r="D273" s="903" t="s">
        <v>23</v>
      </c>
      <c r="E273" s="903" t="s">
        <v>24</v>
      </c>
      <c r="F273" s="903" t="s">
        <v>30</v>
      </c>
      <c r="G273" s="904" t="s">
        <v>1889</v>
      </c>
      <c r="H273" s="904" t="s">
        <v>1934</v>
      </c>
      <c r="I273" s="904" t="s">
        <v>1935</v>
      </c>
      <c r="J273" s="904" t="s">
        <v>1936</v>
      </c>
      <c r="K273" s="904" t="s">
        <v>1937</v>
      </c>
      <c r="L273" s="904" t="s">
        <v>1938</v>
      </c>
    </row>
    <row r="274" spans="3:12">
      <c r="C274" s="904" t="s">
        <v>2706</v>
      </c>
      <c r="D274" s="904" t="s">
        <v>361</v>
      </c>
      <c r="E274" s="904" t="s">
        <v>372</v>
      </c>
      <c r="F274" s="904" t="s">
        <v>794</v>
      </c>
      <c r="G274" s="906">
        <v>1</v>
      </c>
      <c r="H274" s="910">
        <v>351</v>
      </c>
      <c r="I274" s="910">
        <v>974</v>
      </c>
      <c r="J274" s="911">
        <v>0</v>
      </c>
      <c r="K274" s="911">
        <v>0</v>
      </c>
      <c r="L274" s="911">
        <v>0</v>
      </c>
    </row>
    <row r="275" spans="3:12">
      <c r="C275" s="904"/>
      <c r="D275" s="904" t="s">
        <v>306</v>
      </c>
      <c r="E275" s="904" t="s">
        <v>2701</v>
      </c>
      <c r="F275" s="904" t="s">
        <v>797</v>
      </c>
      <c r="G275" s="906">
        <v>1</v>
      </c>
      <c r="H275" s="910">
        <v>91</v>
      </c>
      <c r="I275" s="910">
        <v>581</v>
      </c>
      <c r="J275" s="911">
        <v>1</v>
      </c>
      <c r="K275" s="911">
        <v>0</v>
      </c>
      <c r="L275" s="911">
        <v>1</v>
      </c>
    </row>
    <row r="276" spans="3:12">
      <c r="C276" s="904"/>
      <c r="D276" s="904" t="s">
        <v>403</v>
      </c>
      <c r="E276" s="904" t="s">
        <v>404</v>
      </c>
      <c r="F276" s="904" t="s">
        <v>794</v>
      </c>
      <c r="G276" s="906">
        <v>1</v>
      </c>
      <c r="H276" s="910">
        <v>716</v>
      </c>
      <c r="I276" s="910">
        <v>2920</v>
      </c>
      <c r="J276" s="911">
        <v>0</v>
      </c>
      <c r="K276" s="911">
        <v>0</v>
      </c>
      <c r="L276" s="911">
        <v>0</v>
      </c>
    </row>
    <row r="277" spans="3:12">
      <c r="C277" s="904"/>
      <c r="D277" s="904" t="s">
        <v>406</v>
      </c>
      <c r="E277" s="904" t="s">
        <v>416</v>
      </c>
      <c r="F277" s="904" t="s">
        <v>794</v>
      </c>
      <c r="G277" s="906">
        <v>1</v>
      </c>
      <c r="H277" s="910">
        <v>1112</v>
      </c>
      <c r="I277" s="910">
        <v>4836</v>
      </c>
      <c r="J277" s="911">
        <v>0</v>
      </c>
      <c r="K277" s="911">
        <v>4.280397022332505E-2</v>
      </c>
      <c r="L277" s="911">
        <v>0</v>
      </c>
    </row>
    <row r="278" spans="3:12">
      <c r="C278" s="904"/>
      <c r="D278" s="904"/>
      <c r="E278" s="904" t="s">
        <v>414</v>
      </c>
      <c r="F278" s="904" t="s">
        <v>794</v>
      </c>
      <c r="G278" s="906">
        <v>1</v>
      </c>
      <c r="H278" s="910">
        <v>1309</v>
      </c>
      <c r="I278" s="910">
        <v>6037</v>
      </c>
      <c r="J278" s="911">
        <v>0</v>
      </c>
      <c r="K278" s="911">
        <v>0.44177571641543811</v>
      </c>
      <c r="L278" s="911">
        <v>0</v>
      </c>
    </row>
    <row r="279" spans="3:12">
      <c r="C279" s="904"/>
      <c r="D279" s="904"/>
      <c r="E279" s="904" t="s">
        <v>410</v>
      </c>
      <c r="F279" s="904" t="s">
        <v>1873</v>
      </c>
      <c r="G279" s="906">
        <v>1</v>
      </c>
      <c r="H279" s="910">
        <v>1027</v>
      </c>
      <c r="I279" s="910">
        <v>4671</v>
      </c>
      <c r="J279" s="911">
        <v>0</v>
      </c>
      <c r="K279" s="911">
        <v>0.32905159494754865</v>
      </c>
      <c r="L279" s="911">
        <v>0</v>
      </c>
    </row>
    <row r="280" spans="3:12">
      <c r="C280" s="904"/>
      <c r="D280" s="904"/>
      <c r="E280" s="904" t="s">
        <v>411</v>
      </c>
      <c r="F280" s="904" t="s">
        <v>794</v>
      </c>
      <c r="G280" s="906">
        <v>1</v>
      </c>
      <c r="H280" s="910">
        <v>984</v>
      </c>
      <c r="I280" s="910">
        <v>4676</v>
      </c>
      <c r="J280" s="911">
        <v>0</v>
      </c>
      <c r="K280" s="911">
        <v>0.25513259195893923</v>
      </c>
      <c r="L280" s="911">
        <v>0</v>
      </c>
    </row>
    <row r="281" spans="3:12">
      <c r="C281" s="904"/>
      <c r="D281" s="904"/>
      <c r="E281" s="904" t="s">
        <v>409</v>
      </c>
      <c r="F281" s="904" t="s">
        <v>794</v>
      </c>
      <c r="G281" s="906">
        <v>1</v>
      </c>
      <c r="H281" s="910">
        <v>744</v>
      </c>
      <c r="I281" s="910">
        <v>2805</v>
      </c>
      <c r="J281" s="911">
        <v>0</v>
      </c>
      <c r="K281" s="911">
        <v>0</v>
      </c>
      <c r="L281" s="911">
        <v>0</v>
      </c>
    </row>
    <row r="282" spans="3:12">
      <c r="C282" s="904"/>
      <c r="D282" s="904" t="s">
        <v>299</v>
      </c>
      <c r="E282" s="904" t="s">
        <v>418</v>
      </c>
      <c r="F282" s="904" t="s">
        <v>794</v>
      </c>
      <c r="G282" s="906">
        <v>1</v>
      </c>
      <c r="H282" s="910">
        <v>397</v>
      </c>
      <c r="I282" s="910">
        <v>2111</v>
      </c>
      <c r="J282" s="911">
        <v>0</v>
      </c>
      <c r="K282" s="911">
        <v>0</v>
      </c>
      <c r="L282" s="911">
        <v>9.5215537659876781E-2</v>
      </c>
    </row>
    <row r="283" spans="3:12">
      <c r="C283" s="904"/>
      <c r="D283" s="904"/>
      <c r="E283" s="904" t="s">
        <v>429</v>
      </c>
      <c r="F283" s="904" t="s">
        <v>794</v>
      </c>
      <c r="G283" s="906">
        <v>1</v>
      </c>
      <c r="H283" s="910">
        <v>1015</v>
      </c>
      <c r="I283" s="910">
        <v>4892</v>
      </c>
      <c r="J283" s="911">
        <v>0</v>
      </c>
      <c r="K283" s="911">
        <v>0</v>
      </c>
      <c r="L283" s="911">
        <v>0</v>
      </c>
    </row>
    <row r="284" spans="3:12">
      <c r="C284" s="904"/>
      <c r="D284" s="904"/>
      <c r="E284" s="904" t="s">
        <v>431</v>
      </c>
      <c r="F284" s="904" t="s">
        <v>794</v>
      </c>
      <c r="G284" s="906">
        <v>1</v>
      </c>
      <c r="H284" s="910">
        <v>1333</v>
      </c>
      <c r="I284" s="910">
        <v>6936</v>
      </c>
      <c r="J284" s="911">
        <v>0</v>
      </c>
      <c r="K284" s="911">
        <v>0.27047289504036909</v>
      </c>
      <c r="L284" s="911">
        <v>4.6280276816608956E-2</v>
      </c>
    </row>
    <row r="285" spans="3:12">
      <c r="C285" s="904"/>
      <c r="D285" s="904"/>
      <c r="E285" s="904" t="s">
        <v>428</v>
      </c>
      <c r="F285" s="904" t="s">
        <v>794</v>
      </c>
      <c r="G285" s="906">
        <v>1</v>
      </c>
      <c r="H285" s="910">
        <v>1850</v>
      </c>
      <c r="I285" s="910">
        <v>11625</v>
      </c>
      <c r="J285" s="911">
        <v>0</v>
      </c>
      <c r="K285" s="911">
        <v>0.24559139784946238</v>
      </c>
      <c r="L285" s="911">
        <v>0.20473118279569891</v>
      </c>
    </row>
    <row r="286" spans="3:12">
      <c r="C286" s="904"/>
      <c r="D286" s="904"/>
      <c r="E286" s="904" t="s">
        <v>427</v>
      </c>
      <c r="F286" s="904" t="s">
        <v>772</v>
      </c>
      <c r="G286" s="906">
        <v>1</v>
      </c>
      <c r="H286" s="910">
        <v>604</v>
      </c>
      <c r="I286" s="910">
        <v>3360</v>
      </c>
      <c r="J286" s="911">
        <v>0</v>
      </c>
      <c r="K286" s="911">
        <v>0.85119047619047616</v>
      </c>
      <c r="L286" s="911">
        <v>0.11011904761904767</v>
      </c>
    </row>
    <row r="287" spans="3:12">
      <c r="C287" s="904"/>
      <c r="D287" s="904"/>
      <c r="E287" s="904" t="s">
        <v>435</v>
      </c>
      <c r="F287" s="904" t="s">
        <v>794</v>
      </c>
      <c r="G287" s="906">
        <v>1</v>
      </c>
      <c r="H287" s="910">
        <v>656</v>
      </c>
      <c r="I287" s="910">
        <v>3486</v>
      </c>
      <c r="J287" s="911">
        <v>0</v>
      </c>
      <c r="K287" s="911">
        <v>0</v>
      </c>
      <c r="L287" s="911">
        <v>1</v>
      </c>
    </row>
    <row r="288" spans="3:12">
      <c r="C288" s="904"/>
      <c r="D288" s="904"/>
      <c r="E288" s="904" t="s">
        <v>445</v>
      </c>
      <c r="F288" s="904" t="s">
        <v>794</v>
      </c>
      <c r="G288" s="906">
        <v>1</v>
      </c>
      <c r="H288" s="910">
        <v>673</v>
      </c>
      <c r="I288" s="910">
        <v>3095</v>
      </c>
      <c r="J288" s="911">
        <v>0</v>
      </c>
      <c r="K288" s="911">
        <v>0</v>
      </c>
      <c r="L288" s="911">
        <v>0</v>
      </c>
    </row>
    <row r="289" spans="3:12">
      <c r="C289" s="904"/>
      <c r="D289" s="904"/>
      <c r="E289" s="904" t="s">
        <v>436</v>
      </c>
      <c r="F289" s="904" t="s">
        <v>794</v>
      </c>
      <c r="G289" s="906">
        <v>1</v>
      </c>
      <c r="H289" s="910">
        <v>2428</v>
      </c>
      <c r="I289" s="910">
        <v>13302</v>
      </c>
      <c r="J289" s="911">
        <v>0</v>
      </c>
      <c r="K289" s="911">
        <v>0.24146744850398438</v>
      </c>
      <c r="L289" s="911">
        <v>0</v>
      </c>
    </row>
    <row r="290" spans="3:12">
      <c r="C290" s="904"/>
      <c r="D290" s="904"/>
      <c r="E290" s="904" t="s">
        <v>434</v>
      </c>
      <c r="F290" s="904" t="s">
        <v>794</v>
      </c>
      <c r="G290" s="906">
        <v>1</v>
      </c>
      <c r="H290" s="910">
        <v>2260</v>
      </c>
      <c r="I290" s="910">
        <v>11396</v>
      </c>
      <c r="J290" s="911">
        <v>0</v>
      </c>
      <c r="K290" s="911">
        <v>0</v>
      </c>
      <c r="L290" s="911">
        <v>0</v>
      </c>
    </row>
    <row r="291" spans="3:12">
      <c r="C291" s="904"/>
      <c r="D291" s="904"/>
      <c r="E291" s="904" t="s">
        <v>443</v>
      </c>
      <c r="F291" s="904" t="s">
        <v>794</v>
      </c>
      <c r="G291" s="906">
        <v>1</v>
      </c>
      <c r="H291" s="910">
        <v>2280</v>
      </c>
      <c r="I291" s="910">
        <v>11564</v>
      </c>
      <c r="J291" s="911">
        <v>0</v>
      </c>
      <c r="K291" s="911">
        <v>0</v>
      </c>
      <c r="L291" s="911">
        <v>0</v>
      </c>
    </row>
    <row r="292" spans="3:12">
      <c r="C292" s="904"/>
      <c r="D292" s="904"/>
      <c r="E292" s="904" t="s">
        <v>426</v>
      </c>
      <c r="F292" s="904" t="s">
        <v>797</v>
      </c>
      <c r="G292" s="906">
        <v>1</v>
      </c>
      <c r="H292" s="910">
        <v>1139</v>
      </c>
      <c r="I292" s="910">
        <v>6016</v>
      </c>
      <c r="J292" s="911">
        <v>0</v>
      </c>
      <c r="K292" s="911">
        <v>0.35006648936170215</v>
      </c>
      <c r="L292" s="911">
        <v>7.2473404255319118E-2</v>
      </c>
    </row>
    <row r="293" spans="3:12">
      <c r="C293" s="904"/>
      <c r="D293" s="904"/>
      <c r="E293" s="904" t="s">
        <v>430</v>
      </c>
      <c r="F293" s="904" t="s">
        <v>794</v>
      </c>
      <c r="G293" s="906">
        <v>1</v>
      </c>
      <c r="H293" s="910">
        <v>1013</v>
      </c>
      <c r="I293" s="910">
        <v>5950</v>
      </c>
      <c r="J293" s="911">
        <v>0</v>
      </c>
      <c r="K293" s="911">
        <v>0.12436974789915967</v>
      </c>
      <c r="L293" s="911">
        <v>0</v>
      </c>
    </row>
    <row r="294" spans="3:12">
      <c r="C294" s="904"/>
      <c r="D294" s="904"/>
      <c r="E294" s="904" t="s">
        <v>432</v>
      </c>
      <c r="F294" s="904" t="s">
        <v>772</v>
      </c>
      <c r="G294" s="906">
        <v>1</v>
      </c>
      <c r="H294" s="910">
        <v>299</v>
      </c>
      <c r="I294" s="910">
        <v>1670</v>
      </c>
      <c r="J294" s="911">
        <v>0</v>
      </c>
      <c r="K294" s="911">
        <v>1</v>
      </c>
      <c r="L294" s="911">
        <v>0</v>
      </c>
    </row>
    <row r="295" spans="3:12">
      <c r="C295" s="904"/>
      <c r="D295" s="904"/>
      <c r="E295" s="904" t="s">
        <v>2310</v>
      </c>
      <c r="F295" s="904" t="s">
        <v>794</v>
      </c>
      <c r="G295" s="906">
        <v>1</v>
      </c>
      <c r="H295" s="910">
        <v>400</v>
      </c>
      <c r="I295" s="910">
        <v>2186</v>
      </c>
      <c r="J295" s="911">
        <v>0</v>
      </c>
      <c r="K295" s="911">
        <v>0</v>
      </c>
      <c r="L295" s="911">
        <v>0</v>
      </c>
    </row>
    <row r="296" spans="3:12">
      <c r="C296" s="904"/>
      <c r="D296" s="904"/>
      <c r="E296" s="904" t="s">
        <v>2309</v>
      </c>
      <c r="F296" s="904" t="s">
        <v>794</v>
      </c>
      <c r="G296" s="906">
        <v>1</v>
      </c>
      <c r="H296" s="910">
        <v>400</v>
      </c>
      <c r="I296" s="910">
        <v>2248</v>
      </c>
      <c r="J296" s="911">
        <v>0</v>
      </c>
      <c r="K296" s="911">
        <v>5.2491103202847E-2</v>
      </c>
      <c r="L296" s="911">
        <v>0</v>
      </c>
    </row>
    <row r="297" spans="3:12">
      <c r="C297" s="904"/>
      <c r="D297" s="904"/>
      <c r="E297" s="904" t="s">
        <v>2311</v>
      </c>
      <c r="F297" s="904" t="s">
        <v>794</v>
      </c>
      <c r="G297" s="906">
        <v>1</v>
      </c>
      <c r="H297" s="910">
        <v>400</v>
      </c>
      <c r="I297" s="910">
        <v>2285</v>
      </c>
      <c r="J297" s="911">
        <v>0</v>
      </c>
      <c r="K297" s="911">
        <v>0</v>
      </c>
      <c r="L297" s="911">
        <v>0</v>
      </c>
    </row>
    <row r="298" spans="3:12">
      <c r="C298" s="904"/>
      <c r="D298" s="904"/>
      <c r="E298" s="904" t="s">
        <v>2699</v>
      </c>
      <c r="F298" s="904" t="s">
        <v>772</v>
      </c>
      <c r="G298" s="906">
        <v>1</v>
      </c>
      <c r="H298" s="910">
        <v>22</v>
      </c>
      <c r="I298" s="910">
        <v>114</v>
      </c>
      <c r="J298" s="911">
        <v>1</v>
      </c>
      <c r="K298" s="911">
        <v>1</v>
      </c>
      <c r="L298" s="911">
        <v>0</v>
      </c>
    </row>
    <row r="299" spans="3:12">
      <c r="C299" s="904" t="s">
        <v>2707</v>
      </c>
      <c r="D299" s="904"/>
      <c r="E299" s="904"/>
      <c r="F299" s="904"/>
      <c r="G299" s="906">
        <v>25</v>
      </c>
      <c r="H299" s="910">
        <v>23503</v>
      </c>
      <c r="I299" s="910">
        <v>119736</v>
      </c>
      <c r="J299" s="911">
        <v>0.08</v>
      </c>
      <c r="K299" s="911">
        <v>0.20817653726373009</v>
      </c>
      <c r="L299" s="911">
        <v>0.10115277796586204</v>
      </c>
    </row>
    <row r="300" spans="3:12" ht="15.75">
      <c r="C300"/>
      <c r="D300"/>
      <c r="E300"/>
      <c r="F300"/>
      <c r="G300"/>
      <c r="H300"/>
      <c r="I300"/>
      <c r="J300"/>
      <c r="K300"/>
      <c r="L300"/>
    </row>
    <row r="301" spans="3:12" ht="15.75">
      <c r="C301"/>
      <c r="D301"/>
      <c r="E301"/>
      <c r="F301"/>
      <c r="G301"/>
      <c r="H301"/>
      <c r="I301"/>
      <c r="J301"/>
      <c r="K301"/>
      <c r="L301"/>
    </row>
    <row r="302" spans="3:12">
      <c r="C302" s="508"/>
      <c r="D302" s="508"/>
      <c r="E302" s="508"/>
      <c r="F302" s="508"/>
      <c r="G302" s="509"/>
      <c r="H302" s="510"/>
      <c r="I302" s="510"/>
      <c r="J302" s="511"/>
      <c r="K302" s="511"/>
      <c r="L302" s="511"/>
    </row>
    <row r="303" spans="3:12">
      <c r="C303" s="508"/>
      <c r="D303" s="508"/>
      <c r="E303" s="508"/>
      <c r="F303" s="508"/>
      <c r="G303" s="509"/>
      <c r="H303" s="510"/>
      <c r="I303" s="510"/>
      <c r="J303" s="511"/>
      <c r="K303" s="511"/>
      <c r="L303" s="511"/>
    </row>
    <row r="304" spans="3:12">
      <c r="C304" s="508"/>
      <c r="D304" s="508"/>
      <c r="E304" s="508"/>
      <c r="F304" s="508"/>
      <c r="G304" s="509"/>
      <c r="H304" s="510"/>
      <c r="I304" s="510"/>
      <c r="J304" s="511"/>
      <c r="K304" s="511"/>
      <c r="L304" s="511"/>
    </row>
    <row r="305" spans="1:25" ht="18.75">
      <c r="A305" s="159" t="s">
        <v>1939</v>
      </c>
      <c r="B305" s="135"/>
      <c r="C305" s="135"/>
      <c r="D305" s="135"/>
      <c r="E305" s="135"/>
      <c r="F305" s="135"/>
      <c r="G305" s="135"/>
      <c r="H305" s="135"/>
      <c r="I305" s="135"/>
      <c r="J305" s="135"/>
      <c r="K305" s="135"/>
      <c r="L305" s="135"/>
      <c r="M305" s="135"/>
      <c r="N305" s="135"/>
      <c r="O305" s="135"/>
      <c r="P305" s="135"/>
      <c r="Q305" s="135"/>
      <c r="R305" s="135"/>
      <c r="S305" s="135"/>
      <c r="T305" s="135"/>
      <c r="U305" s="135"/>
      <c r="V305" s="135"/>
      <c r="W305" s="135"/>
      <c r="X305" s="135"/>
      <c r="Y305" s="135"/>
    </row>
    <row r="306" spans="1:25">
      <c r="C306" s="114"/>
      <c r="D306" s="114"/>
      <c r="E306" s="114"/>
      <c r="F306" s="114"/>
      <c r="G306" s="114"/>
      <c r="H306" s="114"/>
      <c r="I306" s="114"/>
      <c r="J306" s="114"/>
      <c r="K306" s="114"/>
    </row>
    <row r="307" spans="1:25">
      <c r="C307" s="114"/>
      <c r="D307" s="114"/>
      <c r="E307" s="114"/>
      <c r="F307" s="114"/>
      <c r="G307" s="114"/>
      <c r="H307" s="114"/>
      <c r="I307" s="114"/>
      <c r="J307" s="114"/>
      <c r="K307" s="114"/>
    </row>
    <row r="308" spans="1:25">
      <c r="C308" s="114"/>
      <c r="D308" s="114"/>
      <c r="E308" s="114"/>
      <c r="F308" s="114"/>
      <c r="G308" s="114"/>
      <c r="H308" s="114"/>
      <c r="I308" s="114"/>
      <c r="J308" s="114"/>
      <c r="K308" s="114"/>
    </row>
    <row r="309" spans="1:25">
      <c r="C309" s="903" t="s">
        <v>20</v>
      </c>
      <c r="D309" s="904" t="s">
        <v>2389</v>
      </c>
      <c r="F309" s="114"/>
      <c r="G309" s="114"/>
      <c r="H309" s="114"/>
      <c r="I309" s="114"/>
      <c r="J309" s="114"/>
      <c r="K309" s="114"/>
    </row>
    <row r="310" spans="1:25">
      <c r="C310" s="903" t="s">
        <v>35</v>
      </c>
      <c r="D310" s="904" t="s">
        <v>35</v>
      </c>
      <c r="F310" s="114"/>
      <c r="G310" s="114"/>
      <c r="H310" s="114"/>
      <c r="I310" s="114"/>
      <c r="J310" s="114"/>
      <c r="K310" s="114"/>
    </row>
    <row r="311" spans="1:25">
      <c r="C311" s="508"/>
      <c r="F311" s="114"/>
      <c r="G311" s="114"/>
      <c r="H311" s="114"/>
      <c r="I311" s="114"/>
      <c r="J311" s="114"/>
      <c r="K311" s="114"/>
    </row>
    <row r="312" spans="1:25" s="112" customFormat="1" ht="15.75">
      <c r="C312" s="917" t="s">
        <v>22</v>
      </c>
      <c r="D312" s="904" t="s">
        <v>2908</v>
      </c>
      <c r="E312" s="904" t="s">
        <v>3142</v>
      </c>
      <c r="F312"/>
      <c r="G312"/>
      <c r="H312"/>
      <c r="I312"/>
      <c r="J312" s="475"/>
      <c r="K312" s="475"/>
    </row>
    <row r="313" spans="1:25" ht="15.75">
      <c r="C313" s="905" t="s">
        <v>2706</v>
      </c>
      <c r="D313" s="910">
        <v>229</v>
      </c>
      <c r="E313" s="910">
        <v>103</v>
      </c>
      <c r="F313"/>
      <c r="G313"/>
      <c r="H313"/>
      <c r="I313"/>
      <c r="J313" s="114"/>
      <c r="K313" s="114"/>
    </row>
    <row r="314" spans="1:25" ht="15.75">
      <c r="C314"/>
      <c r="D314"/>
      <c r="E314"/>
      <c r="F314"/>
      <c r="G314"/>
      <c r="H314"/>
      <c r="I314"/>
      <c r="J314" s="114"/>
      <c r="K314" s="114"/>
    </row>
    <row r="315" spans="1:25" ht="15.75">
      <c r="C315"/>
      <c r="D315"/>
      <c r="E315"/>
      <c r="F315"/>
      <c r="G315"/>
      <c r="H315"/>
      <c r="I315"/>
      <c r="J315" s="114"/>
      <c r="K315" s="114"/>
    </row>
    <row r="316" spans="1:25" ht="15.75">
      <c r="C316"/>
      <c r="D316"/>
      <c r="E316"/>
      <c r="F316"/>
      <c r="G316"/>
      <c r="H316"/>
      <c r="I316"/>
      <c r="J316" s="114"/>
      <c r="K316" s="114"/>
    </row>
    <row r="317" spans="1:25">
      <c r="C317" s="114"/>
      <c r="D317" s="114"/>
      <c r="E317" s="114"/>
      <c r="F317" s="114"/>
      <c r="G317" s="114"/>
      <c r="H317" s="114"/>
      <c r="I317" s="114"/>
      <c r="J317" s="114"/>
      <c r="K317" s="114"/>
    </row>
    <row r="318" spans="1:25" s="476" customFormat="1" ht="41.25" customHeight="1">
      <c r="C318" s="114"/>
      <c r="D318" s="114"/>
      <c r="E318" s="114"/>
      <c r="F318" s="114"/>
      <c r="G318" s="477"/>
      <c r="H318" s="477"/>
    </row>
    <row r="319" spans="1:25">
      <c r="C319" s="114"/>
      <c r="D319" s="114"/>
      <c r="E319" s="114"/>
      <c r="F319" s="114"/>
      <c r="G319" s="114"/>
      <c r="H319" s="114"/>
    </row>
    <row r="320" spans="1:25">
      <c r="C320" s="114"/>
      <c r="D320" s="114"/>
      <c r="E320" s="114"/>
      <c r="F320" s="114"/>
      <c r="G320" s="114"/>
      <c r="H320" s="114"/>
    </row>
    <row r="321" spans="3:17">
      <c r="C321" s="114"/>
      <c r="D321" s="114"/>
      <c r="E321" s="114"/>
      <c r="F321" s="114"/>
      <c r="G321" s="114"/>
      <c r="H321" s="114"/>
    </row>
    <row r="322" spans="3:17">
      <c r="C322" s="114"/>
      <c r="D322" s="114"/>
      <c r="E322" s="114"/>
      <c r="F322" s="114"/>
      <c r="G322" s="114"/>
      <c r="H322" s="114"/>
      <c r="I322" s="114"/>
      <c r="J322" s="114"/>
      <c r="K322" s="114"/>
    </row>
    <row r="323" spans="3:17">
      <c r="C323" s="114"/>
      <c r="D323" s="114"/>
      <c r="E323" s="114"/>
      <c r="F323" s="114"/>
      <c r="G323" s="114"/>
      <c r="H323" s="114"/>
      <c r="I323" s="114"/>
      <c r="J323" s="114"/>
      <c r="K323" s="114"/>
    </row>
    <row r="324" spans="3:17" ht="15.75">
      <c r="C324" s="114"/>
      <c r="D324" s="114"/>
      <c r="E324" s="114"/>
      <c r="F324" s="114"/>
      <c r="G324" s="114"/>
      <c r="H324" s="114"/>
      <c r="I324" s="114"/>
      <c r="J324" s="114"/>
      <c r="K324"/>
      <c r="L324"/>
      <c r="M324" s="114"/>
    </row>
    <row r="325" spans="3:17">
      <c r="C325" s="903" t="s">
        <v>20</v>
      </c>
      <c r="D325" s="904" t="s">
        <v>2389</v>
      </c>
      <c r="E325" s="114"/>
      <c r="F325" s="114"/>
      <c r="G325" s="114"/>
      <c r="H325" s="114"/>
      <c r="I325" s="114"/>
      <c r="J325" s="114"/>
      <c r="K325" s="856"/>
      <c r="L325" s="856"/>
    </row>
    <row r="326" spans="3:17">
      <c r="C326" s="903" t="s">
        <v>35</v>
      </c>
      <c r="D326" s="904" t="s">
        <v>35</v>
      </c>
      <c r="F326" s="114"/>
      <c r="G326" s="114"/>
      <c r="H326" s="114"/>
      <c r="I326" s="114"/>
      <c r="J326" s="114"/>
      <c r="K326" s="856"/>
      <c r="L326" s="856"/>
      <c r="Q326" s="502"/>
    </row>
    <row r="327" spans="3:17">
      <c r="C327" s="903" t="s">
        <v>128</v>
      </c>
      <c r="D327" s="904" t="s">
        <v>44</v>
      </c>
      <c r="F327" s="114"/>
      <c r="G327" s="114"/>
      <c r="H327" s="114"/>
      <c r="I327" s="114"/>
      <c r="J327" s="114"/>
    </row>
    <row r="328" spans="3:17" ht="15.75">
      <c r="F328" s="114"/>
      <c r="G328" s="114"/>
      <c r="H328" s="114"/>
      <c r="I328" s="114"/>
      <c r="J328" s="114"/>
      <c r="K328"/>
      <c r="L328"/>
      <c r="M328"/>
      <c r="N328"/>
      <c r="O328"/>
      <c r="P328"/>
      <c r="Q328"/>
    </row>
    <row r="329" spans="3:17" ht="15.75">
      <c r="C329" s="903" t="s">
        <v>2782</v>
      </c>
      <c r="D329" s="903" t="s">
        <v>1887</v>
      </c>
      <c r="E329" s="904"/>
      <c r="F329"/>
      <c r="G329"/>
      <c r="H329"/>
      <c r="I329" s="114"/>
      <c r="J329" s="114"/>
      <c r="K329"/>
      <c r="L329"/>
      <c r="M329"/>
      <c r="N329"/>
      <c r="O329"/>
      <c r="P329"/>
      <c r="Q329"/>
    </row>
    <row r="330" spans="3:17" ht="15.75">
      <c r="C330" s="903" t="s">
        <v>22</v>
      </c>
      <c r="D330" s="904" t="s">
        <v>130</v>
      </c>
      <c r="E330" s="904" t="s">
        <v>42</v>
      </c>
      <c r="F330"/>
      <c r="G330"/>
      <c r="H330"/>
      <c r="I330" s="114"/>
      <c r="J330" s="114"/>
      <c r="K330"/>
      <c r="L330"/>
      <c r="M330"/>
      <c r="N330"/>
      <c r="O330"/>
      <c r="P330"/>
      <c r="Q330"/>
    </row>
    <row r="331" spans="3:17" ht="15.75">
      <c r="C331" s="905" t="s">
        <v>2706</v>
      </c>
      <c r="D331" s="911">
        <v>4.1666666666666664E-2</v>
      </c>
      <c r="E331" s="911">
        <v>0.95833333333333337</v>
      </c>
      <c r="F331"/>
      <c r="G331"/>
      <c r="H331"/>
      <c r="I331" s="114"/>
      <c r="J331" s="114"/>
      <c r="K331"/>
      <c r="L331"/>
      <c r="M331"/>
      <c r="N331"/>
      <c r="O331"/>
      <c r="P331"/>
      <c r="Q331"/>
    </row>
    <row r="332" spans="3:17" ht="15.75">
      <c r="C332"/>
      <c r="D332"/>
      <c r="E332"/>
      <c r="F332"/>
      <c r="G332"/>
      <c r="H332"/>
      <c r="I332" s="114"/>
      <c r="J332" s="114"/>
      <c r="K332"/>
      <c r="L332"/>
      <c r="M332"/>
      <c r="N332"/>
      <c r="O332"/>
      <c r="P332"/>
      <c r="Q332"/>
    </row>
    <row r="333" spans="3:17" ht="15.75">
      <c r="C333"/>
      <c r="D333"/>
      <c r="E333"/>
      <c r="F333"/>
      <c r="G333" s="114"/>
      <c r="H333" s="114"/>
      <c r="I333" s="114"/>
      <c r="J333" s="114"/>
      <c r="K333"/>
      <c r="L333"/>
      <c r="M333"/>
      <c r="N333"/>
      <c r="O333"/>
      <c r="P333"/>
      <c r="Q333"/>
    </row>
    <row r="334" spans="3:17" ht="16.5" thickBot="1">
      <c r="C334"/>
      <c r="D334"/>
      <c r="E334" s="114"/>
      <c r="F334" s="114"/>
      <c r="G334" s="114"/>
      <c r="H334" s="114"/>
      <c r="I334" s="114"/>
      <c r="J334" s="114"/>
      <c r="K334"/>
      <c r="L334"/>
      <c r="M334"/>
      <c r="N334"/>
      <c r="O334"/>
      <c r="P334"/>
      <c r="Q334"/>
    </row>
    <row r="335" spans="3:17" ht="15.75">
      <c r="C335" s="773" t="s">
        <v>22</v>
      </c>
      <c r="D335" s="785" t="s">
        <v>42</v>
      </c>
      <c r="E335" s="786" t="s">
        <v>130</v>
      </c>
      <c r="F335" s="114"/>
      <c r="G335" s="114"/>
      <c r="H335" s="114"/>
      <c r="I335" s="114"/>
      <c r="J335" s="114"/>
      <c r="K335"/>
      <c r="L335"/>
      <c r="M335"/>
      <c r="N335"/>
      <c r="O335"/>
      <c r="P335"/>
      <c r="Q335"/>
    </row>
    <row r="336" spans="3:17" ht="15.75">
      <c r="C336" s="774" t="s">
        <v>2706</v>
      </c>
      <c r="D336" s="775">
        <f>GETPIVOTDATA("Sites with TLS",$C$329,"State","Central Rakhine","Sites with TLS","Yes")</f>
        <v>0.95833333333333337</v>
      </c>
      <c r="E336" s="776">
        <f>GETPIVOTDATA("Sites with TLS",$C$329,"State","Central Rakhine","Sites with TLS","No")</f>
        <v>4.1666666666666664E-2</v>
      </c>
      <c r="F336" s="114"/>
      <c r="G336" s="114"/>
      <c r="H336" s="114"/>
      <c r="I336" s="114"/>
      <c r="J336" s="114"/>
      <c r="K336"/>
      <c r="L336"/>
      <c r="M336"/>
      <c r="N336"/>
      <c r="O336"/>
      <c r="P336"/>
      <c r="Q336"/>
    </row>
    <row r="337" spans="3:18" ht="16.5" thickBot="1">
      <c r="C337" s="777"/>
      <c r="D337" s="778"/>
      <c r="E337" s="779"/>
      <c r="F337" s="114"/>
      <c r="G337" s="114"/>
      <c r="H337" s="114"/>
      <c r="I337" s="114"/>
      <c r="J337" s="114"/>
      <c r="K337"/>
      <c r="L337"/>
      <c r="M337"/>
      <c r="N337"/>
      <c r="O337"/>
      <c r="P337"/>
      <c r="Q337"/>
    </row>
    <row r="338" spans="3:18" ht="15.75">
      <c r="F338" s="114"/>
      <c r="G338" s="114"/>
      <c r="H338" s="114"/>
      <c r="I338" s="114"/>
      <c r="J338" s="114"/>
      <c r="K338"/>
      <c r="L338"/>
      <c r="M338"/>
      <c r="N338"/>
      <c r="O338"/>
      <c r="P338"/>
      <c r="Q338"/>
    </row>
    <row r="339" spans="3:18" ht="15.75">
      <c r="C339" s="114"/>
      <c r="D339" s="114"/>
      <c r="E339" s="114"/>
      <c r="F339" s="114"/>
      <c r="G339" s="114"/>
      <c r="H339" s="114"/>
      <c r="I339" s="114"/>
      <c r="J339" s="114"/>
      <c r="K339"/>
      <c r="L339"/>
      <c r="M339"/>
      <c r="N339"/>
      <c r="O339"/>
      <c r="P339"/>
      <c r="Q339"/>
    </row>
    <row r="340" spans="3:18" ht="15.75">
      <c r="C340" s="114"/>
      <c r="D340" s="114"/>
      <c r="E340" s="114"/>
      <c r="F340" s="114"/>
      <c r="G340" s="114"/>
      <c r="H340" s="114"/>
      <c r="I340" s="114"/>
      <c r="J340" s="114"/>
      <c r="K340"/>
      <c r="L340"/>
      <c r="M340"/>
      <c r="N340"/>
      <c r="O340"/>
      <c r="P340"/>
      <c r="Q340"/>
    </row>
    <row r="341" spans="3:18" ht="15.75">
      <c r="C341" s="114"/>
      <c r="D341" s="114"/>
      <c r="E341" s="114"/>
      <c r="F341" s="114"/>
      <c r="G341" s="114"/>
      <c r="H341" s="114"/>
      <c r="I341" s="114"/>
      <c r="J341" s="114"/>
      <c r="K341"/>
      <c r="L341"/>
      <c r="M341"/>
      <c r="N341"/>
      <c r="O341"/>
      <c r="P341"/>
      <c r="Q341"/>
    </row>
    <row r="342" spans="3:18" ht="15.75">
      <c r="C342" s="114"/>
      <c r="D342" s="114"/>
      <c r="E342" s="114"/>
      <c r="F342" s="114"/>
      <c r="G342" s="114"/>
      <c r="H342" s="114"/>
      <c r="I342" s="114"/>
      <c r="J342" s="114"/>
      <c r="L342"/>
      <c r="M342"/>
      <c r="O342"/>
      <c r="P342"/>
      <c r="Q342"/>
    </row>
    <row r="343" spans="3:18" ht="15.75">
      <c r="C343" s="903" t="s">
        <v>20</v>
      </c>
      <c r="D343" s="904" t="s">
        <v>2389</v>
      </c>
      <c r="F343" s="114"/>
      <c r="G343" s="114"/>
      <c r="H343" s="114"/>
      <c r="I343" s="114"/>
      <c r="J343" s="114"/>
      <c r="L343" s="903" t="s">
        <v>35</v>
      </c>
      <c r="M343" s="904" t="s">
        <v>35</v>
      </c>
      <c r="O343"/>
      <c r="P343"/>
      <c r="Q343"/>
    </row>
    <row r="344" spans="3:18" ht="15.75">
      <c r="C344" s="903" t="s">
        <v>35</v>
      </c>
      <c r="D344" s="904" t="s">
        <v>35</v>
      </c>
      <c r="F344" s="114"/>
      <c r="G344" s="114"/>
      <c r="H344" s="114"/>
      <c r="I344" s="114"/>
      <c r="J344" s="114"/>
      <c r="L344" s="508"/>
      <c r="O344"/>
      <c r="P344"/>
      <c r="Q344"/>
    </row>
    <row r="345" spans="3:18" ht="15.75">
      <c r="C345" s="508"/>
      <c r="F345" s="114"/>
      <c r="G345" s="114"/>
      <c r="H345" s="114"/>
      <c r="I345" s="114"/>
      <c r="J345" s="114"/>
      <c r="L345" s="903" t="s">
        <v>22</v>
      </c>
      <c r="M345" s="904" t="s">
        <v>3201</v>
      </c>
      <c r="N345" s="530"/>
      <c r="O345"/>
      <c r="P345"/>
      <c r="Q345"/>
    </row>
    <row r="346" spans="3:18" ht="15.75">
      <c r="C346" s="904" t="s">
        <v>3141</v>
      </c>
      <c r="D346"/>
      <c r="E346"/>
      <c r="F346"/>
      <c r="G346" s="764"/>
      <c r="H346" s="764"/>
      <c r="I346" s="764"/>
      <c r="J346" s="764"/>
      <c r="L346" s="905" t="s">
        <v>2387</v>
      </c>
      <c r="M346" s="907">
        <v>12.279999999999998</v>
      </c>
      <c r="N346" s="530"/>
      <c r="O346"/>
      <c r="P346"/>
      <c r="Q346"/>
    </row>
    <row r="347" spans="3:18" ht="16.5" thickBot="1">
      <c r="C347" s="911">
        <v>0.37220815195884444</v>
      </c>
      <c r="D347"/>
      <c r="E347"/>
      <c r="F347"/>
      <c r="G347" s="114"/>
      <c r="H347" s="114"/>
      <c r="I347" s="114"/>
      <c r="J347" s="114"/>
      <c r="L347" s="905" t="s">
        <v>2389</v>
      </c>
      <c r="M347" s="907">
        <v>7.0719548872180447</v>
      </c>
      <c r="N347" s="114"/>
      <c r="O347"/>
      <c r="P347"/>
      <c r="Q347"/>
    </row>
    <row r="348" spans="3:18" ht="16.5" thickBot="1">
      <c r="C348" s="114"/>
      <c r="D348" s="114"/>
      <c r="E348" s="114"/>
      <c r="F348" s="114"/>
      <c r="G348" s="114"/>
      <c r="H348" s="114"/>
      <c r="I348" s="114"/>
      <c r="J348" s="114"/>
      <c r="L348" s="905" t="s">
        <v>2388</v>
      </c>
      <c r="M348" s="907">
        <v>11.36</v>
      </c>
      <c r="O348"/>
      <c r="P348" s="773"/>
      <c r="Q348" s="785" t="s">
        <v>42</v>
      </c>
      <c r="R348" s="786" t="s">
        <v>130</v>
      </c>
    </row>
    <row r="349" spans="3:18" ht="15.75">
      <c r="C349" s="773"/>
      <c r="D349" s="785" t="s">
        <v>42</v>
      </c>
      <c r="E349" s="786" t="s">
        <v>130</v>
      </c>
      <c r="F349" s="114"/>
      <c r="G349" s="114"/>
      <c r="H349" s="114"/>
      <c r="I349" s="114"/>
      <c r="J349" s="114"/>
      <c r="L349"/>
      <c r="M349"/>
      <c r="O349"/>
      <c r="P349" s="774" t="s">
        <v>3143</v>
      </c>
      <c r="Q349" s="775">
        <f>GETPIVOTDATA("%_of_TLS/CFS_with_a_designated_place_for_children_to_wash_hands_where_soap_is_available",$C$346)</f>
        <v>0.37220815195884444</v>
      </c>
      <c r="R349" s="776">
        <f>1-Q349</f>
        <v>0.62779184804115551</v>
      </c>
    </row>
    <row r="350" spans="3:18" ht="16.5" thickBot="1">
      <c r="C350" s="774" t="s">
        <v>3143</v>
      </c>
      <c r="D350" s="775">
        <f>GETPIVOTDATA("%_of_TLS/CFS_with_a_designated_place_for_children_to_wash_hands_where_soap_is_available",$C$346)</f>
        <v>0.37220815195884444</v>
      </c>
      <c r="E350" s="776">
        <f>1-D350</f>
        <v>0.62779184804115551</v>
      </c>
      <c r="F350" s="114"/>
      <c r="G350" s="114"/>
      <c r="H350" s="114"/>
      <c r="I350" s="114"/>
      <c r="J350" s="114"/>
      <c r="L350"/>
      <c r="M350"/>
      <c r="O350"/>
      <c r="P350" s="777"/>
      <c r="Q350" s="778"/>
      <c r="R350" s="779"/>
    </row>
    <row r="351" spans="3:18" ht="16.5" thickBot="1">
      <c r="C351" s="777"/>
      <c r="D351" s="778"/>
      <c r="E351" s="779"/>
      <c r="F351" s="114"/>
      <c r="G351" s="114"/>
      <c r="H351" s="114"/>
      <c r="I351" s="114"/>
      <c r="J351" s="114"/>
      <c r="K351"/>
      <c r="L351"/>
      <c r="M351"/>
      <c r="N351"/>
      <c r="O351"/>
      <c r="P351"/>
      <c r="Q351"/>
    </row>
    <row r="352" spans="3:18" ht="15.75">
      <c r="C352" s="114"/>
      <c r="D352" s="114"/>
      <c r="E352" s="114"/>
      <c r="F352" s="114"/>
      <c r="G352" s="114"/>
      <c r="H352" s="114"/>
      <c r="I352" s="114"/>
      <c r="J352" s="114"/>
      <c r="K352"/>
      <c r="L352"/>
      <c r="M352"/>
      <c r="N352"/>
      <c r="O352"/>
      <c r="P352"/>
      <c r="Q352"/>
    </row>
    <row r="353" spans="1:25" ht="15.75">
      <c r="C353" s="114"/>
      <c r="D353" s="114"/>
      <c r="E353" s="114"/>
      <c r="F353" s="114"/>
      <c r="G353" s="114"/>
      <c r="H353" s="114"/>
      <c r="I353" s="114"/>
      <c r="J353" s="114"/>
      <c r="K353"/>
      <c r="L353"/>
      <c r="M353"/>
      <c r="N353"/>
      <c r="O353"/>
      <c r="P353"/>
      <c r="Q353"/>
    </row>
    <row r="354" spans="1:25" ht="15.75">
      <c r="C354" s="114"/>
      <c r="D354" s="114"/>
      <c r="E354" s="114"/>
      <c r="F354" s="114"/>
      <c r="G354" s="114"/>
      <c r="H354" s="114"/>
      <c r="I354" s="114"/>
      <c r="J354" s="114"/>
      <c r="K354"/>
      <c r="L354"/>
      <c r="M354"/>
      <c r="N354"/>
      <c r="O354"/>
      <c r="P354"/>
      <c r="Q354"/>
    </row>
    <row r="355" spans="1:25" ht="15.75">
      <c r="C355" s="114"/>
      <c r="D355" s="114"/>
      <c r="E355" s="114"/>
      <c r="F355" s="114"/>
      <c r="G355" s="114"/>
      <c r="H355" s="114"/>
      <c r="I355" s="114"/>
      <c r="J355" s="114"/>
      <c r="K355"/>
      <c r="L355"/>
      <c r="M355"/>
      <c r="N355"/>
      <c r="O355"/>
      <c r="P355"/>
      <c r="Q355"/>
    </row>
    <row r="356" spans="1:25" ht="15.75">
      <c r="C356" s="114"/>
      <c r="D356" s="114"/>
      <c r="E356" s="114"/>
      <c r="F356" s="114"/>
      <c r="G356" s="114"/>
      <c r="H356" s="114"/>
      <c r="I356" s="114"/>
      <c r="J356" s="114"/>
      <c r="K356"/>
      <c r="L356"/>
      <c r="M356"/>
      <c r="N356"/>
      <c r="O356"/>
      <c r="P356"/>
      <c r="Q356"/>
    </row>
    <row r="357" spans="1:25" ht="18.75">
      <c r="A357" s="787" t="s">
        <v>3144</v>
      </c>
      <c r="B357" s="788"/>
      <c r="C357" s="788"/>
      <c r="D357" s="788"/>
      <c r="E357" s="788"/>
      <c r="F357" s="788"/>
      <c r="G357" s="788"/>
      <c r="H357" s="788"/>
      <c r="I357" s="788"/>
      <c r="J357" s="788"/>
      <c r="K357" s="788"/>
      <c r="L357" s="788"/>
      <c r="M357" s="788"/>
      <c r="N357" s="788"/>
      <c r="O357" s="788"/>
      <c r="P357" s="788"/>
      <c r="Q357" s="788"/>
      <c r="R357" s="788"/>
      <c r="S357" s="788"/>
      <c r="T357" s="788"/>
      <c r="U357" s="788"/>
      <c r="V357" s="788"/>
      <c r="W357" s="788"/>
      <c r="X357" s="788"/>
      <c r="Y357" s="788"/>
    </row>
    <row r="358" spans="1:25" ht="15.75">
      <c r="C358" s="114"/>
      <c r="D358" s="114"/>
      <c r="E358" s="114"/>
      <c r="F358" s="114"/>
      <c r="G358" s="114"/>
      <c r="H358" s="114"/>
      <c r="I358" s="114"/>
      <c r="J358" s="114"/>
      <c r="K358" s="114"/>
      <c r="L358"/>
      <c r="M358"/>
    </row>
    <row r="359" spans="1:25" ht="15.75">
      <c r="C359" s="114"/>
      <c r="D359" s="114"/>
      <c r="E359" s="114"/>
      <c r="F359" s="114"/>
      <c r="G359" s="114"/>
      <c r="H359" s="114"/>
      <c r="I359" s="114"/>
      <c r="J359" s="114"/>
      <c r="K359" s="114"/>
      <c r="L359"/>
      <c r="M359"/>
      <c r="N359"/>
      <c r="O359" s="114"/>
      <c r="P359" s="114"/>
    </row>
    <row r="360" spans="1:25" ht="15.75">
      <c r="C360" s="114"/>
      <c r="D360" s="114"/>
      <c r="E360" s="114"/>
      <c r="F360" s="114"/>
      <c r="G360" s="114"/>
      <c r="H360" s="114"/>
      <c r="I360" s="114"/>
      <c r="J360" s="114"/>
      <c r="K360" s="114"/>
      <c r="L360"/>
      <c r="M360" s="903" t="s">
        <v>35</v>
      </c>
      <c r="N360" s="904" t="s">
        <v>35</v>
      </c>
      <c r="O360" s="114"/>
      <c r="P360" s="114"/>
    </row>
    <row r="361" spans="1:25" ht="15.75">
      <c r="C361" s="903" t="s">
        <v>20</v>
      </c>
      <c r="D361" s="904" t="s">
        <v>2389</v>
      </c>
      <c r="E361" s="114"/>
      <c r="F361" s="114"/>
      <c r="G361" s="114"/>
      <c r="H361" s="114"/>
      <c r="I361" s="114"/>
      <c r="J361" s="114"/>
      <c r="K361" s="114"/>
      <c r="L361"/>
      <c r="M361" s="508"/>
      <c r="O361" s="114"/>
      <c r="P361" s="114"/>
    </row>
    <row r="362" spans="1:25" ht="15.75">
      <c r="C362" s="903" t="s">
        <v>35</v>
      </c>
      <c r="D362" s="904" t="s">
        <v>35</v>
      </c>
      <c r="E362" s="114"/>
      <c r="F362" s="114"/>
      <c r="G362" s="114"/>
      <c r="H362" s="114"/>
      <c r="I362" s="114"/>
      <c r="J362" s="114"/>
      <c r="K362" s="114"/>
      <c r="L362"/>
      <c r="M362" s="904"/>
      <c r="N362" s="903" t="s">
        <v>1887</v>
      </c>
      <c r="O362" s="904"/>
      <c r="P362" s="904"/>
      <c r="Q362" s="461"/>
      <c r="R362" s="461"/>
      <c r="S362" s="461"/>
      <c r="T362" s="461"/>
      <c r="U362" s="461"/>
      <c r="V362" s="461"/>
      <c r="W362" s="461"/>
      <c r="X362" s="461"/>
      <c r="Y362" s="461"/>
    </row>
    <row r="363" spans="1:25" ht="15.75">
      <c r="C363" s="508"/>
      <c r="E363" s="114"/>
      <c r="F363" s="114"/>
      <c r="G363" s="114"/>
      <c r="H363" s="114"/>
      <c r="I363" s="114"/>
      <c r="J363" s="114"/>
      <c r="K363" s="114"/>
      <c r="L363"/>
      <c r="M363" s="903" t="s">
        <v>1888</v>
      </c>
      <c r="N363" s="904" t="s">
        <v>2387</v>
      </c>
      <c r="O363" s="904" t="s">
        <v>2388</v>
      </c>
      <c r="P363" s="904" t="s">
        <v>2389</v>
      </c>
    </row>
    <row r="364" spans="1:25" ht="15.75">
      <c r="C364" s="904" t="s">
        <v>3146</v>
      </c>
      <c r="D364" s="904" t="s">
        <v>3147</v>
      </c>
      <c r="E364" s="904" t="s">
        <v>3145</v>
      </c>
      <c r="F364" s="904" t="s">
        <v>3217</v>
      </c>
      <c r="G364" s="114"/>
      <c r="H364" s="114"/>
      <c r="I364" s="114"/>
      <c r="J364" s="114"/>
      <c r="K364" s="114"/>
      <c r="L364"/>
      <c r="M364" s="905" t="s">
        <v>3146</v>
      </c>
      <c r="N364" s="911">
        <v>0.85166666666666668</v>
      </c>
      <c r="O364" s="911">
        <v>0.98</v>
      </c>
      <c r="P364" s="911">
        <v>0.94</v>
      </c>
    </row>
    <row r="365" spans="1:25" ht="15.75">
      <c r="C365" s="911">
        <v>0.94</v>
      </c>
      <c r="D365" s="911">
        <v>1</v>
      </c>
      <c r="E365" s="911">
        <v>0.71399999999999997</v>
      </c>
      <c r="F365" s="911">
        <v>0.4880000000000001</v>
      </c>
      <c r="G365" s="114"/>
      <c r="H365" s="114"/>
      <c r="I365" s="114"/>
      <c r="J365" s="114"/>
      <c r="K365" s="114"/>
      <c r="L365"/>
      <c r="M365" s="905" t="s">
        <v>3147</v>
      </c>
      <c r="N365" s="911">
        <v>0.8833333333333333</v>
      </c>
      <c r="O365" s="911">
        <v>0.98333333333333339</v>
      </c>
      <c r="P365" s="911">
        <v>1</v>
      </c>
    </row>
    <row r="366" spans="1:25" ht="15.75">
      <c r="C366" s="114"/>
      <c r="D366" s="114"/>
      <c r="E366" s="114"/>
      <c r="F366" s="114"/>
      <c r="G366" s="114"/>
      <c r="H366" s="114"/>
      <c r="I366" s="114"/>
      <c r="J366" s="114"/>
      <c r="K366" s="114"/>
      <c r="L366"/>
      <c r="M366" s="905" t="s">
        <v>3145</v>
      </c>
      <c r="N366" s="911">
        <v>0.68625000000000003</v>
      </c>
      <c r="O366" s="911">
        <v>0.65400000000000014</v>
      </c>
      <c r="P366" s="911">
        <v>0.71399999999999997</v>
      </c>
    </row>
    <row r="367" spans="1:25" ht="15.75">
      <c r="E367" s="114"/>
      <c r="F367" s="114"/>
      <c r="G367" s="114"/>
      <c r="H367" s="114"/>
      <c r="I367" s="114"/>
      <c r="J367" s="114"/>
      <c r="K367" s="114"/>
      <c r="L367"/>
      <c r="M367" s="905" t="s">
        <v>3217</v>
      </c>
      <c r="N367" s="911">
        <v>0.51730038911811549</v>
      </c>
      <c r="O367" s="911">
        <v>0.29271788354031258</v>
      </c>
      <c r="P367" s="911">
        <v>0.4880000000000001</v>
      </c>
    </row>
    <row r="368" spans="1:25" ht="15.75">
      <c r="D368" s="780" t="s">
        <v>42</v>
      </c>
      <c r="E368" s="114" t="s">
        <v>130</v>
      </c>
      <c r="F368" s="114"/>
      <c r="G368" s="114"/>
      <c r="H368" s="114"/>
      <c r="I368" s="114"/>
      <c r="J368" s="114"/>
      <c r="K368" s="114"/>
      <c r="L368"/>
      <c r="M368"/>
    </row>
    <row r="369" spans="1:33" ht="15.75">
      <c r="C369" s="789" t="s">
        <v>3148</v>
      </c>
      <c r="D369" s="790">
        <f>GETPIVOTDATA("Average of %_of_affected_people_surveyed_who_report_feeling_satistfied_with_the_latrine_design_and_sanitation_service",$C$364)</f>
        <v>0.94</v>
      </c>
      <c r="E369" s="790">
        <f>1-D369</f>
        <v>6.0000000000000053E-2</v>
      </c>
      <c r="F369" s="114"/>
      <c r="G369" s="114"/>
      <c r="H369" s="114"/>
      <c r="I369" s="114"/>
      <c r="J369" s="114"/>
      <c r="K369" s="114"/>
      <c r="L369"/>
      <c r="M369"/>
    </row>
    <row r="370" spans="1:33" ht="15.75">
      <c r="C370" s="781" t="s">
        <v>3149</v>
      </c>
      <c r="D370" s="783">
        <f>GETPIVOTDATA("Average of %_of_affected_people_surveyed_who_report_feeling_satistfied_with_the_water_point_design_and_water_service",$C$364)</f>
        <v>1</v>
      </c>
      <c r="E370" s="783">
        <f t="shared" ref="E370:E372" si="1">1-D370</f>
        <v>0</v>
      </c>
      <c r="F370" s="114"/>
      <c r="G370" s="114"/>
      <c r="H370" s="114"/>
      <c r="I370" s="114"/>
      <c r="J370" s="114"/>
      <c r="K370" s="114"/>
      <c r="L370"/>
      <c r="M370"/>
    </row>
    <row r="371" spans="1:33" ht="15.75">
      <c r="C371" s="782" t="s">
        <v>3150</v>
      </c>
      <c r="D371" s="784">
        <f>GETPIVOTDATA("Average of %_of_complaints_received_that_result_in_timely_corrective_action_and_feedback_to_the_community",$C$364)</f>
        <v>0.71399999999999997</v>
      </c>
      <c r="E371" s="784">
        <f t="shared" si="1"/>
        <v>0.28600000000000003</v>
      </c>
      <c r="F371" s="114"/>
      <c r="G371" s="114"/>
      <c r="H371" s="114"/>
      <c r="I371" s="114"/>
      <c r="J371" s="114"/>
      <c r="K371" s="114"/>
      <c r="L371"/>
      <c r="M371"/>
    </row>
    <row r="372" spans="1:33" ht="15.75">
      <c r="C372" s="782" t="s">
        <v>3219</v>
      </c>
      <c r="D372" s="784">
        <v>0.4880000000000001</v>
      </c>
      <c r="E372" s="784">
        <f t="shared" si="1"/>
        <v>0.5119999999999999</v>
      </c>
      <c r="F372" s="114"/>
      <c r="G372" s="114"/>
      <c r="H372" s="114"/>
      <c r="I372" s="114"/>
      <c r="J372" s="114"/>
      <c r="K372" s="114"/>
      <c r="L372"/>
      <c r="M372"/>
    </row>
    <row r="373" spans="1:33" ht="15.75">
      <c r="C373" s="114"/>
      <c r="D373" s="114"/>
      <c r="E373" s="114"/>
      <c r="F373" s="114"/>
      <c r="G373" s="114"/>
      <c r="H373" s="114"/>
      <c r="I373" s="114"/>
      <c r="J373" s="114"/>
      <c r="K373" s="114"/>
      <c r="L373"/>
      <c r="M373"/>
    </row>
    <row r="374" spans="1:33" ht="15.75">
      <c r="C374" s="114"/>
      <c r="D374" s="114"/>
      <c r="E374" s="114"/>
      <c r="F374" s="114"/>
      <c r="G374" s="114"/>
      <c r="H374" s="114"/>
      <c r="I374" s="114"/>
      <c r="J374" s="114"/>
      <c r="K374" s="114"/>
      <c r="L374"/>
      <c r="M374"/>
    </row>
    <row r="375" spans="1:33" ht="18.75">
      <c r="A375" s="831" t="s">
        <v>3170</v>
      </c>
      <c r="B375" s="832"/>
      <c r="C375" s="832"/>
      <c r="D375" s="832"/>
      <c r="E375" s="832"/>
      <c r="F375" s="832"/>
      <c r="G375" s="832"/>
      <c r="H375" s="832"/>
      <c r="I375" s="832"/>
      <c r="J375" s="832"/>
      <c r="K375" s="832"/>
      <c r="L375" s="832"/>
      <c r="M375" s="832"/>
      <c r="N375" s="832"/>
      <c r="O375" s="832"/>
      <c r="P375" s="832"/>
      <c r="Q375" s="832"/>
      <c r="R375" s="832"/>
      <c r="S375" s="832"/>
      <c r="T375" s="832"/>
      <c r="U375" s="832"/>
      <c r="V375" s="832"/>
      <c r="W375" s="832"/>
      <c r="X375" s="832"/>
      <c r="Y375" s="832"/>
    </row>
    <row r="376" spans="1:33" ht="15.75">
      <c r="C376" s="114"/>
      <c r="D376" s="114"/>
      <c r="E376" s="114"/>
      <c r="F376" s="114"/>
      <c r="G376" s="114"/>
      <c r="H376" s="114"/>
      <c r="I376" s="114"/>
      <c r="J376" s="114"/>
      <c r="K376" s="114"/>
      <c r="L376"/>
      <c r="M376"/>
    </row>
    <row r="377" spans="1:33">
      <c r="C377" s="903" t="s">
        <v>20</v>
      </c>
      <c r="D377" s="904" t="s">
        <v>2389</v>
      </c>
      <c r="E377" s="114"/>
      <c r="F377" s="114"/>
      <c r="G377" s="114"/>
      <c r="H377" s="114"/>
      <c r="I377" s="114"/>
      <c r="J377" s="114"/>
      <c r="K377" s="114"/>
    </row>
    <row r="378" spans="1:33">
      <c r="C378" s="903" t="s">
        <v>35</v>
      </c>
      <c r="D378" s="904" t="s">
        <v>35</v>
      </c>
      <c r="E378" s="114"/>
      <c r="F378" s="114"/>
      <c r="G378" s="114"/>
      <c r="H378" s="114"/>
      <c r="I378" s="114"/>
      <c r="J378" s="114"/>
      <c r="K378" s="114"/>
    </row>
    <row r="379" spans="1:33">
      <c r="C379" s="903" t="s">
        <v>3167</v>
      </c>
      <c r="D379" s="904" t="s">
        <v>1629</v>
      </c>
      <c r="E379" s="114"/>
      <c r="F379" s="114"/>
      <c r="G379" s="114"/>
      <c r="H379" s="114"/>
      <c r="I379" s="114"/>
      <c r="J379" s="114"/>
      <c r="K379" s="114"/>
    </row>
    <row r="380" spans="1:33">
      <c r="C380" s="508"/>
      <c r="E380" s="114"/>
      <c r="F380" s="114"/>
      <c r="G380" s="114"/>
      <c r="H380" s="114"/>
      <c r="I380" s="114"/>
      <c r="J380" s="114"/>
      <c r="K380" s="114"/>
    </row>
    <row r="381" spans="1:33">
      <c r="C381" s="903" t="s">
        <v>22</v>
      </c>
      <c r="D381" s="904" t="s">
        <v>3177</v>
      </c>
      <c r="E381" s="907" t="s">
        <v>3171</v>
      </c>
      <c r="F381" s="907" t="s">
        <v>3172</v>
      </c>
      <c r="G381" s="904" t="s">
        <v>3173</v>
      </c>
      <c r="H381" s="904" t="s">
        <v>3179</v>
      </c>
      <c r="I381" s="764"/>
      <c r="J381" s="764"/>
      <c r="K381" s="764"/>
      <c r="L381" s="461"/>
      <c r="M381" s="461"/>
      <c r="N381" s="461"/>
      <c r="O381" s="461"/>
      <c r="P381" s="461"/>
      <c r="Q381" s="461"/>
      <c r="R381" s="461"/>
      <c r="S381" s="461"/>
      <c r="T381" s="461"/>
      <c r="U381" s="461"/>
      <c r="V381" s="461"/>
      <c r="W381" s="461"/>
      <c r="X381" s="461"/>
      <c r="Y381" s="461"/>
      <c r="Z381" s="461"/>
      <c r="AA381" s="461"/>
      <c r="AB381" s="461"/>
      <c r="AC381" s="461"/>
      <c r="AD381" s="461"/>
      <c r="AE381" s="461"/>
      <c r="AF381" s="461"/>
      <c r="AG381" s="461"/>
    </row>
    <row r="382" spans="1:33" ht="15.75">
      <c r="C382"/>
      <c r="D382"/>
      <c r="E382"/>
      <c r="F382"/>
      <c r="G382"/>
      <c r="H382"/>
      <c r="I382" s="834" t="e">
        <f>GETPIVOTDATA(" Cases of Acute watery diarrhea",$C$381,"Township","Myebon")/GETPIVOTDATA(" Total consultations",$C$381,"Township","Myebon")</f>
        <v>#REF!</v>
      </c>
      <c r="J382" s="114"/>
      <c r="K382" s="114"/>
    </row>
    <row r="383" spans="1:33" ht="15.75">
      <c r="C383"/>
      <c r="D383"/>
      <c r="E383"/>
      <c r="F383"/>
      <c r="G383"/>
      <c r="H383"/>
      <c r="I383" s="834" t="e">
        <f>GETPIVOTDATA(" Cases of Acute watery diarrhea",$C$381,"Township","Pauktaw")/GETPIVOTDATA(" Total consultations",$C$381,"Township","Pauktaw")</f>
        <v>#REF!</v>
      </c>
      <c r="J383" s="114"/>
      <c r="K383" s="114"/>
    </row>
    <row r="384" spans="1:33" ht="15.75">
      <c r="C384"/>
      <c r="D384"/>
      <c r="E384"/>
      <c r="F384"/>
      <c r="G384"/>
      <c r="H384"/>
      <c r="I384" s="834" t="e">
        <f>GETPIVOTDATA(" Cases of Acute watery diarrhea",$C$381,"Township","Sittwe")/GETPIVOTDATA(" Total consultations",$C$381,"Township","Sittwe")</f>
        <v>#REF!</v>
      </c>
      <c r="J384" s="114"/>
      <c r="K384" s="114"/>
    </row>
    <row r="385" spans="3:11" ht="15.75">
      <c r="C385"/>
      <c r="D385"/>
      <c r="E385"/>
      <c r="F385"/>
      <c r="G385"/>
      <c r="H385"/>
      <c r="I385" s="114"/>
      <c r="J385" s="114"/>
      <c r="K385" s="114"/>
    </row>
    <row r="386" spans="3:11" ht="15.75">
      <c r="C386"/>
      <c r="D386"/>
      <c r="E386"/>
      <c r="F386"/>
      <c r="G386"/>
      <c r="H386"/>
      <c r="I386" s="114"/>
      <c r="J386" s="114"/>
      <c r="K386" s="114"/>
    </row>
    <row r="387" spans="3:11">
      <c r="C387" s="114"/>
      <c r="D387" s="114"/>
      <c r="E387" s="114"/>
      <c r="F387" s="114"/>
      <c r="G387" s="114"/>
      <c r="H387" s="114"/>
      <c r="I387" s="114"/>
      <c r="J387" s="114"/>
      <c r="K387" s="114"/>
    </row>
    <row r="388" spans="3:11">
      <c r="C388" s="114"/>
      <c r="D388" s="114"/>
      <c r="E388" s="114"/>
      <c r="F388" s="114"/>
      <c r="G388" s="861"/>
      <c r="H388" s="114"/>
      <c r="I388" s="114"/>
      <c r="J388" s="114"/>
      <c r="K388" s="114"/>
    </row>
    <row r="389" spans="3:11" ht="15.75">
      <c r="C389" s="530" t="s">
        <v>3174</v>
      </c>
      <c r="D389" s="114"/>
      <c r="E389" s="114"/>
      <c r="F389" s="114"/>
      <c r="G389" s="114"/>
      <c r="H389" s="114"/>
      <c r="I389" s="114"/>
      <c r="J389" s="114"/>
      <c r="K389" s="114"/>
    </row>
    <row r="390" spans="3:11" ht="15.75">
      <c r="C390" s="530" t="s">
        <v>3175</v>
      </c>
      <c r="D390" s="114"/>
      <c r="E390" s="114"/>
      <c r="F390" s="114"/>
      <c r="G390" s="114"/>
      <c r="H390" s="114"/>
      <c r="I390" s="114"/>
      <c r="J390" s="114"/>
      <c r="K390" s="114"/>
    </row>
    <row r="391" spans="3:11" ht="15.75">
      <c r="C391" s="530" t="s">
        <v>3176</v>
      </c>
      <c r="D391" s="114"/>
      <c r="E391" s="114"/>
      <c r="F391" s="114"/>
      <c r="G391" s="114"/>
      <c r="H391" s="114"/>
      <c r="I391" s="114"/>
      <c r="J391" s="114"/>
      <c r="K391" s="114"/>
    </row>
    <row r="392" spans="3:11">
      <c r="C392" s="114"/>
      <c r="D392" s="114"/>
      <c r="E392" s="114"/>
      <c r="F392" s="114"/>
      <c r="G392" s="114"/>
      <c r="H392" s="114"/>
      <c r="I392" s="114"/>
      <c r="J392" s="114"/>
      <c r="K392" s="114"/>
    </row>
    <row r="393" spans="3:11">
      <c r="C393" s="114"/>
      <c r="D393" s="114"/>
      <c r="E393" s="114"/>
      <c r="F393" s="114"/>
      <c r="G393" s="114"/>
      <c r="H393" s="114"/>
      <c r="I393" s="114"/>
      <c r="J393" s="114"/>
      <c r="K393" s="114"/>
    </row>
    <row r="394" spans="3:11">
      <c r="C394" s="903" t="s">
        <v>20</v>
      </c>
      <c r="D394" s="904" t="s">
        <v>2389</v>
      </c>
      <c r="E394" s="114"/>
      <c r="F394" s="114"/>
      <c r="G394" s="114"/>
      <c r="H394" s="114"/>
      <c r="I394" s="114"/>
      <c r="J394" s="114"/>
      <c r="K394" s="114"/>
    </row>
    <row r="395" spans="3:11">
      <c r="C395" s="903" t="s">
        <v>35</v>
      </c>
      <c r="D395" s="904" t="s">
        <v>35</v>
      </c>
      <c r="E395" s="114"/>
      <c r="F395" s="114"/>
      <c r="G395" s="114"/>
      <c r="H395" s="114"/>
      <c r="I395" s="114"/>
      <c r="J395" s="114"/>
      <c r="K395" s="114"/>
    </row>
    <row r="396" spans="3:11">
      <c r="C396" s="903" t="s">
        <v>3167</v>
      </c>
      <c r="D396" s="904" t="s">
        <v>1885</v>
      </c>
      <c r="E396" s="114"/>
      <c r="F396" s="114"/>
      <c r="G396" s="114"/>
      <c r="H396" s="114"/>
      <c r="I396" s="114"/>
      <c r="J396" s="114"/>
      <c r="K396" s="114"/>
    </row>
    <row r="397" spans="3:11">
      <c r="C397" s="508"/>
      <c r="E397" s="114"/>
      <c r="F397" s="114"/>
      <c r="G397" s="114"/>
      <c r="H397" s="114"/>
      <c r="I397" s="114"/>
      <c r="J397" s="114"/>
      <c r="K397" s="114"/>
    </row>
    <row r="398" spans="3:11">
      <c r="C398" s="903" t="s">
        <v>22</v>
      </c>
      <c r="D398" s="904" t="s">
        <v>3177</v>
      </c>
      <c r="E398" s="907" t="s">
        <v>3171</v>
      </c>
      <c r="F398" s="907" t="s">
        <v>3172</v>
      </c>
      <c r="G398" s="904" t="s">
        <v>3173</v>
      </c>
      <c r="H398" s="904" t="s">
        <v>3179</v>
      </c>
      <c r="I398" s="764"/>
      <c r="J398" s="764"/>
      <c r="K398" s="764"/>
    </row>
    <row r="399" spans="3:11">
      <c r="C399" s="905" t="s">
        <v>361</v>
      </c>
      <c r="D399" s="907">
        <v>1</v>
      </c>
      <c r="E399" s="907"/>
      <c r="F399" s="907"/>
      <c r="G399" s="907" t="e">
        <v>#DIV/0!</v>
      </c>
      <c r="H399" s="907"/>
      <c r="I399" s="114"/>
      <c r="J399" s="114"/>
      <c r="K399" s="114"/>
    </row>
    <row r="400" spans="3:11">
      <c r="C400" s="905" t="s">
        <v>403</v>
      </c>
      <c r="D400" s="907">
        <v>1</v>
      </c>
      <c r="E400" s="907"/>
      <c r="F400" s="907"/>
      <c r="G400" s="920" t="e">
        <v>#DIV/0!</v>
      </c>
      <c r="H400" s="907"/>
      <c r="I400" s="114"/>
      <c r="J400" s="114"/>
      <c r="K400" s="114"/>
    </row>
    <row r="401" spans="3:11">
      <c r="C401" s="905" t="s">
        <v>406</v>
      </c>
      <c r="D401" s="907">
        <v>5</v>
      </c>
      <c r="E401" s="907"/>
      <c r="F401" s="907"/>
      <c r="G401" s="920" t="e">
        <v>#DIV/0!</v>
      </c>
      <c r="H401" s="907"/>
      <c r="I401" s="114"/>
      <c r="J401" s="114"/>
      <c r="K401" s="114"/>
    </row>
    <row r="402" spans="3:11">
      <c r="C402" s="905" t="s">
        <v>299</v>
      </c>
      <c r="D402" s="907">
        <v>17</v>
      </c>
      <c r="E402" s="907"/>
      <c r="F402" s="907"/>
      <c r="G402" s="920" t="e">
        <v>#DIV/0!</v>
      </c>
      <c r="H402" s="907"/>
      <c r="I402" s="114"/>
      <c r="J402" s="114"/>
      <c r="K402" s="114"/>
    </row>
    <row r="403" spans="3:11" ht="15.75">
      <c r="C403"/>
      <c r="D403"/>
      <c r="E403"/>
      <c r="F403"/>
      <c r="G403"/>
      <c r="H403"/>
      <c r="I403" s="114"/>
      <c r="J403" s="114"/>
      <c r="K403" s="114"/>
    </row>
    <row r="404" spans="3:11" ht="15.75" thickBot="1">
      <c r="C404" s="114"/>
      <c r="D404" s="114"/>
      <c r="E404" s="114"/>
      <c r="F404" s="114"/>
      <c r="G404" s="114"/>
      <c r="H404" s="114"/>
      <c r="I404" s="114"/>
      <c r="J404" s="114"/>
      <c r="K404" s="114"/>
    </row>
    <row r="405" spans="3:11" ht="15.75" thickBot="1">
      <c r="C405" s="851" t="s">
        <v>22</v>
      </c>
      <c r="D405" s="852" t="s">
        <v>3181</v>
      </c>
      <c r="E405" s="853" t="s">
        <v>3180</v>
      </c>
      <c r="F405" s="114"/>
      <c r="G405" s="114"/>
      <c r="H405" s="114"/>
      <c r="I405" s="114"/>
      <c r="J405" s="114"/>
      <c r="K405" s="114"/>
    </row>
    <row r="406" spans="3:11">
      <c r="C406" s="845" t="s">
        <v>361</v>
      </c>
      <c r="D406" s="843">
        <v>1</v>
      </c>
      <c r="E406" s="846"/>
      <c r="F406" s="114"/>
      <c r="G406" s="114"/>
      <c r="H406" s="114"/>
      <c r="I406" s="114"/>
      <c r="J406" s="114"/>
      <c r="K406" s="114"/>
    </row>
    <row r="407" spans="3:11">
      <c r="C407" s="845" t="s">
        <v>306</v>
      </c>
      <c r="D407" s="844">
        <v>1</v>
      </c>
      <c r="E407" s="847"/>
      <c r="F407" s="114"/>
      <c r="G407" s="114"/>
      <c r="H407" s="114"/>
      <c r="I407" s="114"/>
      <c r="J407" s="114"/>
      <c r="K407" s="114"/>
    </row>
    <row r="408" spans="3:11">
      <c r="C408" s="845" t="s">
        <v>403</v>
      </c>
      <c r="D408" s="843">
        <v>1</v>
      </c>
      <c r="E408" s="846">
        <v>1</v>
      </c>
      <c r="F408" s="114"/>
      <c r="G408" s="114"/>
      <c r="H408" s="114"/>
      <c r="I408" s="114"/>
      <c r="J408" s="114"/>
      <c r="K408" s="114"/>
    </row>
    <row r="409" spans="3:11">
      <c r="C409" s="845" t="s">
        <v>406</v>
      </c>
      <c r="D409" s="844">
        <v>5</v>
      </c>
      <c r="E409" s="847">
        <v>4</v>
      </c>
      <c r="F409" s="114"/>
      <c r="G409" s="114"/>
      <c r="H409" s="114"/>
      <c r="I409" s="114"/>
      <c r="J409" s="114"/>
      <c r="K409" s="114"/>
    </row>
    <row r="410" spans="3:11" ht="15.75" thickBot="1">
      <c r="C410" s="845" t="s">
        <v>299</v>
      </c>
      <c r="D410" s="843">
        <v>17</v>
      </c>
      <c r="E410" s="846">
        <v>13</v>
      </c>
      <c r="F410" s="114"/>
      <c r="G410" s="114"/>
      <c r="H410" s="114"/>
      <c r="I410" s="114"/>
      <c r="J410" s="114"/>
      <c r="K410" s="114"/>
    </row>
    <row r="411" spans="3:11" ht="15.75" thickBot="1">
      <c r="C411" s="848" t="s">
        <v>1897</v>
      </c>
      <c r="D411" s="849">
        <f>SUM(D406:D410)</f>
        <v>25</v>
      </c>
      <c r="E411" s="850">
        <f>SUM(E406:E410)</f>
        <v>18</v>
      </c>
      <c r="F411" s="114"/>
      <c r="G411" s="114"/>
      <c r="H411" s="114"/>
      <c r="I411" s="114"/>
      <c r="J411" s="114"/>
      <c r="K411" s="114"/>
    </row>
    <row r="412" spans="3:11">
      <c r="C412" s="114"/>
      <c r="D412" s="114"/>
      <c r="E412" s="114"/>
      <c r="F412" s="114"/>
      <c r="G412" s="114"/>
      <c r="H412" s="114"/>
      <c r="I412" s="114"/>
      <c r="J412" s="114"/>
      <c r="K412" s="114"/>
    </row>
    <row r="413" spans="3:11">
      <c r="C413" s="114"/>
      <c r="D413" s="114"/>
      <c r="E413" s="114"/>
      <c r="F413" s="114"/>
      <c r="G413" s="114"/>
      <c r="H413" s="114"/>
      <c r="I413" s="114"/>
      <c r="J413" s="114"/>
      <c r="K413" s="114"/>
    </row>
    <row r="414" spans="3:11">
      <c r="C414" s="114"/>
      <c r="D414" s="114"/>
      <c r="E414" s="114"/>
      <c r="F414" s="114"/>
      <c r="G414" s="114"/>
      <c r="H414" s="114"/>
      <c r="I414" s="114"/>
      <c r="J414" s="114"/>
      <c r="K414" s="114"/>
    </row>
  </sheetData>
  <mergeCells count="1">
    <mergeCell ref="S43:T43"/>
  </mergeCells>
  <conditionalFormatting sqref="G381">
    <cfRule type="iconSet" priority="4">
      <iconSet reverse="1">
        <cfvo type="percent" val="0"/>
        <cfvo type="percent" val="3"/>
        <cfvo type="percent" val="5"/>
      </iconSet>
    </cfRule>
  </conditionalFormatting>
  <conditionalFormatting sqref="G398">
    <cfRule type="iconSet" priority="3">
      <iconSet reverse="1">
        <cfvo type="percent" val="0"/>
        <cfvo type="percent" val="3"/>
        <cfvo type="percent" val="5"/>
      </iconSet>
    </cfRule>
  </conditionalFormatting>
  <conditionalFormatting pivot="1" sqref="D11:F15">
    <cfRule type="iconSet" priority="1">
      <iconSet reverse="1">
        <cfvo type="percent" val="0"/>
        <cfvo type="num" val="0" gte="0"/>
        <cfvo type="num" val="0.3"/>
      </iconSet>
    </cfRule>
  </conditionalFormatting>
  <pageMargins left="0.7" right="0.7" top="0.75" bottom="0.75" header="0.3" footer="0.3"/>
  <pageSetup orientation="portrait" r:id="rId31"/>
  <drawing r:id="rId32"/>
  <extLst>
    <ext xmlns:x14="http://schemas.microsoft.com/office/spreadsheetml/2009/9/main" uri="{A8765BA9-456A-4dab-B4F3-ACF838C121DE}">
      <x14:slicerList>
        <x14:slicer r:id="rId33"/>
      </x14:slicerList>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H97"/>
  <sheetViews>
    <sheetView showGridLines="0" zoomScale="80" zoomScaleNormal="80" workbookViewId="0">
      <selection activeCell="D84" sqref="D84"/>
    </sheetView>
  </sheetViews>
  <sheetFormatPr defaultColWidth="9" defaultRowHeight="15.75"/>
  <cols>
    <col min="1" max="1" width="9.625" style="58" customWidth="1"/>
    <col min="2" max="2" width="17.125" style="58" customWidth="1"/>
    <col min="3" max="3" width="41.125" style="58" customWidth="1"/>
    <col min="4" max="4" width="25.25" style="58" customWidth="1"/>
    <col min="5" max="5" width="21.375" style="58" bestFit="1" customWidth="1"/>
    <col min="6" max="6" width="27.875" style="58" customWidth="1"/>
    <col min="7" max="7" width="16.375" style="58" customWidth="1"/>
    <col min="8" max="8" width="13.125" style="58" customWidth="1"/>
    <col min="9" max="9" width="13.375" style="58" customWidth="1"/>
    <col min="10" max="12" width="9.625" style="58" customWidth="1"/>
    <col min="13" max="13" width="14.25" style="58" customWidth="1"/>
    <col min="14" max="15" width="17" style="58" customWidth="1"/>
    <col min="16" max="16" width="9.625" style="58" customWidth="1"/>
    <col min="17" max="17" width="13.25" style="58" customWidth="1"/>
    <col min="18" max="18" width="17.125" style="58" customWidth="1"/>
    <col min="19" max="19" width="19" style="58" customWidth="1"/>
    <col min="20" max="21" width="16.125" style="58" customWidth="1"/>
    <col min="22" max="22" width="21.625" style="58" customWidth="1"/>
    <col min="23" max="23" width="19.25" style="58" bestFit="1" customWidth="1"/>
    <col min="24" max="24" width="9.625" style="58" customWidth="1"/>
    <col min="25" max="25" width="30.125" style="58" bestFit="1" customWidth="1"/>
    <col min="26" max="26" width="10.75" style="58" bestFit="1" customWidth="1"/>
    <col min="27" max="37" width="9.25" style="58" customWidth="1"/>
    <col min="38" max="38" width="16.625" style="58" customWidth="1"/>
    <col min="39" max="39" width="16.875" style="58" customWidth="1"/>
    <col min="40" max="40" width="9.25" style="58" customWidth="1"/>
    <col min="41" max="41" width="24.5" style="58" customWidth="1"/>
    <col min="42" max="42" width="22.375" style="58" customWidth="1"/>
    <col min="43" max="43" width="19.25" style="58" bestFit="1" customWidth="1"/>
    <col min="44" max="44" width="9.25" style="58" customWidth="1"/>
    <col min="45" max="45" width="23" style="58" customWidth="1"/>
    <col min="46" max="46" width="9.25" style="58" customWidth="1"/>
    <col min="47" max="47" width="10.375" style="58" customWidth="1"/>
    <col min="48" max="16384" width="9" style="58"/>
  </cols>
  <sheetData>
    <row r="1" spans="2:35">
      <c r="B1"/>
      <c r="C1"/>
    </row>
    <row r="2" spans="2:35">
      <c r="B2" s="899" t="s">
        <v>20</v>
      </c>
      <c r="C2" s="900" t="s">
        <v>2389</v>
      </c>
      <c r="M2" s="899" t="s">
        <v>35</v>
      </c>
      <c r="N2" s="900" t="s">
        <v>35</v>
      </c>
      <c r="Q2"/>
      <c r="R2"/>
      <c r="S2" s="530"/>
      <c r="T2" s="530"/>
      <c r="U2" s="530"/>
      <c r="V2" s="530"/>
      <c r="W2" s="530"/>
    </row>
    <row r="3" spans="2:35" s="59" customFormat="1">
      <c r="B3" s="899" t="s">
        <v>35</v>
      </c>
      <c r="C3" s="900" t="s">
        <v>35</v>
      </c>
      <c r="D3" s="58"/>
      <c r="E3" s="58"/>
      <c r="F3" s="58"/>
      <c r="G3" s="58"/>
      <c r="H3" s="58"/>
      <c r="M3" s="899" t="s">
        <v>22</v>
      </c>
      <c r="N3" s="900" t="s">
        <v>2706</v>
      </c>
      <c r="O3" s="58"/>
      <c r="P3" s="58"/>
      <c r="Q3"/>
      <c r="S3" s="530"/>
      <c r="T3" s="530"/>
      <c r="U3" s="530"/>
      <c r="V3" s="530"/>
      <c r="W3" s="530"/>
      <c r="Y3" s="58"/>
      <c r="Z3" s="58"/>
      <c r="AA3" s="58"/>
      <c r="AB3" s="58"/>
      <c r="AC3" s="58"/>
    </row>
    <row r="4" spans="2:35">
      <c r="B4" s="899" t="s">
        <v>128</v>
      </c>
      <c r="C4" s="900" t="s">
        <v>44</v>
      </c>
      <c r="M4" s="899" t="s">
        <v>128</v>
      </c>
      <c r="N4" s="900" t="s">
        <v>44</v>
      </c>
      <c r="Q4"/>
    </row>
    <row r="5" spans="2:35">
      <c r="B5"/>
      <c r="C5"/>
      <c r="D5" s="456" t="s">
        <v>2703</v>
      </c>
      <c r="E5"/>
      <c r="F5"/>
      <c r="G5"/>
      <c r="H5"/>
      <c r="I5"/>
      <c r="J5" s="414"/>
      <c r="K5" s="414"/>
      <c r="M5"/>
      <c r="N5"/>
      <c r="O5"/>
      <c r="P5"/>
      <c r="Q5"/>
      <c r="S5" s="530"/>
      <c r="T5" s="530"/>
      <c r="U5" s="530"/>
      <c r="V5" s="530"/>
      <c r="W5" s="530"/>
    </row>
    <row r="6" spans="2:35" ht="94.5">
      <c r="B6" s="900"/>
      <c r="C6" s="929" t="s">
        <v>1649</v>
      </c>
      <c r="D6" s="930" t="s">
        <v>2545</v>
      </c>
      <c r="E6" s="931" t="s">
        <v>2546</v>
      </c>
      <c r="F6" s="932" t="s">
        <v>2547</v>
      </c>
      <c r="G6" s="934" t="s">
        <v>2709</v>
      </c>
      <c r="H6" s="934" t="s">
        <v>2712</v>
      </c>
      <c r="I6" s="935" t="s">
        <v>2708</v>
      </c>
      <c r="J6"/>
      <c r="M6" s="900"/>
      <c r="N6" s="914" t="s">
        <v>1649</v>
      </c>
      <c r="O6" s="928" t="s">
        <v>2545</v>
      </c>
      <c r="P6" s="900" t="s">
        <v>2546</v>
      </c>
      <c r="Q6" s="900" t="s">
        <v>2547</v>
      </c>
      <c r="R6" s="900" t="s">
        <v>3198</v>
      </c>
      <c r="S6" s="530"/>
      <c r="T6" s="530"/>
      <c r="U6" s="530"/>
      <c r="V6" s="530"/>
      <c r="W6" s="530"/>
      <c r="X6"/>
      <c r="AD6" s="454"/>
      <c r="AE6" s="454"/>
      <c r="AF6" s="454"/>
      <c r="AG6" s="454"/>
      <c r="AH6" s="454"/>
      <c r="AI6" s="454"/>
    </row>
    <row r="7" spans="2:35">
      <c r="B7" s="901" t="s">
        <v>2706</v>
      </c>
      <c r="C7" s="927">
        <v>119155</v>
      </c>
      <c r="D7" s="924">
        <v>119041</v>
      </c>
      <c r="E7" s="925">
        <v>98000</v>
      </c>
      <c r="F7" s="926">
        <v>111961</v>
      </c>
      <c r="G7" s="933">
        <v>111961</v>
      </c>
      <c r="H7" s="933">
        <v>71330</v>
      </c>
      <c r="I7" s="933">
        <v>23154</v>
      </c>
      <c r="J7"/>
      <c r="K7" s="61"/>
      <c r="M7" s="900" t="s">
        <v>2387</v>
      </c>
      <c r="N7" s="923">
        <v>119120</v>
      </c>
      <c r="O7" s="902">
        <v>114301.49333333335</v>
      </c>
      <c r="P7" s="902">
        <v>90648</v>
      </c>
      <c r="Q7" s="902">
        <v>118323</v>
      </c>
      <c r="R7" s="902">
        <v>118323</v>
      </c>
      <c r="S7" s="530"/>
      <c r="T7" s="530"/>
      <c r="U7" s="530"/>
      <c r="V7" s="530"/>
      <c r="W7" s="530"/>
      <c r="X7"/>
    </row>
    <row r="8" spans="2:35">
      <c r="B8" s="901" t="s">
        <v>1630</v>
      </c>
      <c r="C8" s="927">
        <v>119155</v>
      </c>
      <c r="D8" s="924">
        <v>119041</v>
      </c>
      <c r="E8" s="925">
        <v>98000</v>
      </c>
      <c r="F8" s="926">
        <v>111961</v>
      </c>
      <c r="G8" s="933">
        <v>111961</v>
      </c>
      <c r="H8" s="933">
        <v>71330</v>
      </c>
      <c r="I8" s="933">
        <v>23154</v>
      </c>
      <c r="J8"/>
      <c r="K8" s="61"/>
      <c r="M8" s="900" t="s">
        <v>2388</v>
      </c>
      <c r="N8" s="923">
        <v>119852</v>
      </c>
      <c r="O8" s="902">
        <v>119157</v>
      </c>
      <c r="P8" s="902">
        <v>96761</v>
      </c>
      <c r="Q8" s="902">
        <v>116466</v>
      </c>
      <c r="R8" s="902">
        <v>116176</v>
      </c>
      <c r="S8" s="530"/>
      <c r="T8" s="530"/>
      <c r="U8" s="530"/>
      <c r="V8" s="530"/>
      <c r="W8" s="530"/>
      <c r="X8"/>
      <c r="Y8"/>
      <c r="Z8"/>
      <c r="AA8"/>
      <c r="AB8"/>
      <c r="AC8"/>
    </row>
    <row r="9" spans="2:35">
      <c r="B9"/>
      <c r="C9"/>
      <c r="D9"/>
      <c r="E9"/>
      <c r="F9"/>
      <c r="G9"/>
      <c r="H9"/>
      <c r="I9"/>
      <c r="J9"/>
      <c r="K9" s="61"/>
      <c r="M9" s="900" t="s">
        <v>2389</v>
      </c>
      <c r="N9" s="923">
        <v>119155</v>
      </c>
      <c r="O9" s="902">
        <v>119041</v>
      </c>
      <c r="P9" s="902">
        <v>98000</v>
      </c>
      <c r="Q9" s="902">
        <v>111961</v>
      </c>
      <c r="R9" s="902">
        <v>111961</v>
      </c>
      <c r="S9" s="530"/>
      <c r="T9" s="530"/>
      <c r="U9" s="530"/>
      <c r="V9" s="530"/>
      <c r="W9" s="530"/>
      <c r="X9"/>
      <c r="Y9"/>
    </row>
    <row r="10" spans="2:35">
      <c r="B10"/>
      <c r="C10"/>
      <c r="D10"/>
      <c r="E10"/>
      <c r="F10"/>
      <c r="G10"/>
      <c r="H10"/>
      <c r="I10"/>
      <c r="J10"/>
      <c r="K10" s="61"/>
      <c r="M10" s="900" t="s">
        <v>1630</v>
      </c>
      <c r="N10" s="923">
        <v>358127</v>
      </c>
      <c r="O10" s="924">
        <v>352499.49333333335</v>
      </c>
      <c r="P10" s="902">
        <v>285409</v>
      </c>
      <c r="Q10" s="902">
        <v>346750</v>
      </c>
      <c r="R10" s="902">
        <v>346460</v>
      </c>
      <c r="S10" s="530"/>
      <c r="T10" s="530"/>
      <c r="U10" s="530"/>
      <c r="V10" s="530"/>
      <c r="W10" s="530"/>
      <c r="X10"/>
      <c r="Y10"/>
    </row>
    <row r="11" spans="2:35">
      <c r="D11" s="189"/>
      <c r="R11"/>
      <c r="S11" s="530"/>
      <c r="T11" s="530"/>
      <c r="U11" s="530"/>
      <c r="V11" s="530"/>
      <c r="W11" s="530"/>
    </row>
    <row r="12" spans="2:35">
      <c r="M12"/>
      <c r="N12"/>
      <c r="O12"/>
      <c r="P12"/>
      <c r="Q12"/>
      <c r="S12"/>
      <c r="T12"/>
      <c r="U12"/>
      <c r="V12"/>
      <c r="W12"/>
    </row>
    <row r="13" spans="2:35">
      <c r="C13" s="178"/>
      <c r="D13" s="457"/>
      <c r="E13" s="178"/>
      <c r="F13" s="178"/>
      <c r="M13"/>
      <c r="N13"/>
      <c r="O13"/>
      <c r="P13"/>
      <c r="R13"/>
      <c r="S13"/>
      <c r="T13"/>
      <c r="U13"/>
      <c r="W13"/>
      <c r="X13"/>
      <c r="Y13"/>
      <c r="Z13"/>
    </row>
    <row r="14" spans="2:35" ht="16.5" thickBot="1">
      <c r="C14" s="178"/>
      <c r="D14" s="458"/>
      <c r="E14" s="178"/>
      <c r="F14" s="178"/>
    </row>
    <row r="15" spans="2:35" ht="32.25" thickBot="1">
      <c r="G15" s="1001" t="s">
        <v>1634</v>
      </c>
      <c r="H15" s="1002"/>
      <c r="I15" s="1002"/>
      <c r="L15" s="739" t="s">
        <v>1916</v>
      </c>
      <c r="M15" s="740"/>
      <c r="N15" s="990" t="s">
        <v>1917</v>
      </c>
      <c r="O15" s="990"/>
      <c r="P15" s="991"/>
    </row>
    <row r="16" spans="2:35" ht="60" customHeight="1">
      <c r="C16" s="83" t="s">
        <v>1631</v>
      </c>
      <c r="D16" s="713" t="s">
        <v>1632</v>
      </c>
      <c r="E16" s="713" t="s">
        <v>1633</v>
      </c>
      <c r="F16" s="84" t="s">
        <v>1650</v>
      </c>
      <c r="G16" s="715" t="s">
        <v>1087</v>
      </c>
      <c r="H16" s="715" t="s">
        <v>879</v>
      </c>
      <c r="I16" s="715" t="s">
        <v>3105</v>
      </c>
      <c r="J16" s="85" t="s">
        <v>2011</v>
      </c>
      <c r="K16" s="85" t="s">
        <v>2012</v>
      </c>
      <c r="L16" s="741" t="s">
        <v>1635</v>
      </c>
      <c r="M16" s="742" t="s">
        <v>1636</v>
      </c>
      <c r="N16" s="742" t="s">
        <v>1637</v>
      </c>
      <c r="O16" s="742" t="s">
        <v>1638</v>
      </c>
      <c r="P16" s="743" t="s">
        <v>1639</v>
      </c>
      <c r="Q16" s="85" t="s">
        <v>1641</v>
      </c>
    </row>
    <row r="17" spans="2:17" ht="24" customHeight="1">
      <c r="C17" s="1003" t="s">
        <v>2375</v>
      </c>
      <c r="D17" s="718" t="s">
        <v>2706</v>
      </c>
      <c r="E17" s="724">
        <v>391005</v>
      </c>
      <c r="F17" s="724">
        <v>254472</v>
      </c>
      <c r="G17" s="697">
        <f>GETPIVOTDATA(" HRP1",$B$6,"State","Central Rakhine")</f>
        <v>119041</v>
      </c>
      <c r="H17" s="697">
        <v>70556</v>
      </c>
      <c r="I17" s="890">
        <f>SUM(G17:H17)</f>
        <v>189597</v>
      </c>
      <c r="J17" s="698">
        <f>I17/F17</f>
        <v>0.7450603602753938</v>
      </c>
      <c r="K17" s="698">
        <f t="shared" ref="K17:K25" si="0">1-J17</f>
        <v>0.2549396397246062</v>
      </c>
      <c r="L17" s="697">
        <f>I17*0.45</f>
        <v>85318.650000000009</v>
      </c>
      <c r="M17" s="697">
        <f>I17*0.55</f>
        <v>104278.35</v>
      </c>
      <c r="N17" s="697">
        <f>I17*0.35</f>
        <v>66358.95</v>
      </c>
      <c r="O17" s="697">
        <f>I17*0.4</f>
        <v>75838.8</v>
      </c>
      <c r="P17" s="697">
        <f>I17*0.25</f>
        <v>47399.25</v>
      </c>
      <c r="Q17" s="697">
        <f>F17-I17</f>
        <v>64875</v>
      </c>
    </row>
    <row r="18" spans="2:17" ht="24" customHeight="1">
      <c r="C18" s="1004"/>
      <c r="D18" s="716" t="s">
        <v>2705</v>
      </c>
      <c r="E18" s="724">
        <v>324000</v>
      </c>
      <c r="F18" s="724">
        <v>116064</v>
      </c>
      <c r="G18" s="697"/>
      <c r="H18" s="697">
        <v>27546</v>
      </c>
      <c r="I18" s="890">
        <f>SUM(G18:H18)</f>
        <v>27546</v>
      </c>
      <c r="J18" s="698">
        <f>I18/F18</f>
        <v>0.23733457402812241</v>
      </c>
      <c r="K18" s="698">
        <f t="shared" ref="K18:K20" si="1">1-J18</f>
        <v>0.76266542597187759</v>
      </c>
      <c r="L18" s="697">
        <f>I18*0.45</f>
        <v>12395.7</v>
      </c>
      <c r="M18" s="697">
        <f>I18*0.55</f>
        <v>15150.300000000001</v>
      </c>
      <c r="N18" s="697">
        <f>I18*0.35</f>
        <v>9641.0999999999985</v>
      </c>
      <c r="O18" s="697">
        <f>I18*0.4</f>
        <v>11018.400000000001</v>
      </c>
      <c r="P18" s="697">
        <f>I18*0.25</f>
        <v>6886.5</v>
      </c>
      <c r="Q18" s="697">
        <f t="shared" ref="Q18:Q34" si="2">F18-I18</f>
        <v>88518</v>
      </c>
    </row>
    <row r="19" spans="2:17" ht="24" customHeight="1">
      <c r="C19" s="1004"/>
      <c r="D19" s="892" t="s">
        <v>3214</v>
      </c>
      <c r="E19" s="724"/>
      <c r="F19" s="724">
        <v>63274</v>
      </c>
      <c r="G19" s="893"/>
      <c r="H19" s="893">
        <v>10863</v>
      </c>
      <c r="I19" s="890">
        <f>SUM(G19:H19)</f>
        <v>10863</v>
      </c>
      <c r="J19" s="698">
        <f>I19/F19</f>
        <v>0.17168189145620635</v>
      </c>
      <c r="K19" s="698">
        <f t="shared" ref="K19" si="3">1-J19</f>
        <v>0.82831810854379362</v>
      </c>
      <c r="L19" s="697">
        <f>I19*0.45</f>
        <v>4888.3500000000004</v>
      </c>
      <c r="M19" s="697">
        <f>I19*0.55</f>
        <v>5974.6500000000005</v>
      </c>
      <c r="N19" s="697">
        <f>I19*0.35</f>
        <v>3802.0499999999997</v>
      </c>
      <c r="O19" s="697">
        <f>I19*0.4</f>
        <v>4345.2</v>
      </c>
      <c r="P19" s="697">
        <f>I19*0.25</f>
        <v>2715.75</v>
      </c>
      <c r="Q19" s="697">
        <f t="shared" ref="Q19" si="4">F19-I19</f>
        <v>52411</v>
      </c>
    </row>
    <row r="20" spans="2:17" s="725" customFormat="1" ht="24" customHeight="1">
      <c r="C20" s="1005"/>
      <c r="D20" s="717" t="s">
        <v>1897</v>
      </c>
      <c r="E20" s="726">
        <f>SUM(E17:E18)</f>
        <v>715005</v>
      </c>
      <c r="F20" s="726">
        <f>SUM(F17:F18)</f>
        <v>370536</v>
      </c>
      <c r="G20" s="726">
        <f t="shared" ref="G20:I20" si="5">SUM(G17:G18)</f>
        <v>119041</v>
      </c>
      <c r="H20" s="726">
        <f t="shared" si="5"/>
        <v>98102</v>
      </c>
      <c r="I20" s="726">
        <f t="shared" si="5"/>
        <v>217143</v>
      </c>
      <c r="J20" s="747">
        <f>I20/F20</f>
        <v>0.58602403005375991</v>
      </c>
      <c r="K20" s="728">
        <f t="shared" si="1"/>
        <v>0.41397596994624009</v>
      </c>
      <c r="L20" s="726">
        <f>SUM(L17:L18)</f>
        <v>97714.35</v>
      </c>
      <c r="M20" s="726">
        <f>SUM(M17:M18)</f>
        <v>119428.65000000001</v>
      </c>
      <c r="N20" s="726">
        <f>I20*0.35</f>
        <v>76000.049999999988</v>
      </c>
      <c r="O20" s="726">
        <f>I20*0.4</f>
        <v>86857.200000000012</v>
      </c>
      <c r="P20" s="726">
        <f>I20*0.25</f>
        <v>54285.75</v>
      </c>
      <c r="Q20" s="727">
        <f t="shared" si="2"/>
        <v>153393</v>
      </c>
    </row>
    <row r="21" spans="2:17" ht="24" customHeight="1">
      <c r="C21" s="1012" t="s">
        <v>2377</v>
      </c>
      <c r="D21" s="719" t="s">
        <v>2706</v>
      </c>
      <c r="E21" s="699">
        <v>391005</v>
      </c>
      <c r="F21" s="699">
        <v>254472</v>
      </c>
      <c r="G21" s="700">
        <f>GETPIVOTDATA(" HRP2",$B$6,"State","Central Rakhine")</f>
        <v>98000</v>
      </c>
      <c r="H21" s="700">
        <v>20052</v>
      </c>
      <c r="I21" s="891">
        <f>SUM(G21:H21)</f>
        <v>118052</v>
      </c>
      <c r="J21" s="748">
        <f t="shared" ref="J21:J33" si="6">I21/F21</f>
        <v>0.46390958533748311</v>
      </c>
      <c r="K21" s="701">
        <f t="shared" si="0"/>
        <v>0.53609041466251695</v>
      </c>
      <c r="L21" s="700">
        <f t="shared" ref="L21:L34" si="7">I21*0.45</f>
        <v>53123.4</v>
      </c>
      <c r="M21" s="700">
        <f t="shared" ref="M21:M34" si="8">I21*0.55</f>
        <v>64928.600000000006</v>
      </c>
      <c r="N21" s="700">
        <f t="shared" ref="N21:N34" si="9">I21*0.35</f>
        <v>41318.199999999997</v>
      </c>
      <c r="O21" s="700">
        <f t="shared" ref="O21:O34" si="10">I21*0.4</f>
        <v>47220.800000000003</v>
      </c>
      <c r="P21" s="700">
        <f t="shared" ref="P21:P34" si="11">I21*0.25</f>
        <v>29513</v>
      </c>
      <c r="Q21" s="702">
        <f t="shared" si="2"/>
        <v>136420</v>
      </c>
    </row>
    <row r="22" spans="2:17" ht="24" customHeight="1">
      <c r="C22" s="1013"/>
      <c r="D22" s="720" t="s">
        <v>2705</v>
      </c>
      <c r="E22" s="699">
        <v>324000</v>
      </c>
      <c r="F22" s="699">
        <v>116064</v>
      </c>
      <c r="G22" s="700"/>
      <c r="H22" s="700">
        <v>9428</v>
      </c>
      <c r="I22" s="891">
        <f>SUM(G22:H22)</f>
        <v>9428</v>
      </c>
      <c r="J22" s="748">
        <f t="shared" si="6"/>
        <v>8.1231044940722363E-2</v>
      </c>
      <c r="K22" s="701">
        <f t="shared" ref="K22:K24" si="12">1-J22</f>
        <v>0.91876895505927769</v>
      </c>
      <c r="L22" s="700">
        <f t="shared" si="7"/>
        <v>4242.6000000000004</v>
      </c>
      <c r="M22" s="700">
        <f t="shared" si="8"/>
        <v>5185.4000000000005</v>
      </c>
      <c r="N22" s="700">
        <f t="shared" si="9"/>
        <v>3299.7999999999997</v>
      </c>
      <c r="O22" s="700">
        <f t="shared" si="10"/>
        <v>3771.2000000000003</v>
      </c>
      <c r="P22" s="700">
        <f t="shared" si="11"/>
        <v>2357</v>
      </c>
      <c r="Q22" s="702">
        <f t="shared" si="2"/>
        <v>106636</v>
      </c>
    </row>
    <row r="23" spans="2:17" ht="24" customHeight="1">
      <c r="C23" s="1013"/>
      <c r="D23" s="720" t="s">
        <v>3214</v>
      </c>
      <c r="E23" s="699"/>
      <c r="F23" s="699">
        <v>63274</v>
      </c>
      <c r="G23" s="894"/>
      <c r="H23" s="894">
        <v>16436</v>
      </c>
      <c r="I23" s="891">
        <f>SUM(G23:H23)</f>
        <v>16436</v>
      </c>
      <c r="J23" s="748">
        <f t="shared" ref="J23" si="13">I23/F23</f>
        <v>0.25975914277586371</v>
      </c>
      <c r="K23" s="701">
        <f t="shared" ref="K23" si="14">1-J23</f>
        <v>0.74024085722413635</v>
      </c>
      <c r="L23" s="700">
        <f t="shared" ref="L23" si="15">I23*0.45</f>
        <v>7396.2</v>
      </c>
      <c r="M23" s="700">
        <f t="shared" ref="M23" si="16">I23*0.55</f>
        <v>9039.8000000000011</v>
      </c>
      <c r="N23" s="700">
        <f t="shared" ref="N23" si="17">I23*0.35</f>
        <v>5752.5999999999995</v>
      </c>
      <c r="O23" s="700">
        <f t="shared" ref="O23" si="18">I23*0.4</f>
        <v>6574.4000000000005</v>
      </c>
      <c r="P23" s="700">
        <f t="shared" ref="P23" si="19">I23*0.25</f>
        <v>4109</v>
      </c>
      <c r="Q23" s="702">
        <f t="shared" ref="Q23" si="20">F23-I23</f>
        <v>46838</v>
      </c>
    </row>
    <row r="24" spans="2:17" s="725" customFormat="1" ht="24" customHeight="1">
      <c r="C24" s="1014"/>
      <c r="D24" s="721" t="s">
        <v>1897</v>
      </c>
      <c r="E24" s="729">
        <f>SUM(E21:E22)</f>
        <v>715005</v>
      </c>
      <c r="F24" s="729">
        <f t="shared" ref="F24:I24" si="21">SUM(F21:F22)</f>
        <v>370536</v>
      </c>
      <c r="G24" s="729">
        <f t="shared" si="21"/>
        <v>98000</v>
      </c>
      <c r="H24" s="729">
        <f t="shared" si="21"/>
        <v>29480</v>
      </c>
      <c r="I24" s="729">
        <f t="shared" si="21"/>
        <v>127480</v>
      </c>
      <c r="J24" s="749">
        <f t="shared" si="6"/>
        <v>0.34404214435304531</v>
      </c>
      <c r="K24" s="731">
        <f t="shared" si="12"/>
        <v>0.65595785564695475</v>
      </c>
      <c r="L24" s="729">
        <f t="shared" si="7"/>
        <v>57366</v>
      </c>
      <c r="M24" s="729">
        <f t="shared" si="8"/>
        <v>70114</v>
      </c>
      <c r="N24" s="729">
        <f t="shared" si="9"/>
        <v>44618</v>
      </c>
      <c r="O24" s="729">
        <f t="shared" si="10"/>
        <v>50992</v>
      </c>
      <c r="P24" s="729">
        <f t="shared" si="11"/>
        <v>31870</v>
      </c>
      <c r="Q24" s="730">
        <f t="shared" si="2"/>
        <v>243056</v>
      </c>
    </row>
    <row r="25" spans="2:17" ht="24" customHeight="1">
      <c r="B25" s="178"/>
      <c r="C25" s="1009" t="s">
        <v>2528</v>
      </c>
      <c r="D25" s="722" t="s">
        <v>2706</v>
      </c>
      <c r="E25" s="703">
        <v>391005</v>
      </c>
      <c r="F25" s="703">
        <v>254472</v>
      </c>
      <c r="G25" s="704">
        <f>GETPIVOTDATA(" HRP3",$M$6,"Reporting Period","2019_Q2")</f>
        <v>118323</v>
      </c>
      <c r="H25" s="704">
        <v>21257</v>
      </c>
      <c r="I25" s="704">
        <f t="shared" ref="I25:I33" si="22">SUM(G25:H25)</f>
        <v>139580</v>
      </c>
      <c r="J25" s="750">
        <f t="shared" si="6"/>
        <v>0.54850828381904493</v>
      </c>
      <c r="K25" s="705">
        <f t="shared" si="0"/>
        <v>0.45149171618095507</v>
      </c>
      <c r="L25" s="704">
        <f t="shared" si="7"/>
        <v>62811</v>
      </c>
      <c r="M25" s="704">
        <f t="shared" si="8"/>
        <v>76769</v>
      </c>
      <c r="N25" s="704">
        <f t="shared" si="9"/>
        <v>48853</v>
      </c>
      <c r="O25" s="704">
        <f t="shared" si="10"/>
        <v>55832</v>
      </c>
      <c r="P25" s="704">
        <f t="shared" si="11"/>
        <v>34895</v>
      </c>
      <c r="Q25" s="706">
        <f t="shared" si="2"/>
        <v>114892</v>
      </c>
    </row>
    <row r="26" spans="2:17" ht="24" customHeight="1">
      <c r="B26" s="178"/>
      <c r="C26" s="1010"/>
      <c r="D26" s="722" t="s">
        <v>2705</v>
      </c>
      <c r="E26" s="703">
        <v>324000</v>
      </c>
      <c r="F26" s="703">
        <v>116064</v>
      </c>
      <c r="G26" s="704"/>
      <c r="H26" s="704">
        <v>108378</v>
      </c>
      <c r="I26" s="704">
        <f t="shared" si="22"/>
        <v>108378</v>
      </c>
      <c r="J26" s="750">
        <f t="shared" si="6"/>
        <v>0.93377791563275436</v>
      </c>
      <c r="K26" s="705">
        <f t="shared" ref="K26:K28" si="23">1-J26</f>
        <v>6.6222084367245637E-2</v>
      </c>
      <c r="L26" s="704">
        <f t="shared" si="7"/>
        <v>48770.1</v>
      </c>
      <c r="M26" s="704">
        <f t="shared" si="8"/>
        <v>59607.9</v>
      </c>
      <c r="N26" s="704">
        <f t="shared" si="9"/>
        <v>37932.299999999996</v>
      </c>
      <c r="O26" s="704">
        <f t="shared" si="10"/>
        <v>43351.200000000004</v>
      </c>
      <c r="P26" s="704">
        <f t="shared" si="11"/>
        <v>27094.5</v>
      </c>
      <c r="Q26" s="706">
        <f t="shared" si="2"/>
        <v>7686</v>
      </c>
    </row>
    <row r="27" spans="2:17" ht="24" customHeight="1">
      <c r="B27" s="178"/>
      <c r="C27" s="1010"/>
      <c r="D27" s="722" t="s">
        <v>3214</v>
      </c>
      <c r="E27" s="703"/>
      <c r="F27" s="703">
        <v>63274</v>
      </c>
      <c r="G27" s="895"/>
      <c r="H27" s="895">
        <v>23364</v>
      </c>
      <c r="I27" s="704">
        <f t="shared" ref="I27" si="24">SUM(G27:H27)</f>
        <v>23364</v>
      </c>
      <c r="J27" s="750">
        <f t="shared" ref="J27" si="25">I27/F27</f>
        <v>0.36925119322312483</v>
      </c>
      <c r="K27" s="705">
        <f t="shared" ref="K27" si="26">1-J27</f>
        <v>0.63074880677687517</v>
      </c>
      <c r="L27" s="704">
        <f t="shared" ref="L27" si="27">I27*0.45</f>
        <v>10513.800000000001</v>
      </c>
      <c r="M27" s="704">
        <f t="shared" ref="M27" si="28">I27*0.55</f>
        <v>12850.2</v>
      </c>
      <c r="N27" s="704">
        <f t="shared" ref="N27" si="29">I27*0.35</f>
        <v>8177.4</v>
      </c>
      <c r="O27" s="704">
        <f t="shared" ref="O27" si="30">I27*0.4</f>
        <v>9345.6</v>
      </c>
      <c r="P27" s="704">
        <f t="shared" ref="P27" si="31">I27*0.25</f>
        <v>5841</v>
      </c>
      <c r="Q27" s="706">
        <f t="shared" ref="Q27" si="32">F27-I27</f>
        <v>39910</v>
      </c>
    </row>
    <row r="28" spans="2:17" s="725" customFormat="1" ht="54.75" customHeight="1">
      <c r="B28" s="829"/>
      <c r="C28" s="1011"/>
      <c r="D28" s="723" t="s">
        <v>1897</v>
      </c>
      <c r="E28" s="732">
        <v>715005</v>
      </c>
      <c r="F28" s="732">
        <f>SUM(F25:F26)</f>
        <v>370536</v>
      </c>
      <c r="G28" s="732">
        <f t="shared" ref="G28:I28" si="33">SUM(G25:G26)</f>
        <v>118323</v>
      </c>
      <c r="H28" s="732">
        <f t="shared" si="33"/>
        <v>129635</v>
      </c>
      <c r="I28" s="732">
        <f t="shared" si="33"/>
        <v>247958</v>
      </c>
      <c r="J28" s="751">
        <f t="shared" si="6"/>
        <v>0.66918733942181052</v>
      </c>
      <c r="K28" s="734">
        <f t="shared" si="23"/>
        <v>0.33081266057818948</v>
      </c>
      <c r="L28" s="732">
        <f t="shared" si="7"/>
        <v>111581.1</v>
      </c>
      <c r="M28" s="732">
        <f t="shared" si="8"/>
        <v>136376.90000000002</v>
      </c>
      <c r="N28" s="732">
        <f t="shared" si="9"/>
        <v>86785.299999999988</v>
      </c>
      <c r="O28" s="732">
        <f t="shared" si="10"/>
        <v>99183.200000000012</v>
      </c>
      <c r="P28" s="732">
        <f t="shared" si="11"/>
        <v>61989.5</v>
      </c>
      <c r="Q28" s="733">
        <f t="shared" si="2"/>
        <v>122578</v>
      </c>
    </row>
    <row r="29" spans="2:17" ht="24" customHeight="1">
      <c r="B29" s="1000"/>
      <c r="C29" s="1006" t="s">
        <v>2710</v>
      </c>
      <c r="D29" s="710" t="s">
        <v>2706</v>
      </c>
      <c r="E29" s="707">
        <v>391005</v>
      </c>
      <c r="F29" s="707">
        <v>254472</v>
      </c>
      <c r="G29" s="708">
        <f>GETPIVOTDATA("Sum of # People received regular supply of hygiene items_6",$M$6,"Reporting Period","2019_Q2")</f>
        <v>118323</v>
      </c>
      <c r="H29" s="860">
        <v>27615</v>
      </c>
      <c r="I29" s="708">
        <f t="shared" si="22"/>
        <v>145938</v>
      </c>
      <c r="J29" s="709">
        <f t="shared" si="6"/>
        <v>0.57349335093841369</v>
      </c>
      <c r="K29" s="709">
        <f t="shared" ref="K29" si="34">1-J29</f>
        <v>0.42650664906158631</v>
      </c>
      <c r="L29" s="708">
        <f t="shared" si="7"/>
        <v>65672.100000000006</v>
      </c>
      <c r="M29" s="708">
        <f t="shared" si="8"/>
        <v>80265.900000000009</v>
      </c>
      <c r="N29" s="708">
        <f t="shared" si="9"/>
        <v>51078.299999999996</v>
      </c>
      <c r="O29" s="708">
        <f t="shared" si="10"/>
        <v>58375.200000000004</v>
      </c>
      <c r="P29" s="708">
        <f t="shared" si="11"/>
        <v>36484.5</v>
      </c>
      <c r="Q29" s="708">
        <f t="shared" si="2"/>
        <v>108534</v>
      </c>
    </row>
    <row r="30" spans="2:17" ht="24" customHeight="1">
      <c r="B30" s="1000"/>
      <c r="C30" s="1007"/>
      <c r="D30" s="710" t="s">
        <v>2705</v>
      </c>
      <c r="E30" s="707">
        <v>324000</v>
      </c>
      <c r="F30" s="707">
        <v>116064</v>
      </c>
      <c r="G30" s="708"/>
      <c r="H30" s="860">
        <v>113878</v>
      </c>
      <c r="I30" s="708">
        <f t="shared" si="22"/>
        <v>113878</v>
      </c>
      <c r="J30" s="709">
        <f t="shared" si="6"/>
        <v>0.98116556382685416</v>
      </c>
      <c r="K30" s="709">
        <f t="shared" ref="K30:K31" si="35">1-J30</f>
        <v>1.8834436173145841E-2</v>
      </c>
      <c r="L30" s="708">
        <f t="shared" si="7"/>
        <v>51245.1</v>
      </c>
      <c r="M30" s="708">
        <f t="shared" si="8"/>
        <v>62632.9</v>
      </c>
      <c r="N30" s="708">
        <f t="shared" si="9"/>
        <v>39857.299999999996</v>
      </c>
      <c r="O30" s="708">
        <f t="shared" si="10"/>
        <v>45551.200000000004</v>
      </c>
      <c r="P30" s="708">
        <f t="shared" si="11"/>
        <v>28469.5</v>
      </c>
      <c r="Q30" s="708">
        <f t="shared" si="2"/>
        <v>2186</v>
      </c>
    </row>
    <row r="31" spans="2:17" ht="24" customHeight="1">
      <c r="B31" s="1000"/>
      <c r="C31" s="1008"/>
      <c r="D31" s="735" t="s">
        <v>1897</v>
      </c>
      <c r="E31" s="736">
        <f>SUM(E29:E30)</f>
        <v>715005</v>
      </c>
      <c r="F31" s="736">
        <f t="shared" ref="F31:I31" si="36">SUM(F29:F30)</f>
        <v>370536</v>
      </c>
      <c r="G31" s="736">
        <f t="shared" si="36"/>
        <v>118323</v>
      </c>
      <c r="H31" s="736">
        <f t="shared" si="36"/>
        <v>141493</v>
      </c>
      <c r="I31" s="736">
        <f t="shared" si="36"/>
        <v>259816</v>
      </c>
      <c r="J31" s="752">
        <f t="shared" si="6"/>
        <v>0.70118962799835916</v>
      </c>
      <c r="K31" s="738">
        <f t="shared" si="35"/>
        <v>0.29881037200164084</v>
      </c>
      <c r="L31" s="736">
        <f t="shared" si="7"/>
        <v>116917.2</v>
      </c>
      <c r="M31" s="736">
        <f t="shared" si="8"/>
        <v>142898.80000000002</v>
      </c>
      <c r="N31" s="736">
        <f t="shared" si="9"/>
        <v>90935.599999999991</v>
      </c>
      <c r="O31" s="736">
        <f t="shared" si="10"/>
        <v>103926.40000000001</v>
      </c>
      <c r="P31" s="736">
        <f t="shared" si="11"/>
        <v>64954</v>
      </c>
      <c r="Q31" s="737">
        <f t="shared" si="2"/>
        <v>110720</v>
      </c>
    </row>
    <row r="32" spans="2:17" ht="26.25" customHeight="1">
      <c r="B32" s="1000"/>
      <c r="C32" s="1006" t="s">
        <v>2711</v>
      </c>
      <c r="D32" s="710" t="s">
        <v>2706</v>
      </c>
      <c r="E32" s="707">
        <v>391005</v>
      </c>
      <c r="F32" s="707">
        <v>50226</v>
      </c>
      <c r="G32" s="708">
        <f>GETPIVOTDATA(" #_students at TLS_CFS",$B$6,"State","Central Rakhine")</f>
        <v>23154</v>
      </c>
      <c r="H32" s="708">
        <v>100521</v>
      </c>
      <c r="I32" s="708">
        <f t="shared" si="22"/>
        <v>123675</v>
      </c>
      <c r="J32" s="709">
        <f t="shared" si="6"/>
        <v>2.4623700872058296</v>
      </c>
      <c r="K32" s="709">
        <f t="shared" ref="K32" si="37">1-J32</f>
        <v>-1.4623700872058296</v>
      </c>
      <c r="L32" s="708">
        <f t="shared" si="7"/>
        <v>55653.75</v>
      </c>
      <c r="M32" s="708">
        <f t="shared" si="8"/>
        <v>68021.25</v>
      </c>
      <c r="N32" s="708">
        <f t="shared" si="9"/>
        <v>43286.25</v>
      </c>
      <c r="O32" s="708">
        <f t="shared" si="10"/>
        <v>49470</v>
      </c>
      <c r="P32" s="708">
        <f t="shared" si="11"/>
        <v>30918.75</v>
      </c>
      <c r="Q32" s="708">
        <f t="shared" si="2"/>
        <v>-73449</v>
      </c>
    </row>
    <row r="33" spans="2:18" ht="26.25" customHeight="1">
      <c r="C33" s="1007"/>
      <c r="D33" s="710" t="s">
        <v>2705</v>
      </c>
      <c r="E33" s="707">
        <v>324000</v>
      </c>
      <c r="F33" s="707">
        <v>11670</v>
      </c>
      <c r="G33" s="708"/>
      <c r="H33" s="708">
        <v>51637</v>
      </c>
      <c r="I33" s="708">
        <f t="shared" si="22"/>
        <v>51637</v>
      </c>
      <c r="J33" s="709">
        <f t="shared" si="6"/>
        <v>4.4247643530419882</v>
      </c>
      <c r="K33" s="709">
        <f t="shared" ref="K33:K34" si="38">1-J33</f>
        <v>-3.4247643530419882</v>
      </c>
      <c r="L33" s="708">
        <f t="shared" si="7"/>
        <v>23236.65</v>
      </c>
      <c r="M33" s="708">
        <f t="shared" si="8"/>
        <v>28400.350000000002</v>
      </c>
      <c r="N33" s="708">
        <f t="shared" si="9"/>
        <v>18072.949999999997</v>
      </c>
      <c r="O33" s="708">
        <f t="shared" si="10"/>
        <v>20654.800000000003</v>
      </c>
      <c r="P33" s="708">
        <f t="shared" si="11"/>
        <v>12909.25</v>
      </c>
      <c r="Q33" s="708">
        <f t="shared" si="2"/>
        <v>-39967</v>
      </c>
    </row>
    <row r="34" spans="2:18" s="725" customFormat="1" ht="26.25" customHeight="1" thickBot="1">
      <c r="C34" s="1015"/>
      <c r="D34" s="744" t="s">
        <v>1897</v>
      </c>
      <c r="E34" s="744">
        <f>SUM(E32:E33)</f>
        <v>715005</v>
      </c>
      <c r="F34" s="744">
        <f>SUM(F32:F33)</f>
        <v>61896</v>
      </c>
      <c r="G34" s="744">
        <f>SUM(G32:G33)</f>
        <v>23154</v>
      </c>
      <c r="H34" s="744">
        <f>SUM(H32:H33)</f>
        <v>152158</v>
      </c>
      <c r="I34" s="744">
        <f>SUM(I32:I33)</f>
        <v>175312</v>
      </c>
      <c r="J34" s="753">
        <f>I34/F34</f>
        <v>2.8323639653612513</v>
      </c>
      <c r="K34" s="745">
        <f t="shared" si="38"/>
        <v>-1.8323639653612513</v>
      </c>
      <c r="L34" s="744">
        <f t="shared" si="7"/>
        <v>78890.400000000009</v>
      </c>
      <c r="M34" s="744">
        <f t="shared" si="8"/>
        <v>96421.6</v>
      </c>
      <c r="N34" s="744">
        <f t="shared" si="9"/>
        <v>61359.199999999997</v>
      </c>
      <c r="O34" s="744">
        <f t="shared" si="10"/>
        <v>70124.800000000003</v>
      </c>
      <c r="P34" s="744">
        <f t="shared" si="11"/>
        <v>43828</v>
      </c>
      <c r="Q34" s="746">
        <f t="shared" si="2"/>
        <v>-113416</v>
      </c>
    </row>
    <row r="35" spans="2:18">
      <c r="G35" s="61"/>
    </row>
    <row r="36" spans="2:18">
      <c r="G36" s="61"/>
    </row>
    <row r="37" spans="2:18">
      <c r="G37" s="61"/>
    </row>
    <row r="39" spans="2:18">
      <c r="C39" s="80" t="s">
        <v>44</v>
      </c>
      <c r="D39" s="81"/>
      <c r="E39" s="81"/>
      <c r="F39" s="81"/>
      <c r="G39" s="81"/>
      <c r="H39" s="81"/>
      <c r="I39" s="81"/>
      <c r="J39" s="81"/>
      <c r="K39" s="81"/>
      <c r="L39" s="81"/>
      <c r="M39" s="81"/>
      <c r="N39" s="81"/>
      <c r="O39" s="81"/>
      <c r="P39" s="81"/>
      <c r="Q39" s="81"/>
      <c r="R39" s="82"/>
    </row>
    <row r="40" spans="2:18" s="178" customFormat="1"/>
    <row r="41" spans="2:18" ht="39" customHeight="1">
      <c r="C41" s="994" t="s">
        <v>2548</v>
      </c>
      <c r="D41" s="995"/>
      <c r="E41" s="995"/>
    </row>
    <row r="42" spans="2:18">
      <c r="C42" s="76" t="s">
        <v>1647</v>
      </c>
      <c r="D42" s="163" t="s">
        <v>1640</v>
      </c>
      <c r="E42" s="165" t="s">
        <v>1641</v>
      </c>
    </row>
    <row r="43" spans="2:18" ht="15.75" customHeight="1">
      <c r="B43" s="79" t="s">
        <v>2706</v>
      </c>
      <c r="C43" s="60">
        <v>254472</v>
      </c>
      <c r="D43" s="164">
        <f>G17</f>
        <v>119041</v>
      </c>
      <c r="E43" s="165">
        <f>C43-D43</f>
        <v>135431</v>
      </c>
      <c r="F43" s="68"/>
    </row>
    <row r="44" spans="2:18" ht="15.75" customHeight="1">
      <c r="E44" s="61"/>
      <c r="F44" s="68"/>
    </row>
    <row r="45" spans="2:18" ht="15.75" customHeight="1">
      <c r="E45" s="61"/>
      <c r="F45" s="68"/>
    </row>
    <row r="46" spans="2:18" ht="15.75" customHeight="1">
      <c r="E46" s="61"/>
      <c r="F46" s="68"/>
    </row>
    <row r="47" spans="2:18" ht="15.75" customHeight="1">
      <c r="E47" s="61"/>
      <c r="F47" s="68"/>
    </row>
    <row r="48" spans="2:18" ht="15.75" customHeight="1">
      <c r="E48" s="61"/>
      <c r="F48" s="68"/>
    </row>
    <row r="49" spans="2:6" ht="15.75" customHeight="1">
      <c r="E49" s="61"/>
      <c r="F49" s="68"/>
    </row>
    <row r="50" spans="2:6" ht="35.25" customHeight="1">
      <c r="C50" s="996" t="s">
        <v>2549</v>
      </c>
      <c r="D50" s="997"/>
      <c r="E50" s="997"/>
      <c r="F50" s="68"/>
    </row>
    <row r="51" spans="2:6">
      <c r="C51" s="77" t="s">
        <v>1647</v>
      </c>
      <c r="D51" s="167" t="s">
        <v>1640</v>
      </c>
      <c r="E51" s="77" t="s">
        <v>1641</v>
      </c>
      <c r="F51" s="68"/>
    </row>
    <row r="52" spans="2:6">
      <c r="B52" s="79" t="s">
        <v>2706</v>
      </c>
      <c r="C52" s="60">
        <v>254472</v>
      </c>
      <c r="D52" s="168">
        <f>G21</f>
        <v>98000</v>
      </c>
      <c r="E52" s="166">
        <f>C52-D52</f>
        <v>156472</v>
      </c>
      <c r="F52" s="68"/>
    </row>
    <row r="53" spans="2:6" ht="15.75" customHeight="1">
      <c r="E53" s="61"/>
      <c r="F53" s="68"/>
    </row>
    <row r="54" spans="2:6">
      <c r="E54" s="61"/>
      <c r="F54" s="68"/>
    </row>
    <row r="55" spans="2:6">
      <c r="E55" s="61"/>
      <c r="F55" s="68"/>
    </row>
    <row r="56" spans="2:6">
      <c r="E56" s="61"/>
      <c r="F56" s="68"/>
    </row>
    <row r="57" spans="2:6">
      <c r="E57" s="61"/>
      <c r="F57" s="68"/>
    </row>
    <row r="58" spans="2:6" ht="42.75" customHeight="1">
      <c r="C58" s="998" t="s">
        <v>2550</v>
      </c>
      <c r="D58" s="999"/>
      <c r="E58" s="999"/>
      <c r="F58" s="68"/>
    </row>
    <row r="59" spans="2:6">
      <c r="C59" s="78" t="s">
        <v>1647</v>
      </c>
      <c r="D59" s="169" t="s">
        <v>1640</v>
      </c>
      <c r="E59" s="78" t="s">
        <v>1641</v>
      </c>
      <c r="F59" s="68"/>
    </row>
    <row r="60" spans="2:6">
      <c r="B60" s="79" t="s">
        <v>2706</v>
      </c>
      <c r="C60" s="60">
        <v>254472</v>
      </c>
      <c r="D60" s="170">
        <f>G25</f>
        <v>118323</v>
      </c>
      <c r="E60" s="171">
        <f>C60-D60</f>
        <v>136149</v>
      </c>
      <c r="F60" s="68"/>
    </row>
    <row r="61" spans="2:6">
      <c r="E61" s="61"/>
      <c r="F61" s="68"/>
    </row>
    <row r="63" spans="2:6">
      <c r="D63" s="61"/>
    </row>
    <row r="64" spans="2:6">
      <c r="D64" s="61"/>
    </row>
    <row r="65" spans="1:60" hidden="1">
      <c r="B65" s="992" t="s">
        <v>1886</v>
      </c>
      <c r="C65" s="993"/>
      <c r="D65" s="993"/>
      <c r="E65" s="993"/>
      <c r="F65" s="993"/>
      <c r="G65" s="993"/>
      <c r="H65" s="993"/>
      <c r="J65" s="992" t="s">
        <v>1895</v>
      </c>
      <c r="K65" s="993"/>
      <c r="L65" s="993"/>
      <c r="M65" s="993"/>
      <c r="N65" s="993"/>
      <c r="O65" s="993"/>
      <c r="P65" s="993"/>
    </row>
    <row r="66" spans="1:60" ht="79.5" hidden="1" customHeight="1">
      <c r="B66" s="79" t="s">
        <v>22</v>
      </c>
      <c r="C66" s="76" t="s">
        <v>1642</v>
      </c>
      <c r="D66" s="76" t="s">
        <v>1643</v>
      </c>
      <c r="E66" s="77" t="s">
        <v>77</v>
      </c>
      <c r="F66" s="77" t="s">
        <v>1645</v>
      </c>
      <c r="G66" s="78" t="s">
        <v>78</v>
      </c>
      <c r="H66" s="78" t="s">
        <v>1644</v>
      </c>
      <c r="J66" s="79" t="s">
        <v>22</v>
      </c>
      <c r="K66" s="163" t="s">
        <v>1642</v>
      </c>
      <c r="L66" s="163" t="s">
        <v>1643</v>
      </c>
      <c r="M66" s="167" t="s">
        <v>77</v>
      </c>
      <c r="N66" s="167" t="s">
        <v>1645</v>
      </c>
      <c r="O66" s="169" t="s">
        <v>78</v>
      </c>
      <c r="P66" s="169" t="s">
        <v>1644</v>
      </c>
    </row>
    <row r="67" spans="1:60" hidden="1">
      <c r="B67" s="79" t="s">
        <v>38</v>
      </c>
      <c r="C67" s="172" t="e">
        <f>#REF!/#REF!</f>
        <v>#REF!</v>
      </c>
      <c r="D67" s="172" t="e">
        <f>#REF!/#REF!</f>
        <v>#REF!</v>
      </c>
      <c r="E67" s="173" t="e">
        <f>#REF!/#REF!</f>
        <v>#REF!</v>
      </c>
      <c r="F67" s="173" t="e">
        <f>#REF!/#REF!</f>
        <v>#REF!</v>
      </c>
      <c r="G67" s="174" t="e">
        <f>#REF!/#REF!</f>
        <v>#REF!</v>
      </c>
      <c r="H67" s="174" t="e">
        <f>#REF!/#REF!</f>
        <v>#REF!</v>
      </c>
      <c r="J67" s="79" t="s">
        <v>38</v>
      </c>
      <c r="K67" s="175" t="e">
        <f>#REF!/#REF!</f>
        <v>#REF!</v>
      </c>
      <c r="L67" s="175" t="e">
        <f>#REF!/#REF!</f>
        <v>#REF!</v>
      </c>
      <c r="M67" s="176" t="e">
        <f>#REF!/#REF!</f>
        <v>#REF!</v>
      </c>
      <c r="N67" s="176" t="e">
        <f>#REF!/#REF!</f>
        <v>#REF!</v>
      </c>
      <c r="O67" s="177" t="e">
        <f>#REF!/#REF!</f>
        <v>#REF!</v>
      </c>
      <c r="P67" s="177" t="e">
        <f>#REF!/#REF!</f>
        <v>#REF!</v>
      </c>
    </row>
    <row r="68" spans="1:60" hidden="1">
      <c r="B68" s="79" t="s">
        <v>298</v>
      </c>
      <c r="C68" s="172">
        <f>$E$43/$C$43</f>
        <v>0.53220393599295801</v>
      </c>
      <c r="D68" s="172" t="e">
        <f>#REF!/#REF!</f>
        <v>#REF!</v>
      </c>
      <c r="E68" s="173">
        <f>$E$52/$C$52</f>
        <v>0.61488886793045994</v>
      </c>
      <c r="F68" s="173" t="e">
        <f>#REF!/#REF!</f>
        <v>#REF!</v>
      </c>
      <c r="G68" s="174">
        <f>$E$60/$C$60</f>
        <v>0.53502546449118171</v>
      </c>
      <c r="H68" s="174" t="e">
        <f>#REF!/#REF!</f>
        <v>#REF!</v>
      </c>
      <c r="J68" s="79" t="s">
        <v>298</v>
      </c>
      <c r="K68" s="175">
        <f>D43/C43</f>
        <v>0.46779606400704205</v>
      </c>
      <c r="L68" s="175" t="e">
        <f>#REF!/#REF!</f>
        <v>#REF!</v>
      </c>
      <c r="M68" s="176">
        <f>D52/C52</f>
        <v>0.38511113206954006</v>
      </c>
      <c r="N68" s="176" t="e">
        <f>#REF!/#REF!</f>
        <v>#REF!</v>
      </c>
      <c r="O68" s="177">
        <f>D60/C60</f>
        <v>0.46497453550881823</v>
      </c>
      <c r="P68" s="177" t="e">
        <f>#REF!/#REF!</f>
        <v>#REF!</v>
      </c>
    </row>
    <row r="69" spans="1:60" ht="31.5" hidden="1">
      <c r="B69" s="79" t="s">
        <v>702</v>
      </c>
      <c r="C69" s="172" t="e">
        <f>#REF!/#REF!</f>
        <v>#REF!</v>
      </c>
      <c r="D69" s="172" t="e">
        <f>#REF!/#REF!</f>
        <v>#REF!</v>
      </c>
      <c r="E69" s="173" t="e">
        <f>#REF!/#REF!</f>
        <v>#REF!</v>
      </c>
      <c r="F69" s="173" t="e">
        <f>#REF!/#REF!</f>
        <v>#REF!</v>
      </c>
      <c r="G69" s="174" t="e">
        <f>#REF!/#REF!</f>
        <v>#REF!</v>
      </c>
      <c r="H69" s="174" t="e">
        <f>#REF!/#REF!</f>
        <v>#REF!</v>
      </c>
      <c r="J69" s="79" t="s">
        <v>702</v>
      </c>
      <c r="K69" s="175" t="e">
        <f>#REF!/#REF!</f>
        <v>#REF!</v>
      </c>
      <c r="L69" s="175" t="e">
        <f>#REF!/#REF!</f>
        <v>#REF!</v>
      </c>
      <c r="M69" s="176" t="e">
        <f>#REF!/#REF!</f>
        <v>#REF!</v>
      </c>
      <c r="N69" s="176" t="e">
        <f>#REF!/#REF!</f>
        <v>#REF!</v>
      </c>
      <c r="O69" s="177" t="e">
        <f>#REF!/#REF!</f>
        <v>#REF!</v>
      </c>
      <c r="P69" s="177" t="e">
        <f>#REF!/#REF!</f>
        <v>#REF!</v>
      </c>
    </row>
    <row r="72" spans="1:60">
      <c r="V72"/>
      <c r="W72"/>
    </row>
    <row r="73" spans="1:60">
      <c r="C73"/>
      <c r="D73"/>
      <c r="V73"/>
      <c r="W73"/>
      <c r="AP73"/>
      <c r="AQ73"/>
    </row>
    <row r="74" spans="1:60">
      <c r="C74"/>
      <c r="D74"/>
    </row>
    <row r="75" spans="1:60" ht="23.25">
      <c r="A75" s="392" t="s">
        <v>298</v>
      </c>
      <c r="B75" s="390"/>
      <c r="C75" s="390"/>
      <c r="D75" s="390"/>
      <c r="E75" s="390"/>
      <c r="F75" s="390"/>
      <c r="G75" s="390"/>
      <c r="H75" s="390"/>
      <c r="I75" s="390"/>
      <c r="J75" s="390"/>
      <c r="K75" s="390"/>
      <c r="L75" s="390"/>
      <c r="M75" s="390"/>
      <c r="N75" s="390"/>
      <c r="O75" s="390"/>
      <c r="P75" s="390"/>
      <c r="Q75" s="390"/>
      <c r="R75" s="390"/>
      <c r="S75" s="390"/>
      <c r="T75" s="390"/>
      <c r="U75" s="390"/>
      <c r="V75" s="391"/>
      <c r="W75" s="391"/>
      <c r="X75" s="390"/>
      <c r="Y75" s="390"/>
      <c r="Z75" s="390"/>
      <c r="AA75" s="390"/>
      <c r="AB75" s="390"/>
      <c r="AC75" s="390"/>
      <c r="AD75" s="390"/>
      <c r="AE75" s="390"/>
      <c r="AF75" s="390"/>
      <c r="AG75" s="390"/>
      <c r="AH75" s="390"/>
      <c r="AI75" s="390"/>
      <c r="AJ75" s="390"/>
      <c r="AK75" s="390"/>
      <c r="AL75" s="390"/>
      <c r="AM75" s="390"/>
      <c r="AN75" s="390"/>
      <c r="AO75" s="390"/>
      <c r="AP75" s="390"/>
      <c r="AQ75" s="390"/>
      <c r="AR75" s="390"/>
      <c r="AS75" s="390"/>
      <c r="AT75" s="390"/>
      <c r="AU75" s="390"/>
      <c r="AV75" s="390"/>
      <c r="AW75" s="390"/>
      <c r="AX75" s="390"/>
      <c r="AY75" s="390"/>
      <c r="AZ75" s="390"/>
      <c r="BA75" s="390"/>
      <c r="BB75" s="390"/>
      <c r="BC75" s="390"/>
      <c r="BD75" s="390"/>
      <c r="BE75" s="390"/>
      <c r="BF75" s="390"/>
      <c r="BG75" s="390"/>
      <c r="BH75" s="390"/>
    </row>
    <row r="77" spans="1:60">
      <c r="C77" s="900"/>
      <c r="D77" s="900"/>
    </row>
    <row r="78" spans="1:60">
      <c r="C78" s="900"/>
      <c r="D78" s="900"/>
    </row>
    <row r="79" spans="1:60">
      <c r="C79" s="900"/>
      <c r="D79" s="900"/>
    </row>
    <row r="80" spans="1:60">
      <c r="C80" s="900"/>
      <c r="D80" s="900"/>
      <c r="F80" s="179" t="s">
        <v>298</v>
      </c>
      <c r="G80" s="179" t="s">
        <v>2704</v>
      </c>
    </row>
    <row r="81" spans="3:60">
      <c r="C81" s="530"/>
      <c r="D81"/>
      <c r="F81" s="88" t="s">
        <v>1631</v>
      </c>
      <c r="G81" s="89" t="s">
        <v>1931</v>
      </c>
      <c r="H81" s="91" t="s">
        <v>1640</v>
      </c>
      <c r="I81" s="91" t="s">
        <v>1641</v>
      </c>
      <c r="AL81" s="530"/>
      <c r="AM81" s="530"/>
      <c r="AT81" s="454"/>
      <c r="AU81" s="454"/>
      <c r="AV81" s="454"/>
      <c r="AW81" s="454"/>
      <c r="AX81" s="454"/>
      <c r="AY81" s="454"/>
      <c r="AZ81" s="454"/>
      <c r="BA81" s="454"/>
      <c r="BB81" s="454"/>
      <c r="BC81" s="454"/>
      <c r="BD81" s="454"/>
      <c r="BE81" s="454"/>
      <c r="BF81" s="454"/>
      <c r="BG81" s="454"/>
      <c r="BH81" s="454"/>
    </row>
    <row r="82" spans="3:60" ht="110.25">
      <c r="C82"/>
      <c r="D82"/>
      <c r="F82" s="87" t="s">
        <v>2551</v>
      </c>
      <c r="G82" s="94">
        <v>111059</v>
      </c>
      <c r="H82" s="94">
        <f>G25+G26</f>
        <v>118323</v>
      </c>
      <c r="I82" s="94">
        <f>G82-H82</f>
        <v>-7264</v>
      </c>
      <c r="AL82"/>
      <c r="AM82"/>
      <c r="AT82" s="454"/>
      <c r="AU82" s="454"/>
      <c r="AV82" s="454"/>
      <c r="AW82" s="454"/>
      <c r="AX82" s="454"/>
      <c r="AY82" s="454"/>
      <c r="AZ82" s="454"/>
      <c r="BA82" s="454"/>
      <c r="BB82" s="454"/>
      <c r="BC82" s="454"/>
      <c r="BD82" s="454"/>
      <c r="BE82" s="454"/>
      <c r="BF82" s="454"/>
      <c r="BG82" s="454"/>
      <c r="BH82" s="454"/>
    </row>
    <row r="83" spans="3:60" ht="63">
      <c r="C83"/>
      <c r="D83"/>
      <c r="F83" s="86" t="s">
        <v>2552</v>
      </c>
      <c r="G83" s="93">
        <v>111059</v>
      </c>
      <c r="H83" s="93">
        <f>G21+G22</f>
        <v>98000</v>
      </c>
      <c r="I83" s="93">
        <f>G83-H83</f>
        <v>13059</v>
      </c>
      <c r="AL83"/>
      <c r="AM83"/>
    </row>
    <row r="84" spans="3:60" ht="63">
      <c r="C84"/>
      <c r="D84"/>
      <c r="F84" s="90" t="s">
        <v>2553</v>
      </c>
      <c r="G84" s="92">
        <v>111059</v>
      </c>
      <c r="H84" s="92">
        <f>G17+G18</f>
        <v>119041</v>
      </c>
      <c r="I84" s="92">
        <f>G84-H84</f>
        <v>-7982</v>
      </c>
      <c r="AL84"/>
      <c r="AM84"/>
    </row>
    <row r="85" spans="3:60">
      <c r="H85" s="61">
        <f>SUM(H82:H84)</f>
        <v>335364</v>
      </c>
      <c r="X85" s="61">
        <f>SUM(X82:X84)</f>
        <v>0</v>
      </c>
      <c r="AP85" s="61"/>
    </row>
    <row r="87" spans="3:60">
      <c r="C87"/>
      <c r="D87"/>
      <c r="V87"/>
      <c r="W87"/>
    </row>
    <row r="94" spans="3:60">
      <c r="C94"/>
      <c r="D94"/>
    </row>
    <row r="95" spans="3:60">
      <c r="C95"/>
      <c r="D95"/>
    </row>
    <row r="96" spans="3:60">
      <c r="C96"/>
      <c r="D96"/>
    </row>
    <row r="97" spans="3:4">
      <c r="C97"/>
      <c r="D97"/>
    </row>
  </sheetData>
  <mergeCells count="13">
    <mergeCell ref="N15:P15"/>
    <mergeCell ref="B65:H65"/>
    <mergeCell ref="J65:P65"/>
    <mergeCell ref="C41:E41"/>
    <mergeCell ref="C50:E50"/>
    <mergeCell ref="C58:E58"/>
    <mergeCell ref="B29:B32"/>
    <mergeCell ref="G15:I15"/>
    <mergeCell ref="C17:C20"/>
    <mergeCell ref="C29:C31"/>
    <mergeCell ref="C25:C28"/>
    <mergeCell ref="C21:C24"/>
    <mergeCell ref="C32:C34"/>
  </mergeCells>
  <pageMargins left="0.7" right="0.7" top="0.75" bottom="0.75" header="0.3" footer="0.3"/>
  <pageSetup orientation="portrait" r:id="rId3"/>
  <drawing r:id="rId4"/>
  <legacyDrawing r:id="rId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11</vt:i4>
      </vt:variant>
    </vt:vector>
  </HeadingPairs>
  <TitlesOfParts>
    <vt:vector size="27" baseType="lpstr">
      <vt:lpstr>Guide</vt:lpstr>
      <vt:lpstr>Sheet2</vt:lpstr>
      <vt:lpstr>DATABASE</vt:lpstr>
      <vt:lpstr>Site_DB</vt:lpstr>
      <vt:lpstr>HRP Calculations</vt:lpstr>
      <vt:lpstr>Indicator Summary  Eng</vt:lpstr>
      <vt:lpstr>Indicator Summary  MM</vt:lpstr>
      <vt:lpstr>Analysis</vt:lpstr>
      <vt:lpstr>HRP</vt:lpstr>
      <vt:lpstr>Sheet1</vt:lpstr>
      <vt:lpstr>Quarterly Dashboard</vt:lpstr>
      <vt:lpstr>Rakhine</vt:lpstr>
      <vt:lpstr>AAP-community Feedback</vt:lpstr>
      <vt:lpstr>By Camps</vt:lpstr>
      <vt:lpstr>Tracking Dashboard</vt:lpstr>
      <vt:lpstr>Lookup</vt:lpstr>
      <vt:lpstr>'HRP Calculations'!Print_Area</vt:lpstr>
      <vt:lpstr>'Indicator Summary  Eng'!Print_Area</vt:lpstr>
      <vt:lpstr>'Indicator Summary  MM'!Print_Area</vt:lpstr>
      <vt:lpstr>Rakhine!Print_Area</vt:lpstr>
      <vt:lpstr>'Indicator Summary  Eng'!Print_Titles</vt:lpstr>
      <vt:lpstr>'Indicator Summary  MM'!Print_Titles</vt:lpstr>
      <vt:lpstr>State_list</vt:lpstr>
      <vt:lpstr>Statestart_1</vt:lpstr>
      <vt:lpstr>Township_list</vt:lpstr>
      <vt:lpstr>Township_start</vt:lpstr>
      <vt:lpstr>TSps</vt:lpstr>
    </vt:vector>
  </TitlesOfParts>
  <Manager/>
  <Company>UNICEF</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James Robertson</dc:creator>
  <cp:keywords/>
  <dc:description/>
  <cp:lastModifiedBy>Administrator</cp:lastModifiedBy>
  <cp:revision/>
  <cp:lastPrinted>2020-01-29T04:40:29Z</cp:lastPrinted>
  <dcterms:created xsi:type="dcterms:W3CDTF">2016-05-30T15:30:45Z</dcterms:created>
  <dcterms:modified xsi:type="dcterms:W3CDTF">2020-01-30T03:01:57Z</dcterms:modified>
  <cp:category/>
  <cp:contentStatus/>
</cp:coreProperties>
</file>