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tables/table3.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xml" ContentType="application/vnd.openxmlformats-officedocument.themeOverrid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35.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xml" ContentType="application/vnd.openxmlformats-officedocument.drawingml.chartshapes+xml"/>
  <Override PartName="/xl/pivotTables/pivotTable36.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37.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2/2022_Q4/"/>
    </mc:Choice>
  </mc:AlternateContent>
  <xr:revisionPtr revIDLastSave="321" documentId="13_ncr:1_{B06FADF4-C04E-40E6-A267-27515DF2A80E}" xr6:coauthVersionLast="47" xr6:coauthVersionMax="47" xr10:uidLastSave="{F49B3909-AF2A-48DE-8526-605F961BF17C}"/>
  <bookViews>
    <workbookView xWindow="-110" yWindow="-110" windowWidth="19420" windowHeight="10420" tabRatio="732" activeTab="2" xr2:uid="{00000000-000D-0000-FFFF-FFFF00000000}"/>
  </bookViews>
  <sheets>
    <sheet name="Guide" sheetId="81" r:id="rId1"/>
    <sheet name="partner" sheetId="131" r:id="rId2"/>
    <sheet name="Sheet1" sheetId="132" r:id="rId3"/>
    <sheet name="DATABASE" sheetId="25" r:id="rId4"/>
    <sheet name="Site_DB" sheetId="91" state="hidden" r:id="rId5"/>
    <sheet name="HRP Calculations" sheetId="125" r:id="rId6"/>
    <sheet name="Indicator Summary  Eng" sheetId="129" r:id="rId7"/>
    <sheet name="Indicator Summary  MM" sheetId="120" state="hidden" r:id="rId8"/>
    <sheet name="HRP" sheetId="89" r:id="rId9"/>
    <sheet name="HRP_ref" sheetId="128" state="hidden" r:id="rId10"/>
    <sheet name="Analysis" sheetId="92" r:id="rId11"/>
    <sheet name="Rakhine" sheetId="112" r:id="rId12"/>
    <sheet name="Quarterly Dashboard" sheetId="100" r:id="rId13"/>
    <sheet name="AAP-community Feedback" sheetId="123" state="hidden" r:id="rId14"/>
    <sheet name="By Camps" sheetId="102" r:id="rId15"/>
    <sheet name="Tracking Dashboard" sheetId="114" r:id="rId16"/>
    <sheet name="Lookup" sheetId="32" state="hidden" r:id="rId17"/>
  </sheets>
  <externalReferences>
    <externalReference r:id="rId18"/>
    <externalReference r:id="rId19"/>
    <externalReference r:id="rId20"/>
    <externalReference r:id="rId21"/>
    <externalReference r:id="rId22"/>
  </externalReferences>
  <definedNames>
    <definedName name="_Fill" localSheetId="14" hidden="1">#REF!</definedName>
    <definedName name="_Fill" localSheetId="5" hidden="1">#REF!</definedName>
    <definedName name="_Fill" localSheetId="6" hidden="1">#REF!</definedName>
    <definedName name="_Fill" localSheetId="11" hidden="1">#REF!</definedName>
    <definedName name="_Fill" hidden="1">#REF!</definedName>
    <definedName name="_xlnm._FilterDatabase" localSheetId="3" hidden="1">DATABASE!#REF!</definedName>
    <definedName name="_xlnm._FilterDatabase" localSheetId="6" hidden="1">'Indicator Summary  Eng'!$B$2:$F$64</definedName>
    <definedName name="_xlnm._FilterDatabase" localSheetId="16" hidden="1">Lookup!$A$3:$AA$457</definedName>
    <definedName name="_Key1" localSheetId="14" hidden="1">[1]Data!#REF!</definedName>
    <definedName name="_Key1" localSheetId="5" hidden="1">[1]Data!#REF!</definedName>
    <definedName name="_Key1" localSheetId="6" hidden="1">[1]Data!#REF!</definedName>
    <definedName name="_Key1" localSheetId="11"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5" hidden="1">#REF!</definedName>
    <definedName name="a" localSheetId="6" hidden="1">#REF!</definedName>
    <definedName name="a" hidden="1">#REF!</definedName>
    <definedName name="b">[2]!SiteDB6[[#Headers],[Township]]</definedName>
    <definedName name="_xlnm.Print_Area" localSheetId="5">'HRP Calculations'!$A$1:$F$9</definedName>
    <definedName name="_xlnm.Print_Area" localSheetId="6">'Indicator Summary  Eng'!$A$1:$F$59</definedName>
    <definedName name="_xlnm.Print_Area" localSheetId="7">'Indicator Summary  MM'!$A$2:$F$70</definedName>
    <definedName name="_xlnm.Print_Area" localSheetId="11">Rakhine!$A$1:$T$113</definedName>
    <definedName name="_xlnm.Print_Titles" localSheetId="6">'Indicator Summary  Eng'!$1:$2</definedName>
    <definedName name="_xlnm.Print_Titles" localSheetId="7">'Indicator Summary  MM'!$1:$2</definedName>
    <definedName name="Sasha" localSheetId="5" hidden="1">{#N/A,#N/A,FALSE,"Truck Rent"}</definedName>
    <definedName name="Sasha" localSheetId="6"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6">[3]Lookup!$AB$4:$AB$83</definedName>
    <definedName name="State_list">Lookup!$AB$4:$AB$83</definedName>
    <definedName name="Statestart_1" localSheetId="6">[3]Lookup!$AB$3</definedName>
    <definedName name="Statestart_1">Lookup!$AB$3</definedName>
    <definedName name="Township_list" localSheetId="6">[3]!SiteDB6[Township]</definedName>
    <definedName name="Township_list">SiteDB6[Township]</definedName>
    <definedName name="Township_start" localSheetId="6">[3]!SiteDB6[[#Headers],[Township]]</definedName>
    <definedName name="Township_start">SiteDB6[[#Headers],[Township]]</definedName>
    <definedName name="TSps">Lookup!$AC$3:$AC$83</definedName>
    <definedName name="wrn.MUSA._.TRUCKS." localSheetId="5" hidden="1">{#N/A,#N/A,FALSE,"Truck Rent"}</definedName>
    <definedName name="wrn.MUSA._.TRUCKS." localSheetId="6" hidden="1">{#N/A,#N/A,FALSE,"Truck Rent"}</definedName>
    <definedName name="wrn.MUSA._.TRUCKS." hidden="1">{#N/A,#N/A,FALSE,"Truck Rent"}</definedName>
  </definedNames>
  <calcPr calcId="191029"/>
  <pivotCaches>
    <pivotCache cacheId="141" r:id="rId23"/>
    <pivotCache cacheId="157" r:id="rId24"/>
    <pivotCache cacheId="154" r:id="rId25"/>
    <pivotCache cacheId="155"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59" i="92" l="1"/>
  <c r="O18" i="89"/>
  <c r="BE73" i="25" l="1"/>
  <c r="CQ73" i="25" s="1"/>
  <c r="BE72" i="25"/>
  <c r="CQ72" i="25" s="1"/>
  <c r="AT73" i="25"/>
  <c r="AT72" i="25"/>
  <c r="CN72" i="25" s="1"/>
  <c r="AS73" i="25"/>
  <c r="AS72" i="25"/>
  <c r="AR73" i="25"/>
  <c r="AR72" i="25"/>
  <c r="AQ73" i="25"/>
  <c r="AQ72" i="25"/>
  <c r="CE72" i="25" s="1"/>
  <c r="AP73" i="25"/>
  <c r="AP72" i="25"/>
  <c r="K70" i="25"/>
  <c r="K71" i="25"/>
  <c r="CG71" i="25" s="1"/>
  <c r="K72" i="25"/>
  <c r="CG72" i="25" s="1"/>
  <c r="K73" i="25"/>
  <c r="CG73" i="25" s="1"/>
  <c r="K74" i="25"/>
  <c r="K75" i="25"/>
  <c r="CG75" i="25" s="1"/>
  <c r="K76" i="25"/>
  <c r="K77" i="25"/>
  <c r="K78" i="25"/>
  <c r="K79" i="25"/>
  <c r="K80" i="25"/>
  <c r="K81" i="25"/>
  <c r="K82" i="25"/>
  <c r="K83" i="25"/>
  <c r="K84" i="25"/>
  <c r="K85" i="25"/>
  <c r="K86" i="25"/>
  <c r="K87" i="25"/>
  <c r="K88" i="25"/>
  <c r="K89" i="25"/>
  <c r="CG89" i="25" s="1"/>
  <c r="K90" i="25"/>
  <c r="BL70" i="25"/>
  <c r="BL71" i="25"/>
  <c r="BL72" i="25"/>
  <c r="BL73" i="25"/>
  <c r="BL74" i="25"/>
  <c r="BL75" i="25"/>
  <c r="BL76" i="25"/>
  <c r="BL77" i="25"/>
  <c r="BL78" i="25"/>
  <c r="BL79" i="25"/>
  <c r="BL80" i="25"/>
  <c r="BL81" i="25"/>
  <c r="BL82" i="25"/>
  <c r="BL83" i="25"/>
  <c r="BL84" i="25"/>
  <c r="BL85" i="25"/>
  <c r="BL86" i="25"/>
  <c r="BL87" i="25"/>
  <c r="BL88" i="25"/>
  <c r="BL89" i="25"/>
  <c r="BL90" i="25"/>
  <c r="BM70" i="25"/>
  <c r="BM71" i="25"/>
  <c r="BM72" i="25"/>
  <c r="BM73" i="25"/>
  <c r="BM74" i="25"/>
  <c r="BM75" i="25"/>
  <c r="BM76" i="25"/>
  <c r="BM77" i="25"/>
  <c r="BM78" i="25"/>
  <c r="BM79" i="25"/>
  <c r="BM80" i="25"/>
  <c r="BM81" i="25"/>
  <c r="BM82" i="25"/>
  <c r="BM83" i="25"/>
  <c r="BM84" i="25"/>
  <c r="BM85" i="25"/>
  <c r="BM86" i="25"/>
  <c r="BM87" i="25"/>
  <c r="BM88" i="25"/>
  <c r="BM89" i="25"/>
  <c r="BM90" i="25"/>
  <c r="BO70" i="25"/>
  <c r="BP70" i="25" s="1"/>
  <c r="BQ70" i="25" s="1"/>
  <c r="BO71" i="25"/>
  <c r="BP71" i="25" s="1"/>
  <c r="BQ71" i="25" s="1"/>
  <c r="BO72" i="25"/>
  <c r="BR72" i="25" s="1"/>
  <c r="BS72" i="25" s="1"/>
  <c r="BO73" i="25"/>
  <c r="BP73" i="25" s="1"/>
  <c r="BQ73" i="25" s="1"/>
  <c r="BO74" i="25"/>
  <c r="BR74" i="25" s="1"/>
  <c r="BS74" i="25" s="1"/>
  <c r="BO75" i="25"/>
  <c r="BP75" i="25" s="1"/>
  <c r="BQ75" i="25" s="1"/>
  <c r="BO76" i="25"/>
  <c r="BR76" i="25" s="1"/>
  <c r="BS76" i="25" s="1"/>
  <c r="BO77" i="25"/>
  <c r="BP77" i="25" s="1"/>
  <c r="BQ77" i="25" s="1"/>
  <c r="BO78" i="25"/>
  <c r="BP78" i="25" s="1"/>
  <c r="BQ78" i="25" s="1"/>
  <c r="BO79" i="25"/>
  <c r="BR79" i="25" s="1"/>
  <c r="BS79" i="25" s="1"/>
  <c r="BO80" i="25"/>
  <c r="BR80" i="25" s="1"/>
  <c r="BS80" i="25" s="1"/>
  <c r="BO81" i="25"/>
  <c r="BP81" i="25" s="1"/>
  <c r="BQ81" i="25" s="1"/>
  <c r="BO82" i="25"/>
  <c r="BR82" i="25" s="1"/>
  <c r="BS82" i="25" s="1"/>
  <c r="BO83" i="25"/>
  <c r="BP83" i="25" s="1"/>
  <c r="BQ83" i="25" s="1"/>
  <c r="BO84" i="25"/>
  <c r="BP84" i="25" s="1"/>
  <c r="BQ84" i="25" s="1"/>
  <c r="BO85" i="25"/>
  <c r="BP85" i="25" s="1"/>
  <c r="BQ85" i="25" s="1"/>
  <c r="BO86" i="25"/>
  <c r="BP86" i="25" s="1"/>
  <c r="BQ86" i="25" s="1"/>
  <c r="BO87" i="25"/>
  <c r="BP87" i="25" s="1"/>
  <c r="BQ87" i="25" s="1"/>
  <c r="BO88" i="25"/>
  <c r="BR88" i="25" s="1"/>
  <c r="BS88" i="25" s="1"/>
  <c r="BO89" i="25"/>
  <c r="BR89" i="25" s="1"/>
  <c r="BS89" i="25" s="1"/>
  <c r="BO90" i="25"/>
  <c r="BP90" i="25" s="1"/>
  <c r="BQ90" i="25" s="1"/>
  <c r="BT70" i="25"/>
  <c r="BT71" i="25"/>
  <c r="BT72" i="25"/>
  <c r="BT73" i="25"/>
  <c r="BT74" i="25"/>
  <c r="BT75" i="25"/>
  <c r="BT76" i="25"/>
  <c r="BT77" i="25"/>
  <c r="BT78" i="25"/>
  <c r="BT79" i="25"/>
  <c r="BT80" i="25"/>
  <c r="BT81" i="25"/>
  <c r="BT82" i="25"/>
  <c r="BT83" i="25"/>
  <c r="BT84" i="25"/>
  <c r="BT85" i="25"/>
  <c r="BT86" i="25"/>
  <c r="BT87" i="25"/>
  <c r="BT88" i="25"/>
  <c r="BT89" i="25"/>
  <c r="BT90" i="25"/>
  <c r="BW70" i="25"/>
  <c r="BV70" i="25" s="1"/>
  <c r="CC70" i="25" s="1"/>
  <c r="BW71" i="25"/>
  <c r="BV71" i="25" s="1"/>
  <c r="CC71" i="25" s="1"/>
  <c r="BW72" i="25"/>
  <c r="BV72" i="25" s="1"/>
  <c r="CC72" i="25" s="1"/>
  <c r="BW73" i="25"/>
  <c r="BV73" i="25" s="1"/>
  <c r="CC73" i="25" s="1"/>
  <c r="BW74" i="25"/>
  <c r="BV74" i="25" s="1"/>
  <c r="CC74" i="25" s="1"/>
  <c r="BW75" i="25"/>
  <c r="BV75" i="25" s="1"/>
  <c r="CC75" i="25" s="1"/>
  <c r="BW76" i="25"/>
  <c r="BV76" i="25" s="1"/>
  <c r="CC76" i="25" s="1"/>
  <c r="BW77" i="25"/>
  <c r="BV77" i="25" s="1"/>
  <c r="CC77" i="25" s="1"/>
  <c r="BW78" i="25"/>
  <c r="BV78" i="25" s="1"/>
  <c r="CC78" i="25" s="1"/>
  <c r="BW79" i="25"/>
  <c r="BV79" i="25" s="1"/>
  <c r="CC79" i="25" s="1"/>
  <c r="BW80" i="25"/>
  <c r="BV80" i="25" s="1"/>
  <c r="CC80" i="25" s="1"/>
  <c r="BW81" i="25"/>
  <c r="BV81" i="25" s="1"/>
  <c r="CC81" i="25" s="1"/>
  <c r="BW82" i="25"/>
  <c r="BV82" i="25" s="1"/>
  <c r="CC82" i="25" s="1"/>
  <c r="BW83" i="25"/>
  <c r="BV83" i="25" s="1"/>
  <c r="CC83" i="25" s="1"/>
  <c r="BW84" i="25"/>
  <c r="BV84" i="25" s="1"/>
  <c r="CC84" i="25" s="1"/>
  <c r="BW85" i="25"/>
  <c r="BV85" i="25" s="1"/>
  <c r="CC85" i="25" s="1"/>
  <c r="BW86" i="25"/>
  <c r="BV86" i="25" s="1"/>
  <c r="CC86" i="25" s="1"/>
  <c r="BW87" i="25"/>
  <c r="BV87" i="25" s="1"/>
  <c r="CC87" i="25" s="1"/>
  <c r="BW88" i="25"/>
  <c r="BV88" i="25" s="1"/>
  <c r="CC88" i="25" s="1"/>
  <c r="BW89" i="25"/>
  <c r="BV89" i="25" s="1"/>
  <c r="CC89" i="25" s="1"/>
  <c r="BW90" i="25"/>
  <c r="BV90" i="25" s="1"/>
  <c r="CC90" i="25" s="1"/>
  <c r="BX70" i="25"/>
  <c r="BX71" i="25"/>
  <c r="BX72" i="25"/>
  <c r="BX73" i="25"/>
  <c r="BX74" i="25"/>
  <c r="BX75" i="25"/>
  <c r="BX76" i="25"/>
  <c r="BX77" i="25"/>
  <c r="BX78" i="25"/>
  <c r="BX79" i="25"/>
  <c r="BX80" i="25"/>
  <c r="BX81" i="25"/>
  <c r="BX82" i="25"/>
  <c r="BX83" i="25"/>
  <c r="BX84" i="25"/>
  <c r="BX85" i="25"/>
  <c r="BX86" i="25"/>
  <c r="BX87" i="25"/>
  <c r="BX88" i="25"/>
  <c r="BX89" i="25"/>
  <c r="BX90" i="25"/>
  <c r="BY70" i="25"/>
  <c r="CR70" i="25" s="1"/>
  <c r="BY71" i="25"/>
  <c r="CR71" i="25" s="1"/>
  <c r="BY72" i="25"/>
  <c r="CR72" i="25" s="1"/>
  <c r="BY73" i="25"/>
  <c r="CR73" i="25" s="1"/>
  <c r="BY74" i="25"/>
  <c r="CR74" i="25" s="1"/>
  <c r="BY75" i="25"/>
  <c r="CR75" i="25" s="1"/>
  <c r="BY76" i="25"/>
  <c r="CR76" i="25" s="1"/>
  <c r="BY77" i="25"/>
  <c r="CR77" i="25" s="1"/>
  <c r="BY78" i="25"/>
  <c r="CR78" i="25" s="1"/>
  <c r="BY79" i="25"/>
  <c r="CR79" i="25" s="1"/>
  <c r="BY80" i="25"/>
  <c r="CR80" i="25" s="1"/>
  <c r="BY81" i="25"/>
  <c r="CR81" i="25" s="1"/>
  <c r="BY82" i="25"/>
  <c r="CR82" i="25" s="1"/>
  <c r="BY83" i="25"/>
  <c r="CR83" i="25" s="1"/>
  <c r="BY84" i="25"/>
  <c r="CR84" i="25" s="1"/>
  <c r="BY85" i="25"/>
  <c r="CR85" i="25" s="1"/>
  <c r="BY86" i="25"/>
  <c r="CR86" i="25" s="1"/>
  <c r="BY87" i="25"/>
  <c r="CR87" i="25" s="1"/>
  <c r="BY88" i="25"/>
  <c r="CR88" i="25" s="1"/>
  <c r="BY89" i="25"/>
  <c r="CR89" i="25" s="1"/>
  <c r="BY90" i="25"/>
  <c r="CR90" i="25" s="1"/>
  <c r="BZ70" i="25"/>
  <c r="CS70" i="25" s="1"/>
  <c r="BZ71" i="25"/>
  <c r="CS71" i="25" s="1"/>
  <c r="BZ72" i="25"/>
  <c r="CS72" i="25" s="1"/>
  <c r="BZ73" i="25"/>
  <c r="CS73" i="25" s="1"/>
  <c r="BZ74" i="25"/>
  <c r="CS74" i="25" s="1"/>
  <c r="BZ75" i="25"/>
  <c r="CS75" i="25" s="1"/>
  <c r="BZ76" i="25"/>
  <c r="CS76" i="25" s="1"/>
  <c r="BZ77" i="25"/>
  <c r="CS77" i="25" s="1"/>
  <c r="BZ78" i="25"/>
  <c r="CS78" i="25" s="1"/>
  <c r="BZ79" i="25"/>
  <c r="CS79" i="25" s="1"/>
  <c r="BZ80" i="25"/>
  <c r="CS80" i="25" s="1"/>
  <c r="BZ81" i="25"/>
  <c r="CS81" i="25" s="1"/>
  <c r="BZ82" i="25"/>
  <c r="CS82" i="25" s="1"/>
  <c r="BZ83" i="25"/>
  <c r="CS83" i="25" s="1"/>
  <c r="BZ84" i="25"/>
  <c r="CS84" i="25" s="1"/>
  <c r="BZ85" i="25"/>
  <c r="CS85" i="25" s="1"/>
  <c r="BZ86" i="25"/>
  <c r="CS86" i="25" s="1"/>
  <c r="BZ87" i="25"/>
  <c r="CS87" i="25" s="1"/>
  <c r="BZ88" i="25"/>
  <c r="CS88" i="25" s="1"/>
  <c r="BZ89" i="25"/>
  <c r="CS89" i="25" s="1"/>
  <c r="BZ90" i="25"/>
  <c r="CS90" i="25" s="1"/>
  <c r="CD70" i="25"/>
  <c r="CD71" i="25"/>
  <c r="CD72" i="25"/>
  <c r="CD73" i="25"/>
  <c r="CD74" i="25"/>
  <c r="CD75" i="25"/>
  <c r="CD76" i="25"/>
  <c r="CD77" i="25"/>
  <c r="CD78" i="25"/>
  <c r="CD79" i="25"/>
  <c r="CD80" i="25"/>
  <c r="CD81" i="25"/>
  <c r="CD82" i="25"/>
  <c r="CD83" i="25"/>
  <c r="CD84" i="25"/>
  <c r="CD85" i="25"/>
  <c r="CD86" i="25"/>
  <c r="CD87" i="25"/>
  <c r="CD88" i="25"/>
  <c r="CD89" i="25"/>
  <c r="CD90" i="25"/>
  <c r="CE70" i="25"/>
  <c r="CE71" i="25"/>
  <c r="CE74" i="25"/>
  <c r="CE75" i="25"/>
  <c r="CE76" i="25"/>
  <c r="CE77" i="25"/>
  <c r="CE78" i="25"/>
  <c r="CE79" i="25"/>
  <c r="CE80" i="25"/>
  <c r="CE81" i="25"/>
  <c r="CE82" i="25"/>
  <c r="CE83" i="25"/>
  <c r="CE84" i="25"/>
  <c r="CE85" i="25"/>
  <c r="CE86" i="25"/>
  <c r="CE87" i="25"/>
  <c r="CE88" i="25"/>
  <c r="CE89" i="25"/>
  <c r="CE90" i="25"/>
  <c r="CG70" i="25"/>
  <c r="CG74" i="25"/>
  <c r="CG76" i="25"/>
  <c r="CG77" i="25"/>
  <c r="CG78" i="25"/>
  <c r="CG79" i="25"/>
  <c r="CG80" i="25"/>
  <c r="CG81" i="25"/>
  <c r="CG82" i="25"/>
  <c r="CG83" i="25"/>
  <c r="CG84" i="25"/>
  <c r="CG85" i="25"/>
  <c r="CG86" i="25"/>
  <c r="CG87" i="25"/>
  <c r="CG88" i="25"/>
  <c r="CG90" i="25"/>
  <c r="CH70" i="25"/>
  <c r="CH71" i="25"/>
  <c r="CH72" i="25"/>
  <c r="CH73" i="25"/>
  <c r="CH74" i="25"/>
  <c r="CH75" i="25"/>
  <c r="CH76" i="25"/>
  <c r="CH77" i="25"/>
  <c r="CH78" i="25"/>
  <c r="CH79" i="25"/>
  <c r="CH80" i="25"/>
  <c r="CH81" i="25"/>
  <c r="CH82" i="25"/>
  <c r="CH83" i="25"/>
  <c r="CH84" i="25"/>
  <c r="CH85" i="25"/>
  <c r="CH86" i="25"/>
  <c r="CH87" i="25"/>
  <c r="CH88" i="25"/>
  <c r="CH89" i="25"/>
  <c r="CH90" i="25"/>
  <c r="CN70" i="25"/>
  <c r="CN71" i="25"/>
  <c r="CN73" i="25"/>
  <c r="CN74" i="25"/>
  <c r="CN75" i="25"/>
  <c r="CN76" i="25"/>
  <c r="CN77" i="25"/>
  <c r="CN78" i="25"/>
  <c r="CN79" i="25"/>
  <c r="CN80" i="25"/>
  <c r="CN81" i="25"/>
  <c r="CN82" i="25"/>
  <c r="CN83" i="25"/>
  <c r="CN84" i="25"/>
  <c r="CN85" i="25"/>
  <c r="CN86" i="25"/>
  <c r="CN87" i="25"/>
  <c r="CN88" i="25"/>
  <c r="CN89" i="25"/>
  <c r="CN90" i="25"/>
  <c r="CO70" i="25"/>
  <c r="CO71" i="25"/>
  <c r="CO72" i="25"/>
  <c r="CO73" i="25"/>
  <c r="CO74" i="25"/>
  <c r="CO75" i="25"/>
  <c r="CO76" i="25"/>
  <c r="CO77" i="25"/>
  <c r="CO78" i="25"/>
  <c r="CO79" i="25"/>
  <c r="CO80" i="25"/>
  <c r="CO81" i="25"/>
  <c r="CO82" i="25"/>
  <c r="CO83" i="25"/>
  <c r="CO84" i="25"/>
  <c r="CO85" i="25"/>
  <c r="CO86" i="25"/>
  <c r="CO87" i="25"/>
  <c r="CO88" i="25"/>
  <c r="CO89" i="25"/>
  <c r="CO90" i="25"/>
  <c r="CP70" i="25"/>
  <c r="CP71" i="25"/>
  <c r="CP72" i="25"/>
  <c r="CP73" i="25"/>
  <c r="CP74" i="25"/>
  <c r="CP75" i="25"/>
  <c r="CP76" i="25"/>
  <c r="CP77" i="25"/>
  <c r="CP78" i="25"/>
  <c r="CP79" i="25"/>
  <c r="CP80" i="25"/>
  <c r="CP81" i="25"/>
  <c r="CP82" i="25"/>
  <c r="CP83" i="25"/>
  <c r="CP84" i="25"/>
  <c r="CP85" i="25"/>
  <c r="CP86" i="25"/>
  <c r="CP87" i="25"/>
  <c r="CP88" i="25"/>
  <c r="CP89" i="25"/>
  <c r="CP90" i="25"/>
  <c r="CQ70" i="25"/>
  <c r="CQ71" i="25"/>
  <c r="CQ74" i="25"/>
  <c r="CQ75" i="25"/>
  <c r="CQ76" i="25"/>
  <c r="CQ77" i="25"/>
  <c r="CQ78" i="25"/>
  <c r="CQ79" i="25"/>
  <c r="CQ80" i="25"/>
  <c r="CQ81" i="25"/>
  <c r="CQ82" i="25"/>
  <c r="CQ83" i="25"/>
  <c r="CQ84" i="25"/>
  <c r="CQ85" i="25"/>
  <c r="CQ86" i="25"/>
  <c r="CQ87" i="25"/>
  <c r="CQ88" i="25"/>
  <c r="CQ89" i="25"/>
  <c r="CQ90" i="25"/>
  <c r="CT70" i="25"/>
  <c r="CT71" i="25"/>
  <c r="CT72" i="25"/>
  <c r="CT73" i="25"/>
  <c r="CT74" i="25"/>
  <c r="CT75" i="25"/>
  <c r="CT76" i="25"/>
  <c r="CT77" i="25"/>
  <c r="CT78" i="25"/>
  <c r="CT79" i="25"/>
  <c r="CT80" i="25"/>
  <c r="CT81" i="25"/>
  <c r="CT82" i="25"/>
  <c r="CT83" i="25"/>
  <c r="CT84" i="25"/>
  <c r="CT85" i="25"/>
  <c r="CT86" i="25"/>
  <c r="CT87" i="25"/>
  <c r="CT88" i="25"/>
  <c r="CT89" i="25"/>
  <c r="CT90" i="25"/>
  <c r="CU70" i="25"/>
  <c r="CU71" i="25"/>
  <c r="CU72" i="25"/>
  <c r="CU73" i="25"/>
  <c r="CU74" i="25"/>
  <c r="CU75" i="25"/>
  <c r="CU76" i="25"/>
  <c r="CU77" i="25"/>
  <c r="CU78" i="25"/>
  <c r="CU79" i="25"/>
  <c r="CU80" i="25"/>
  <c r="CU81" i="25"/>
  <c r="CU82" i="25"/>
  <c r="CU83" i="25"/>
  <c r="CU84" i="25"/>
  <c r="CU85" i="25"/>
  <c r="CU86" i="25"/>
  <c r="CU87" i="25"/>
  <c r="CU88" i="25"/>
  <c r="CU89" i="25"/>
  <c r="CU90" i="25"/>
  <c r="CV70" i="25"/>
  <c r="CA70" i="25" s="1"/>
  <c r="CB70" i="25" s="1"/>
  <c r="CV71" i="25"/>
  <c r="CA71" i="25" s="1"/>
  <c r="CB71" i="25" s="1"/>
  <c r="CV72" i="25"/>
  <c r="CA72" i="25" s="1"/>
  <c r="CB72" i="25" s="1"/>
  <c r="CV73" i="25"/>
  <c r="CA73" i="25" s="1"/>
  <c r="CB73" i="25" s="1"/>
  <c r="CV74" i="25"/>
  <c r="CA74" i="25" s="1"/>
  <c r="CB74" i="25" s="1"/>
  <c r="CV75" i="25"/>
  <c r="CA75" i="25" s="1"/>
  <c r="CB75" i="25" s="1"/>
  <c r="CV76" i="25"/>
  <c r="CA76" i="25" s="1"/>
  <c r="CB76" i="25" s="1"/>
  <c r="CV77" i="25"/>
  <c r="CA77" i="25" s="1"/>
  <c r="CB77" i="25" s="1"/>
  <c r="CV78" i="25"/>
  <c r="CA78" i="25" s="1"/>
  <c r="CB78" i="25" s="1"/>
  <c r="CV79" i="25"/>
  <c r="CA79" i="25" s="1"/>
  <c r="CB79" i="25" s="1"/>
  <c r="CV80" i="25"/>
  <c r="CA80" i="25" s="1"/>
  <c r="CB80" i="25" s="1"/>
  <c r="CV81" i="25"/>
  <c r="CA81" i="25" s="1"/>
  <c r="CB81" i="25" s="1"/>
  <c r="CV82" i="25"/>
  <c r="CA82" i="25" s="1"/>
  <c r="CB82" i="25" s="1"/>
  <c r="CV83" i="25"/>
  <c r="CA83" i="25" s="1"/>
  <c r="CB83" i="25" s="1"/>
  <c r="CV84" i="25"/>
  <c r="CA84" i="25" s="1"/>
  <c r="CB84" i="25" s="1"/>
  <c r="CV85" i="25"/>
  <c r="CA85" i="25" s="1"/>
  <c r="CB85" i="25" s="1"/>
  <c r="CV86" i="25"/>
  <c r="CA86" i="25" s="1"/>
  <c r="CB86" i="25" s="1"/>
  <c r="CV87" i="25"/>
  <c r="CA87" i="25" s="1"/>
  <c r="CB87" i="25" s="1"/>
  <c r="CV88" i="25"/>
  <c r="CA88" i="25" s="1"/>
  <c r="CB88" i="25" s="1"/>
  <c r="CV89" i="25"/>
  <c r="CA89" i="25" s="1"/>
  <c r="CB89" i="25" s="1"/>
  <c r="CV90" i="25"/>
  <c r="CA90" i="25" s="1"/>
  <c r="CB90" i="25" s="1"/>
  <c r="CW70" i="25"/>
  <c r="CW71" i="25"/>
  <c r="CW72" i="25"/>
  <c r="CW73" i="25"/>
  <c r="CW74" i="25"/>
  <c r="CW75" i="25"/>
  <c r="CW76" i="25"/>
  <c r="CW77" i="25"/>
  <c r="CW78" i="25"/>
  <c r="CW79" i="25"/>
  <c r="CW80" i="25"/>
  <c r="CW81" i="25"/>
  <c r="CW82" i="25"/>
  <c r="CW83" i="25"/>
  <c r="CW84" i="25"/>
  <c r="CW85" i="25"/>
  <c r="CW86" i="25"/>
  <c r="CW87" i="25"/>
  <c r="CW88" i="25"/>
  <c r="CW89" i="25"/>
  <c r="CW90" i="25"/>
  <c r="CX70" i="25"/>
  <c r="CX71" i="25"/>
  <c r="CX72" i="25"/>
  <c r="CX73" i="25"/>
  <c r="CX74" i="25"/>
  <c r="CX75" i="25"/>
  <c r="CX76" i="25"/>
  <c r="CX77" i="25"/>
  <c r="CX78" i="25"/>
  <c r="CX79" i="25"/>
  <c r="CX80" i="25"/>
  <c r="CX81" i="25"/>
  <c r="CX82" i="25"/>
  <c r="CX83" i="25"/>
  <c r="CX84" i="25"/>
  <c r="CX85" i="25"/>
  <c r="CX86" i="25"/>
  <c r="CX87" i="25"/>
  <c r="CX88" i="25"/>
  <c r="CX89" i="25"/>
  <c r="CX90" i="25"/>
  <c r="CY70" i="25"/>
  <c r="CY71" i="25"/>
  <c r="CY72" i="25"/>
  <c r="CY73" i="25"/>
  <c r="CY74" i="25"/>
  <c r="CY75" i="25"/>
  <c r="CY76" i="25"/>
  <c r="CY77" i="25"/>
  <c r="CY78" i="25"/>
  <c r="CY79" i="25"/>
  <c r="CY80" i="25"/>
  <c r="CY81" i="25"/>
  <c r="CY82" i="25"/>
  <c r="CY83" i="25"/>
  <c r="CY84" i="25"/>
  <c r="CY85" i="25"/>
  <c r="CY86" i="25"/>
  <c r="CY87" i="25"/>
  <c r="CY88" i="25"/>
  <c r="CY89" i="25"/>
  <c r="CY90" i="25"/>
  <c r="CZ70" i="25"/>
  <c r="CZ71" i="25"/>
  <c r="CZ72" i="25"/>
  <c r="CZ73" i="25"/>
  <c r="CZ74" i="25"/>
  <c r="CZ75" i="25"/>
  <c r="CZ76" i="25"/>
  <c r="CZ77" i="25"/>
  <c r="CZ78" i="25"/>
  <c r="CZ79" i="25"/>
  <c r="CZ80" i="25"/>
  <c r="CZ81" i="25"/>
  <c r="CZ82" i="25"/>
  <c r="CZ83" i="25"/>
  <c r="CZ84" i="25"/>
  <c r="CZ85" i="25"/>
  <c r="CZ86" i="25"/>
  <c r="CZ87" i="25"/>
  <c r="CZ88" i="25"/>
  <c r="CZ89" i="25"/>
  <c r="CZ90" i="25"/>
  <c r="DA70" i="25"/>
  <c r="DA71" i="25"/>
  <c r="DA72" i="25"/>
  <c r="DA73" i="25"/>
  <c r="DA74" i="25"/>
  <c r="DA75" i="25"/>
  <c r="DA76" i="25"/>
  <c r="DA77" i="25"/>
  <c r="DA78" i="25"/>
  <c r="DA79" i="25"/>
  <c r="DA80" i="25"/>
  <c r="DA81" i="25"/>
  <c r="DA82" i="25"/>
  <c r="DA83" i="25"/>
  <c r="DA84" i="25"/>
  <c r="DA85" i="25"/>
  <c r="DA86" i="25"/>
  <c r="DA87" i="25"/>
  <c r="DA88" i="25"/>
  <c r="DA89" i="25"/>
  <c r="DA90" i="25"/>
  <c r="DB70" i="25"/>
  <c r="DB71" i="25"/>
  <c r="DB72" i="25"/>
  <c r="DB73" i="25"/>
  <c r="DB74" i="25"/>
  <c r="DB75" i="25"/>
  <c r="DB76" i="25"/>
  <c r="DB77" i="25"/>
  <c r="DB78" i="25"/>
  <c r="DB79" i="25"/>
  <c r="DB80" i="25"/>
  <c r="DB81" i="25"/>
  <c r="DB82" i="25"/>
  <c r="DB83" i="25"/>
  <c r="DB84" i="25"/>
  <c r="DB85" i="25"/>
  <c r="DB86" i="25"/>
  <c r="DB87" i="25"/>
  <c r="DB88" i="25"/>
  <c r="DB89" i="25"/>
  <c r="DB90" i="25"/>
  <c r="DE70" i="25"/>
  <c r="DE71" i="25"/>
  <c r="DE72" i="25"/>
  <c r="DE73" i="25"/>
  <c r="DE74" i="25"/>
  <c r="DE75" i="25"/>
  <c r="DE76" i="25"/>
  <c r="DE77" i="25"/>
  <c r="DE78" i="25"/>
  <c r="DE79" i="25"/>
  <c r="DE80" i="25"/>
  <c r="DE81" i="25"/>
  <c r="DE82" i="25"/>
  <c r="DE83" i="25"/>
  <c r="DE84" i="25"/>
  <c r="DE85" i="25"/>
  <c r="DE86" i="25"/>
  <c r="DE87" i="25"/>
  <c r="DE88" i="25"/>
  <c r="DE89" i="25"/>
  <c r="DE90" i="25"/>
  <c r="DJ70" i="25"/>
  <c r="DJ71" i="25"/>
  <c r="DJ72" i="25"/>
  <c r="DJ73" i="25"/>
  <c r="DJ74" i="25"/>
  <c r="DJ75" i="25"/>
  <c r="DJ76" i="25"/>
  <c r="DJ77" i="25"/>
  <c r="DJ78" i="25"/>
  <c r="DJ79" i="25"/>
  <c r="DJ80" i="25"/>
  <c r="DJ81" i="25"/>
  <c r="DJ82" i="25"/>
  <c r="DJ83" i="25"/>
  <c r="DJ84" i="25"/>
  <c r="DJ85" i="25"/>
  <c r="DJ86" i="25"/>
  <c r="DJ87" i="25"/>
  <c r="DJ88" i="25"/>
  <c r="DJ89" i="25"/>
  <c r="DJ90" i="25"/>
  <c r="DK70" i="25"/>
  <c r="DK71" i="25"/>
  <c r="DK72" i="25"/>
  <c r="DK73" i="25"/>
  <c r="DK74" i="25"/>
  <c r="DK75" i="25"/>
  <c r="DK76" i="25"/>
  <c r="DK77" i="25"/>
  <c r="DK78" i="25"/>
  <c r="DK79" i="25"/>
  <c r="DK80" i="25"/>
  <c r="DK81" i="25"/>
  <c r="DK82" i="25"/>
  <c r="DK83" i="25"/>
  <c r="DK84" i="25"/>
  <c r="DK85" i="25"/>
  <c r="DK86" i="25"/>
  <c r="DK87" i="25"/>
  <c r="DK88" i="25"/>
  <c r="DK89" i="25"/>
  <c r="DK90" i="25"/>
  <c r="K50" i="92"/>
  <c r="AA50" i="92"/>
  <c r="AC50" i="92"/>
  <c r="M50" i="92"/>
  <c r="AB50" i="92" l="1"/>
  <c r="L50" i="92"/>
  <c r="CM85" i="25"/>
  <c r="CF85" i="25"/>
  <c r="CM77" i="25"/>
  <c r="CF77" i="25"/>
  <c r="CM84" i="25"/>
  <c r="CF84" i="25"/>
  <c r="CM76" i="25"/>
  <c r="CF76" i="25"/>
  <c r="CM90" i="25"/>
  <c r="CF90" i="25"/>
  <c r="CM82" i="25"/>
  <c r="CF82" i="25"/>
  <c r="CM74" i="25"/>
  <c r="CF74" i="25"/>
  <c r="CM83" i="25"/>
  <c r="CF83" i="25"/>
  <c r="CM89" i="25"/>
  <c r="CF89" i="25"/>
  <c r="CM81" i="25"/>
  <c r="CF81" i="25"/>
  <c r="CM71" i="25"/>
  <c r="CF71" i="25"/>
  <c r="CM88" i="25"/>
  <c r="CF88" i="25"/>
  <c r="CM80" i="25"/>
  <c r="CF80" i="25"/>
  <c r="CM70" i="25"/>
  <c r="CF70" i="25"/>
  <c r="CM75" i="25"/>
  <c r="CF75" i="25"/>
  <c r="CM72" i="25"/>
  <c r="CF72" i="25"/>
  <c r="CM87" i="25"/>
  <c r="CF87" i="25"/>
  <c r="CM79" i="25"/>
  <c r="CF79" i="25"/>
  <c r="CM86" i="25"/>
  <c r="CF86" i="25"/>
  <c r="CM78" i="25"/>
  <c r="CF78" i="25"/>
  <c r="CE73" i="25"/>
  <c r="BP79" i="25"/>
  <c r="BQ79" i="25" s="1"/>
  <c r="BU79" i="25" s="1"/>
  <c r="BN83" i="25"/>
  <c r="BN75" i="25"/>
  <c r="BN86" i="25"/>
  <c r="BN78" i="25"/>
  <c r="BN70" i="25"/>
  <c r="BR71" i="25"/>
  <c r="BS71" i="25" s="1"/>
  <c r="BR87" i="25"/>
  <c r="BS87" i="25" s="1"/>
  <c r="BN90" i="25"/>
  <c r="BN82" i="25"/>
  <c r="BP82" i="25"/>
  <c r="BQ82" i="25" s="1"/>
  <c r="BU82" i="25" s="1"/>
  <c r="BP76" i="25"/>
  <c r="BQ76" i="25" s="1"/>
  <c r="BU76" i="25" s="1"/>
  <c r="BR84" i="25"/>
  <c r="BS84" i="25" s="1"/>
  <c r="BR83" i="25"/>
  <c r="BS83" i="25" s="1"/>
  <c r="BR90" i="25"/>
  <c r="BS90" i="25" s="1"/>
  <c r="BN71" i="25"/>
  <c r="BN84" i="25"/>
  <c r="BN87" i="25"/>
  <c r="BN79" i="25"/>
  <c r="CI88" i="25"/>
  <c r="CJ88" i="25" s="1"/>
  <c r="CK88" i="25" s="1"/>
  <c r="CL88" i="25" s="1"/>
  <c r="BN74" i="25"/>
  <c r="BR77" i="25"/>
  <c r="BS77" i="25" s="1"/>
  <c r="BN76" i="25"/>
  <c r="CI86" i="25"/>
  <c r="CJ86" i="25" s="1"/>
  <c r="CK86" i="25" s="1"/>
  <c r="CL86" i="25" s="1"/>
  <c r="CI78" i="25"/>
  <c r="CJ78" i="25" s="1"/>
  <c r="CK78" i="25" s="1"/>
  <c r="CL78" i="25" s="1"/>
  <c r="BP74" i="25"/>
  <c r="BQ74" i="25" s="1"/>
  <c r="BU74" i="25" s="1"/>
  <c r="BN85" i="25"/>
  <c r="BN77" i="25"/>
  <c r="CI83" i="25"/>
  <c r="CJ83" i="25" s="1"/>
  <c r="CK83" i="25" s="1"/>
  <c r="CL83" i="25" s="1"/>
  <c r="BN89" i="25"/>
  <c r="BN81" i="25"/>
  <c r="BN73" i="25"/>
  <c r="CI80" i="25"/>
  <c r="CJ80" i="25" s="1"/>
  <c r="CK80" i="25" s="1"/>
  <c r="CL80" i="25" s="1"/>
  <c r="CI72" i="25"/>
  <c r="CJ72" i="25" s="1"/>
  <c r="CK72" i="25" s="1"/>
  <c r="CL72" i="25" s="1"/>
  <c r="BR85" i="25"/>
  <c r="BS85" i="25" s="1"/>
  <c r="BR73" i="25"/>
  <c r="BS73" i="25" s="1"/>
  <c r="BU86" i="25"/>
  <c r="BU78" i="25"/>
  <c r="CI70" i="25"/>
  <c r="CJ70" i="25" s="1"/>
  <c r="CK70" i="25" s="1"/>
  <c r="CL70" i="25" s="1"/>
  <c r="CI82" i="25"/>
  <c r="CJ82" i="25" s="1"/>
  <c r="CK82" i="25" s="1"/>
  <c r="CL82" i="25" s="1"/>
  <c r="CI84" i="25"/>
  <c r="CJ84" i="25" s="1"/>
  <c r="CK84" i="25" s="1"/>
  <c r="CL84" i="25" s="1"/>
  <c r="CI76" i="25"/>
  <c r="CJ76" i="25" s="1"/>
  <c r="CK76" i="25" s="1"/>
  <c r="CL76" i="25" s="1"/>
  <c r="CI89" i="25"/>
  <c r="CJ89" i="25" s="1"/>
  <c r="CK89" i="25" s="1"/>
  <c r="CL89" i="25" s="1"/>
  <c r="CI81" i="25"/>
  <c r="CJ81" i="25" s="1"/>
  <c r="CK81" i="25" s="1"/>
  <c r="CL81" i="25" s="1"/>
  <c r="CI73" i="25"/>
  <c r="BR81" i="25"/>
  <c r="BS81" i="25" s="1"/>
  <c r="BU70" i="25"/>
  <c r="CI85" i="25"/>
  <c r="CJ85" i="25" s="1"/>
  <c r="CK85" i="25" s="1"/>
  <c r="CL85" i="25" s="1"/>
  <c r="CI77" i="25"/>
  <c r="CJ77" i="25" s="1"/>
  <c r="CK77" i="25" s="1"/>
  <c r="CL77" i="25" s="1"/>
  <c r="BP89" i="25"/>
  <c r="BQ89" i="25" s="1"/>
  <c r="BU89" i="25" s="1"/>
  <c r="BU85" i="25"/>
  <c r="BP72" i="25"/>
  <c r="BQ72" i="25" s="1"/>
  <c r="BU72" i="25" s="1"/>
  <c r="CI75" i="25"/>
  <c r="CJ75" i="25" s="1"/>
  <c r="CK75" i="25" s="1"/>
  <c r="CL75" i="25" s="1"/>
  <c r="BU84" i="25"/>
  <c r="BU83" i="25"/>
  <c r="BU75" i="25"/>
  <c r="CI90" i="25"/>
  <c r="CJ90" i="25" s="1"/>
  <c r="CK90" i="25" s="1"/>
  <c r="CL90" i="25" s="1"/>
  <c r="CI74" i="25"/>
  <c r="CJ74" i="25" s="1"/>
  <c r="CK74" i="25" s="1"/>
  <c r="CL74" i="25" s="1"/>
  <c r="CI87" i="25"/>
  <c r="CJ87" i="25" s="1"/>
  <c r="CK87" i="25" s="1"/>
  <c r="CL87" i="25" s="1"/>
  <c r="CI79" i="25"/>
  <c r="CJ79" i="25" s="1"/>
  <c r="CK79" i="25" s="1"/>
  <c r="CL79" i="25" s="1"/>
  <c r="CI71" i="25"/>
  <c r="CJ71" i="25" s="1"/>
  <c r="CK71" i="25" s="1"/>
  <c r="CL71" i="25" s="1"/>
  <c r="BU81" i="25"/>
  <c r="BU71" i="25"/>
  <c r="BR75" i="25"/>
  <c r="BS75" i="25" s="1"/>
  <c r="BU73" i="25"/>
  <c r="BN88" i="25"/>
  <c r="BN80" i="25"/>
  <c r="BN72" i="25"/>
  <c r="BU77" i="25"/>
  <c r="BU90" i="25"/>
  <c r="BU87" i="25"/>
  <c r="BR86" i="25"/>
  <c r="BS86" i="25" s="1"/>
  <c r="BR78" i="25"/>
  <c r="BS78" i="25" s="1"/>
  <c r="BR70" i="25"/>
  <c r="BS70" i="25" s="1"/>
  <c r="BP88" i="25"/>
  <c r="BQ88" i="25" s="1"/>
  <c r="BU88" i="25" s="1"/>
  <c r="BP80" i="25"/>
  <c r="BQ80" i="25" s="1"/>
  <c r="BU80" i="25" s="1"/>
  <c r="CM73" i="25" l="1"/>
  <c r="CF73" i="25"/>
  <c r="CJ73" i="25"/>
  <c r="CK73" i="25" s="1"/>
  <c r="CL73" i="25" s="1"/>
  <c r="DD69" i="25"/>
  <c r="DC69" i="25"/>
  <c r="DD68" i="25"/>
  <c r="DC68" i="25"/>
  <c r="DD67" i="25"/>
  <c r="DC67" i="25"/>
  <c r="DD66" i="25"/>
  <c r="DC66" i="25"/>
  <c r="DD65" i="25"/>
  <c r="DC65" i="25"/>
  <c r="DD64" i="25"/>
  <c r="DC64" i="25"/>
  <c r="DD63" i="25"/>
  <c r="DC63" i="25"/>
  <c r="DD62" i="25"/>
  <c r="DC62" i="25"/>
  <c r="DD61" i="25"/>
  <c r="DC61" i="25"/>
  <c r="DD60" i="25"/>
  <c r="DC60" i="25"/>
  <c r="DD59" i="25"/>
  <c r="DC59" i="25"/>
  <c r="DD58" i="25"/>
  <c r="DC58" i="25"/>
  <c r="DD57" i="25"/>
  <c r="DC57" i="25"/>
  <c r="DD56" i="25"/>
  <c r="DC56" i="25"/>
  <c r="DD55" i="25"/>
  <c r="DC55" i="25"/>
  <c r="DD54" i="25"/>
  <c r="DC54" i="25"/>
  <c r="DD53" i="25"/>
  <c r="DC53" i="25"/>
  <c r="DD52" i="25"/>
  <c r="DC52" i="25"/>
  <c r="DD51" i="25"/>
  <c r="DC51" i="25"/>
  <c r="DD50" i="25"/>
  <c r="DC50" i="25"/>
  <c r="DD49" i="25"/>
  <c r="DC49" i="25"/>
  <c r="E71" i="112"/>
  <c r="D71" i="112"/>
  <c r="AS52" i="25"/>
  <c r="AS51" i="25"/>
  <c r="AR52" i="25"/>
  <c r="CE52" i="25" s="1"/>
  <c r="AR51" i="25"/>
  <c r="AQ52" i="25"/>
  <c r="AQ51" i="25"/>
  <c r="AP52" i="25"/>
  <c r="AP51"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CG54" i="25" s="1"/>
  <c r="K55" i="25"/>
  <c r="K56" i="25"/>
  <c r="K57" i="25"/>
  <c r="K58" i="25"/>
  <c r="K59" i="25"/>
  <c r="K60" i="25"/>
  <c r="K61" i="25"/>
  <c r="K62" i="25"/>
  <c r="K63" i="25"/>
  <c r="K64" i="25"/>
  <c r="K65" i="25"/>
  <c r="K66" i="25"/>
  <c r="K67" i="25"/>
  <c r="K68" i="25"/>
  <c r="CG68" i="25" s="1"/>
  <c r="K69" i="25"/>
  <c r="CQ65" i="25"/>
  <c r="CQ64" i="25"/>
  <c r="CQ62" i="25"/>
  <c r="BF60" i="25"/>
  <c r="BF59" i="25"/>
  <c r="CQ59" i="25" s="1"/>
  <c r="BF57" i="25"/>
  <c r="CQ57" i="25" s="1"/>
  <c r="CQ56" i="25"/>
  <c r="CQ54" i="25"/>
  <c r="CQ49" i="25"/>
  <c r="BL49" i="25"/>
  <c r="BL50" i="25"/>
  <c r="BL51" i="25"/>
  <c r="BL52" i="25"/>
  <c r="BL53" i="25"/>
  <c r="BL54" i="25"/>
  <c r="BL55" i="25"/>
  <c r="BL56" i="25"/>
  <c r="BL57" i="25"/>
  <c r="BL58" i="25"/>
  <c r="BL59" i="25"/>
  <c r="BL60" i="25"/>
  <c r="BL61" i="25"/>
  <c r="BL62" i="25"/>
  <c r="BL63" i="25"/>
  <c r="BL64" i="25"/>
  <c r="BL65" i="25"/>
  <c r="BL66" i="25"/>
  <c r="BL67" i="25"/>
  <c r="BL68" i="25"/>
  <c r="BL69" i="25"/>
  <c r="BM49" i="25"/>
  <c r="BM50" i="25"/>
  <c r="BM51" i="25"/>
  <c r="BM52" i="25"/>
  <c r="BM53" i="25"/>
  <c r="BM54" i="25"/>
  <c r="BM55" i="25"/>
  <c r="BM56" i="25"/>
  <c r="BM57" i="25"/>
  <c r="BM58" i="25"/>
  <c r="BM59" i="25"/>
  <c r="BM60" i="25"/>
  <c r="BM61" i="25"/>
  <c r="BM62" i="25"/>
  <c r="BM63" i="25"/>
  <c r="BM64" i="25"/>
  <c r="BM65" i="25"/>
  <c r="BM66" i="25"/>
  <c r="BM67" i="25"/>
  <c r="BM68" i="25"/>
  <c r="BM69" i="25"/>
  <c r="BO49" i="25"/>
  <c r="BP49" i="25" s="1"/>
  <c r="BQ49" i="25" s="1"/>
  <c r="BO50" i="25"/>
  <c r="BP50" i="25" s="1"/>
  <c r="BQ50" i="25" s="1"/>
  <c r="BO51" i="25"/>
  <c r="BP51" i="25" s="1"/>
  <c r="BQ51" i="25" s="1"/>
  <c r="BO52" i="25"/>
  <c r="BP52" i="25" s="1"/>
  <c r="BQ52" i="25" s="1"/>
  <c r="BO53" i="25"/>
  <c r="BP53" i="25" s="1"/>
  <c r="BQ53" i="25" s="1"/>
  <c r="BO54" i="25"/>
  <c r="BP54" i="25" s="1"/>
  <c r="BQ54" i="25" s="1"/>
  <c r="BO55" i="25"/>
  <c r="BR55" i="25" s="1"/>
  <c r="BS55" i="25" s="1"/>
  <c r="BO56" i="25"/>
  <c r="BR56" i="25" s="1"/>
  <c r="BS56" i="25" s="1"/>
  <c r="BO57" i="25"/>
  <c r="BR57" i="25" s="1"/>
  <c r="BS57" i="25" s="1"/>
  <c r="BO58" i="25"/>
  <c r="BP58" i="25" s="1"/>
  <c r="BQ58" i="25" s="1"/>
  <c r="BO59" i="25"/>
  <c r="BR59" i="25" s="1"/>
  <c r="BS59" i="25" s="1"/>
  <c r="BO60" i="25"/>
  <c r="BP60" i="25" s="1"/>
  <c r="BQ60" i="25" s="1"/>
  <c r="BO61" i="25"/>
  <c r="BR61" i="25" s="1"/>
  <c r="BS61" i="25" s="1"/>
  <c r="BO62" i="25"/>
  <c r="BP62" i="25" s="1"/>
  <c r="BQ62" i="25" s="1"/>
  <c r="BO63" i="25"/>
  <c r="BP63" i="25" s="1"/>
  <c r="BQ63" i="25" s="1"/>
  <c r="BO64" i="25"/>
  <c r="BP64" i="25" s="1"/>
  <c r="BQ64" i="25" s="1"/>
  <c r="BO65" i="25"/>
  <c r="BP65" i="25" s="1"/>
  <c r="BQ65" i="25" s="1"/>
  <c r="BO66" i="25"/>
  <c r="BP66" i="25" s="1"/>
  <c r="BQ66" i="25" s="1"/>
  <c r="BO67" i="25"/>
  <c r="BP67" i="25" s="1"/>
  <c r="BQ67" i="25" s="1"/>
  <c r="BO68" i="25"/>
  <c r="BP68" i="25" s="1"/>
  <c r="BQ68" i="25" s="1"/>
  <c r="BO69" i="25"/>
  <c r="BP69" i="25" s="1"/>
  <c r="BQ69" i="25" s="1"/>
  <c r="BT49" i="25"/>
  <c r="BT50" i="25"/>
  <c r="BT51" i="25"/>
  <c r="BT52" i="25"/>
  <c r="BT53" i="25"/>
  <c r="BT54" i="25"/>
  <c r="BT55" i="25"/>
  <c r="BT56" i="25"/>
  <c r="BT57" i="25"/>
  <c r="BT58" i="25"/>
  <c r="BT59" i="25"/>
  <c r="BT60" i="25"/>
  <c r="BT61" i="25"/>
  <c r="BT62" i="25"/>
  <c r="BT63" i="25"/>
  <c r="BT64" i="25"/>
  <c r="BT65" i="25"/>
  <c r="BT66" i="25"/>
  <c r="BT67" i="25"/>
  <c r="BT68" i="25"/>
  <c r="BT69" i="25"/>
  <c r="BW49" i="25"/>
  <c r="BV49" i="25" s="1"/>
  <c r="CC49" i="25" s="1"/>
  <c r="BW50" i="25"/>
  <c r="BV50" i="25" s="1"/>
  <c r="CC50" i="25" s="1"/>
  <c r="BW51" i="25"/>
  <c r="BV51" i="25" s="1"/>
  <c r="CC51" i="25" s="1"/>
  <c r="BW52" i="25"/>
  <c r="BV52" i="25" s="1"/>
  <c r="CC52" i="25" s="1"/>
  <c r="BW53" i="25"/>
  <c r="BV53" i="25" s="1"/>
  <c r="CC53" i="25" s="1"/>
  <c r="BW54" i="25"/>
  <c r="BV54" i="25" s="1"/>
  <c r="CC54" i="25" s="1"/>
  <c r="BW55" i="25"/>
  <c r="BV55" i="25" s="1"/>
  <c r="CC55" i="25" s="1"/>
  <c r="BW56" i="25"/>
  <c r="BV56" i="25" s="1"/>
  <c r="CC56" i="25" s="1"/>
  <c r="BW57" i="25"/>
  <c r="BV57" i="25" s="1"/>
  <c r="CC57" i="25" s="1"/>
  <c r="BW58" i="25"/>
  <c r="BV58" i="25" s="1"/>
  <c r="CC58" i="25" s="1"/>
  <c r="BW59" i="25"/>
  <c r="BV59" i="25" s="1"/>
  <c r="CC59" i="25" s="1"/>
  <c r="BW60" i="25"/>
  <c r="BV60" i="25" s="1"/>
  <c r="CC60" i="25" s="1"/>
  <c r="BW61" i="25"/>
  <c r="BV61" i="25" s="1"/>
  <c r="CC61" i="25" s="1"/>
  <c r="BW62" i="25"/>
  <c r="BV62" i="25" s="1"/>
  <c r="CC62" i="25" s="1"/>
  <c r="BW63" i="25"/>
  <c r="BV63" i="25" s="1"/>
  <c r="CC63" i="25" s="1"/>
  <c r="BW64" i="25"/>
  <c r="BV64" i="25" s="1"/>
  <c r="CC64" i="25" s="1"/>
  <c r="BW65" i="25"/>
  <c r="BV65" i="25" s="1"/>
  <c r="CC65" i="25" s="1"/>
  <c r="BW66" i="25"/>
  <c r="BV66" i="25" s="1"/>
  <c r="CC66" i="25" s="1"/>
  <c r="BW67" i="25"/>
  <c r="BV67" i="25" s="1"/>
  <c r="CC67" i="25" s="1"/>
  <c r="BW68" i="25"/>
  <c r="BV68" i="25" s="1"/>
  <c r="CC68" i="25" s="1"/>
  <c r="BW69" i="25"/>
  <c r="BV69" i="25" s="1"/>
  <c r="CC69" i="25" s="1"/>
  <c r="BX49" i="25"/>
  <c r="BX50" i="25"/>
  <c r="BX51" i="25"/>
  <c r="BX52" i="25"/>
  <c r="BX53" i="25"/>
  <c r="BX54" i="25"/>
  <c r="BX55" i="25"/>
  <c r="BX56" i="25"/>
  <c r="BX57" i="25"/>
  <c r="BX58" i="25"/>
  <c r="BX59" i="25"/>
  <c r="BX60" i="25"/>
  <c r="BX61" i="25"/>
  <c r="BX62" i="25"/>
  <c r="BX63" i="25"/>
  <c r="BX64" i="25"/>
  <c r="BX65" i="25"/>
  <c r="BX66" i="25"/>
  <c r="BX67" i="25"/>
  <c r="BX68" i="25"/>
  <c r="BX69" i="25"/>
  <c r="BY49" i="25"/>
  <c r="CR49" i="25" s="1"/>
  <c r="BY50" i="25"/>
  <c r="CR50" i="25" s="1"/>
  <c r="BY51" i="25"/>
  <c r="CR51" i="25" s="1"/>
  <c r="BY52" i="25"/>
  <c r="CR52" i="25" s="1"/>
  <c r="BY53" i="25"/>
  <c r="CR53" i="25" s="1"/>
  <c r="BY54" i="25"/>
  <c r="CR54" i="25" s="1"/>
  <c r="BY55" i="25"/>
  <c r="CR55" i="25" s="1"/>
  <c r="BY56" i="25"/>
  <c r="CR56" i="25" s="1"/>
  <c r="BY57" i="25"/>
  <c r="CR57" i="25" s="1"/>
  <c r="BY58" i="25"/>
  <c r="CR58" i="25" s="1"/>
  <c r="BY59" i="25"/>
  <c r="CR59" i="25" s="1"/>
  <c r="BY60" i="25"/>
  <c r="CR60" i="25" s="1"/>
  <c r="BY61" i="25"/>
  <c r="CR61" i="25" s="1"/>
  <c r="BY62" i="25"/>
  <c r="CR62" i="25" s="1"/>
  <c r="BY63" i="25"/>
  <c r="CR63" i="25" s="1"/>
  <c r="BY64" i="25"/>
  <c r="CR64" i="25" s="1"/>
  <c r="BY65" i="25"/>
  <c r="CR65" i="25" s="1"/>
  <c r="BY66" i="25"/>
  <c r="CR66" i="25" s="1"/>
  <c r="BY67" i="25"/>
  <c r="CR67" i="25" s="1"/>
  <c r="BY68" i="25"/>
  <c r="CR68" i="25" s="1"/>
  <c r="BY69" i="25"/>
  <c r="CR69" i="25" s="1"/>
  <c r="BZ49" i="25"/>
  <c r="CS49" i="25" s="1"/>
  <c r="BZ50" i="25"/>
  <c r="CS50" i="25" s="1"/>
  <c r="BZ51" i="25"/>
  <c r="CS51" i="25" s="1"/>
  <c r="BZ52" i="25"/>
  <c r="CS52" i="25" s="1"/>
  <c r="BZ53" i="25"/>
  <c r="CS53" i="25" s="1"/>
  <c r="BZ54" i="25"/>
  <c r="CS54" i="25" s="1"/>
  <c r="BZ55" i="25"/>
  <c r="CS55" i="25" s="1"/>
  <c r="BZ56" i="25"/>
  <c r="CS56" i="25" s="1"/>
  <c r="BZ57" i="25"/>
  <c r="CS57" i="25" s="1"/>
  <c r="BZ58" i="25"/>
  <c r="CS58" i="25" s="1"/>
  <c r="BZ59" i="25"/>
  <c r="CS59" i="25" s="1"/>
  <c r="BZ60" i="25"/>
  <c r="CS60" i="25" s="1"/>
  <c r="BZ61" i="25"/>
  <c r="CS61" i="25" s="1"/>
  <c r="BZ62" i="25"/>
  <c r="CS62" i="25" s="1"/>
  <c r="BZ63" i="25"/>
  <c r="CS63" i="25" s="1"/>
  <c r="BZ64" i="25"/>
  <c r="CS64" i="25" s="1"/>
  <c r="BZ65" i="25"/>
  <c r="CS65" i="25" s="1"/>
  <c r="BZ66" i="25"/>
  <c r="CS66" i="25" s="1"/>
  <c r="BZ67" i="25"/>
  <c r="CS67" i="25" s="1"/>
  <c r="BZ68" i="25"/>
  <c r="CS68" i="25" s="1"/>
  <c r="BZ69" i="25"/>
  <c r="CS69" i="25" s="1"/>
  <c r="CD49" i="25"/>
  <c r="CD50" i="25"/>
  <c r="CD51" i="25"/>
  <c r="CD52" i="25"/>
  <c r="CD53" i="25"/>
  <c r="CD54" i="25"/>
  <c r="CD55" i="25"/>
  <c r="CD56" i="25"/>
  <c r="CD57" i="25"/>
  <c r="CD58" i="25"/>
  <c r="CD59" i="25"/>
  <c r="CD60" i="25"/>
  <c r="CD61" i="25"/>
  <c r="CD62" i="25"/>
  <c r="CD63" i="25"/>
  <c r="CD64" i="25"/>
  <c r="CD65" i="25"/>
  <c r="CD66" i="25"/>
  <c r="CD67" i="25"/>
  <c r="CD68" i="25"/>
  <c r="CD69" i="25"/>
  <c r="CE49" i="25"/>
  <c r="CE50" i="25"/>
  <c r="CE53" i="25"/>
  <c r="CE54" i="25"/>
  <c r="CE55" i="25"/>
  <c r="CE56" i="25"/>
  <c r="CE57" i="25"/>
  <c r="CF57" i="25" s="1"/>
  <c r="CE58" i="25"/>
  <c r="CE59" i="25"/>
  <c r="CE60" i="25"/>
  <c r="CE61" i="25"/>
  <c r="CE62" i="25"/>
  <c r="CE63" i="25"/>
  <c r="CF63" i="25" s="1"/>
  <c r="CE64" i="25"/>
  <c r="CE65" i="25"/>
  <c r="CF65" i="25" s="1"/>
  <c r="CE66" i="25"/>
  <c r="CE67" i="25"/>
  <c r="CE68" i="25"/>
  <c r="CE69" i="25"/>
  <c r="CG49" i="25"/>
  <c r="CG50" i="25"/>
  <c r="CG51" i="25"/>
  <c r="CG52" i="25"/>
  <c r="CG53" i="25"/>
  <c r="CG55" i="25"/>
  <c r="CG56" i="25"/>
  <c r="CG57" i="25"/>
  <c r="CG58" i="25"/>
  <c r="CG59" i="25"/>
  <c r="CG60" i="25"/>
  <c r="CG61" i="25"/>
  <c r="CG62" i="25"/>
  <c r="CG63" i="25"/>
  <c r="CG64" i="25"/>
  <c r="CG65" i="25"/>
  <c r="CG66" i="25"/>
  <c r="CG67" i="25"/>
  <c r="CG69" i="25"/>
  <c r="CH49" i="25"/>
  <c r="CH50" i="25"/>
  <c r="CH51" i="25"/>
  <c r="CH52" i="25"/>
  <c r="CH53" i="25"/>
  <c r="CH54" i="25"/>
  <c r="CH55" i="25"/>
  <c r="CH56" i="25"/>
  <c r="CH57" i="25"/>
  <c r="CH58" i="25"/>
  <c r="CH59" i="25"/>
  <c r="CH60" i="25"/>
  <c r="CH61" i="25"/>
  <c r="CH62" i="25"/>
  <c r="CH63" i="25"/>
  <c r="CH64" i="25"/>
  <c r="CH65" i="25"/>
  <c r="CH66" i="25"/>
  <c r="CH67" i="25"/>
  <c r="CH68" i="25"/>
  <c r="CH69" i="25"/>
  <c r="CN49" i="25"/>
  <c r="CN50" i="25"/>
  <c r="CN51" i="25"/>
  <c r="CN52" i="25"/>
  <c r="CN53" i="25"/>
  <c r="CN54" i="25"/>
  <c r="CN55" i="25"/>
  <c r="CN56" i="25"/>
  <c r="CN57" i="25"/>
  <c r="CN58" i="25"/>
  <c r="CN59" i="25"/>
  <c r="CN60" i="25"/>
  <c r="CN61" i="25"/>
  <c r="CN62" i="25"/>
  <c r="CN63" i="25"/>
  <c r="CN64" i="25"/>
  <c r="CN65" i="25"/>
  <c r="CN66" i="25"/>
  <c r="CN67" i="25"/>
  <c r="CN68" i="25"/>
  <c r="CN69" i="25"/>
  <c r="CO49" i="25"/>
  <c r="CO50" i="25"/>
  <c r="CO51" i="25"/>
  <c r="CO52" i="25"/>
  <c r="CO53" i="25"/>
  <c r="CO54" i="25"/>
  <c r="CO55" i="25"/>
  <c r="CO56" i="25"/>
  <c r="CO57" i="25"/>
  <c r="CO58" i="25"/>
  <c r="CO59" i="25"/>
  <c r="CO60" i="25"/>
  <c r="CO61" i="25"/>
  <c r="CO62" i="25"/>
  <c r="CO63" i="25"/>
  <c r="CO64" i="25"/>
  <c r="CO65" i="25"/>
  <c r="CO66" i="25"/>
  <c r="CO67" i="25"/>
  <c r="CO68" i="25"/>
  <c r="CO69" i="25"/>
  <c r="CP49" i="25"/>
  <c r="CP50" i="25"/>
  <c r="CP51" i="25"/>
  <c r="CP52" i="25"/>
  <c r="CP53" i="25"/>
  <c r="CP54" i="25"/>
  <c r="CP55" i="25"/>
  <c r="CP56" i="25"/>
  <c r="CP57" i="25"/>
  <c r="CP58" i="25"/>
  <c r="CP59" i="25"/>
  <c r="CP60" i="25"/>
  <c r="CP61" i="25"/>
  <c r="CP62" i="25"/>
  <c r="CP63" i="25"/>
  <c r="CP64" i="25"/>
  <c r="CP65" i="25"/>
  <c r="CP66" i="25"/>
  <c r="CP67" i="25"/>
  <c r="CP68" i="25"/>
  <c r="CP69" i="25"/>
  <c r="CQ50" i="25"/>
  <c r="CQ51" i="25"/>
  <c r="CQ52" i="25"/>
  <c r="CQ53" i="25"/>
  <c r="CQ55" i="25"/>
  <c r="CQ58" i="25"/>
  <c r="CQ60" i="25"/>
  <c r="CQ61" i="25"/>
  <c r="CQ63" i="25"/>
  <c r="CQ66" i="25"/>
  <c r="CQ67" i="25"/>
  <c r="CQ68" i="25"/>
  <c r="CQ69" i="25"/>
  <c r="CT49" i="25"/>
  <c r="CT50" i="25"/>
  <c r="CT51" i="25"/>
  <c r="CT52" i="25"/>
  <c r="CT53" i="25"/>
  <c r="CT54" i="25"/>
  <c r="CT55" i="25"/>
  <c r="CT56" i="25"/>
  <c r="CT57" i="25"/>
  <c r="CT58" i="25"/>
  <c r="CT59" i="25"/>
  <c r="CT60" i="25"/>
  <c r="CT61" i="25"/>
  <c r="CT62" i="25"/>
  <c r="CT63" i="25"/>
  <c r="CT64" i="25"/>
  <c r="CT65" i="25"/>
  <c r="CT66" i="25"/>
  <c r="CT67" i="25"/>
  <c r="CT68" i="25"/>
  <c r="CT69" i="25"/>
  <c r="CU49" i="25"/>
  <c r="CU50" i="25"/>
  <c r="CU51" i="25"/>
  <c r="CU52" i="25"/>
  <c r="CU53" i="25"/>
  <c r="CU54" i="25"/>
  <c r="CU55" i="25"/>
  <c r="CU56" i="25"/>
  <c r="CU57" i="25"/>
  <c r="CU58" i="25"/>
  <c r="CU59" i="25"/>
  <c r="CU60" i="25"/>
  <c r="CU61" i="25"/>
  <c r="CU62" i="25"/>
  <c r="CU63" i="25"/>
  <c r="CU64" i="25"/>
  <c r="CU65" i="25"/>
  <c r="CU66" i="25"/>
  <c r="CU67" i="25"/>
  <c r="CU68" i="25"/>
  <c r="CU69" i="25"/>
  <c r="CV49" i="25"/>
  <c r="CA49" i="25" s="1"/>
  <c r="CB49" i="25" s="1"/>
  <c r="CV50" i="25"/>
  <c r="CA50" i="25" s="1"/>
  <c r="CB50" i="25" s="1"/>
  <c r="CV51" i="25"/>
  <c r="CA51" i="25" s="1"/>
  <c r="CB51" i="25" s="1"/>
  <c r="CV52" i="25"/>
  <c r="CA52" i="25" s="1"/>
  <c r="CB52" i="25" s="1"/>
  <c r="CV53" i="25"/>
  <c r="CA53" i="25" s="1"/>
  <c r="CB53" i="25" s="1"/>
  <c r="CV54" i="25"/>
  <c r="CA54" i="25" s="1"/>
  <c r="CB54" i="25" s="1"/>
  <c r="CV55" i="25"/>
  <c r="CA55" i="25" s="1"/>
  <c r="CB55" i="25" s="1"/>
  <c r="CV56" i="25"/>
  <c r="CA56" i="25" s="1"/>
  <c r="CB56" i="25" s="1"/>
  <c r="CV57" i="25"/>
  <c r="CA57" i="25" s="1"/>
  <c r="CB57" i="25" s="1"/>
  <c r="CV58" i="25"/>
  <c r="CA58" i="25" s="1"/>
  <c r="CB58" i="25" s="1"/>
  <c r="CV59" i="25"/>
  <c r="CA59" i="25" s="1"/>
  <c r="CB59" i="25" s="1"/>
  <c r="CV60" i="25"/>
  <c r="CA60" i="25" s="1"/>
  <c r="CB60" i="25" s="1"/>
  <c r="CV61" i="25"/>
  <c r="CA61" i="25" s="1"/>
  <c r="CB61" i="25" s="1"/>
  <c r="CV62" i="25"/>
  <c r="CA62" i="25" s="1"/>
  <c r="CB62" i="25" s="1"/>
  <c r="CV63" i="25"/>
  <c r="CA63" i="25" s="1"/>
  <c r="CB63" i="25" s="1"/>
  <c r="CV64" i="25"/>
  <c r="CA64" i="25" s="1"/>
  <c r="CB64" i="25" s="1"/>
  <c r="CV65" i="25"/>
  <c r="CA65" i="25" s="1"/>
  <c r="CB65" i="25" s="1"/>
  <c r="CV66" i="25"/>
  <c r="CA66" i="25" s="1"/>
  <c r="CB66" i="25" s="1"/>
  <c r="CV67" i="25"/>
  <c r="CA67" i="25" s="1"/>
  <c r="CB67" i="25" s="1"/>
  <c r="CV68" i="25"/>
  <c r="CA68" i="25" s="1"/>
  <c r="CB68" i="25" s="1"/>
  <c r="CV69" i="25"/>
  <c r="CA69" i="25" s="1"/>
  <c r="CB69" i="25" s="1"/>
  <c r="CW49" i="25"/>
  <c r="CW50" i="25"/>
  <c r="CW51" i="25"/>
  <c r="CW52" i="25"/>
  <c r="CW53" i="25"/>
  <c r="CW54" i="25"/>
  <c r="CW55" i="25"/>
  <c r="CW56" i="25"/>
  <c r="CW57" i="25"/>
  <c r="CW58" i="25"/>
  <c r="CW59" i="25"/>
  <c r="CW60" i="25"/>
  <c r="CW61" i="25"/>
  <c r="CW62" i="25"/>
  <c r="CW63" i="25"/>
  <c r="CW64" i="25"/>
  <c r="CW65" i="25"/>
  <c r="CW66" i="25"/>
  <c r="CW67" i="25"/>
  <c r="CW68" i="25"/>
  <c r="CW69" i="25"/>
  <c r="CX49" i="25"/>
  <c r="CX50" i="25"/>
  <c r="CX51" i="25"/>
  <c r="CX52" i="25"/>
  <c r="CX53" i="25"/>
  <c r="CX54" i="25"/>
  <c r="CX55" i="25"/>
  <c r="CX56" i="25"/>
  <c r="CX57" i="25"/>
  <c r="CX58" i="25"/>
  <c r="CX59" i="25"/>
  <c r="CX60" i="25"/>
  <c r="CX61" i="25"/>
  <c r="CX62" i="25"/>
  <c r="CX63" i="25"/>
  <c r="CX64" i="25"/>
  <c r="CX65" i="25"/>
  <c r="CX66" i="25"/>
  <c r="CX67" i="25"/>
  <c r="CX68" i="25"/>
  <c r="CX69" i="25"/>
  <c r="CY49" i="25"/>
  <c r="CY50" i="25"/>
  <c r="CY51" i="25"/>
  <c r="CY52" i="25"/>
  <c r="CY53" i="25"/>
  <c r="CY54" i="25"/>
  <c r="CY55" i="25"/>
  <c r="CY56" i="25"/>
  <c r="CY57" i="25"/>
  <c r="CY58" i="25"/>
  <c r="CY59" i="25"/>
  <c r="CY60" i="25"/>
  <c r="CY61" i="25"/>
  <c r="CY62" i="25"/>
  <c r="CY63" i="25"/>
  <c r="CY64" i="25"/>
  <c r="CY65" i="25"/>
  <c r="CY66" i="25"/>
  <c r="CY67" i="25"/>
  <c r="CY68" i="25"/>
  <c r="CY69" i="25"/>
  <c r="CZ49" i="25"/>
  <c r="CZ50" i="25"/>
  <c r="CZ51" i="25"/>
  <c r="CZ52" i="25"/>
  <c r="CZ53" i="25"/>
  <c r="CZ54" i="25"/>
  <c r="CZ55" i="25"/>
  <c r="CZ56" i="25"/>
  <c r="CZ57" i="25"/>
  <c r="CZ58" i="25"/>
  <c r="CZ59" i="25"/>
  <c r="CZ60" i="25"/>
  <c r="CZ61" i="25"/>
  <c r="CZ62" i="25"/>
  <c r="CZ63" i="25"/>
  <c r="CZ64" i="25"/>
  <c r="CZ65" i="25"/>
  <c r="CZ66" i="25"/>
  <c r="CZ67" i="25"/>
  <c r="CZ68" i="25"/>
  <c r="CZ69" i="25"/>
  <c r="DA49" i="25"/>
  <c r="DA50" i="25"/>
  <c r="DA51" i="25"/>
  <c r="DA52" i="25"/>
  <c r="DA53" i="25"/>
  <c r="DA54" i="25"/>
  <c r="DA55" i="25"/>
  <c r="DA56" i="25"/>
  <c r="DA57" i="25"/>
  <c r="DA58" i="25"/>
  <c r="DA59" i="25"/>
  <c r="DA60" i="25"/>
  <c r="DA61" i="25"/>
  <c r="DA62" i="25"/>
  <c r="DA63" i="25"/>
  <c r="DA64" i="25"/>
  <c r="DA65" i="25"/>
  <c r="DA66" i="25"/>
  <c r="DA67" i="25"/>
  <c r="DA68" i="25"/>
  <c r="DA69" i="25"/>
  <c r="DB49" i="25"/>
  <c r="DB50" i="25"/>
  <c r="DB51" i="25"/>
  <c r="DB52" i="25"/>
  <c r="DB53" i="25"/>
  <c r="DB54" i="25"/>
  <c r="DB55" i="25"/>
  <c r="DB56" i="25"/>
  <c r="DB57" i="25"/>
  <c r="DB58" i="25"/>
  <c r="DB59" i="25"/>
  <c r="DB60" i="25"/>
  <c r="DB61" i="25"/>
  <c r="DB62" i="25"/>
  <c r="DB63" i="25"/>
  <c r="DB64" i="25"/>
  <c r="DB65" i="25"/>
  <c r="DB66" i="25"/>
  <c r="DB67" i="25"/>
  <c r="DB68" i="25"/>
  <c r="DB69" i="25"/>
  <c r="DJ49" i="25"/>
  <c r="DJ50" i="25"/>
  <c r="DJ51" i="25"/>
  <c r="DJ52" i="25"/>
  <c r="DJ53" i="25"/>
  <c r="DJ54" i="25"/>
  <c r="DJ55" i="25"/>
  <c r="DJ56" i="25"/>
  <c r="DJ57" i="25"/>
  <c r="DJ58" i="25"/>
  <c r="DJ59" i="25"/>
  <c r="DJ60" i="25"/>
  <c r="DJ61" i="25"/>
  <c r="DJ62" i="25"/>
  <c r="DJ63" i="25"/>
  <c r="DJ64" i="25"/>
  <c r="DJ65" i="25"/>
  <c r="DJ66" i="25"/>
  <c r="DJ67" i="25"/>
  <c r="DJ68" i="25"/>
  <c r="DJ69" i="25"/>
  <c r="DK49" i="25"/>
  <c r="DK50" i="25"/>
  <c r="DK51" i="25"/>
  <c r="DK52" i="25"/>
  <c r="DK53" i="25"/>
  <c r="DK54" i="25"/>
  <c r="DK55" i="25"/>
  <c r="DK56" i="25"/>
  <c r="DK57" i="25"/>
  <c r="DK58" i="25"/>
  <c r="DK59" i="25"/>
  <c r="DK60" i="25"/>
  <c r="DK61" i="25"/>
  <c r="DK62" i="25"/>
  <c r="DK63" i="25"/>
  <c r="DK64" i="25"/>
  <c r="DK65" i="25"/>
  <c r="DK66" i="25"/>
  <c r="DK67" i="25"/>
  <c r="DK68" i="25"/>
  <c r="DK69" i="25"/>
  <c r="CE7" i="25"/>
  <c r="CF7" i="25" s="1"/>
  <c r="CE8" i="25"/>
  <c r="CF8" i="25" s="1"/>
  <c r="CE9" i="25"/>
  <c r="CF9" i="25" s="1"/>
  <c r="CE10" i="25"/>
  <c r="CF10" i="25" s="1"/>
  <c r="CE11" i="25"/>
  <c r="CF11" i="25" s="1"/>
  <c r="CE12" i="25"/>
  <c r="CF12" i="25" s="1"/>
  <c r="CE13" i="25"/>
  <c r="CF13" i="25" s="1"/>
  <c r="CE14" i="25"/>
  <c r="CF14" i="25" s="1"/>
  <c r="CE15" i="25"/>
  <c r="CF15" i="25" s="1"/>
  <c r="CE16" i="25"/>
  <c r="CF16" i="25" s="1"/>
  <c r="CE17" i="25"/>
  <c r="CF17" i="25" s="1"/>
  <c r="CE18" i="25"/>
  <c r="CF18" i="25" s="1"/>
  <c r="CE19" i="25"/>
  <c r="CF19" i="25" s="1"/>
  <c r="CE20" i="25"/>
  <c r="CF20" i="25" s="1"/>
  <c r="CE21" i="25"/>
  <c r="CF21" i="25" s="1"/>
  <c r="CE22" i="25"/>
  <c r="CF22" i="25" s="1"/>
  <c r="CE23" i="25"/>
  <c r="CF23" i="25" s="1"/>
  <c r="CE24" i="25"/>
  <c r="CF24" i="25" s="1"/>
  <c r="CE25" i="25"/>
  <c r="CF25" i="25" s="1"/>
  <c r="CE26" i="25"/>
  <c r="CF26" i="25" s="1"/>
  <c r="CE27" i="25"/>
  <c r="CF27" i="25" s="1"/>
  <c r="CE28" i="25"/>
  <c r="CE29" i="25"/>
  <c r="CE30" i="25"/>
  <c r="CE31" i="25"/>
  <c r="CE32" i="25"/>
  <c r="CE33" i="25"/>
  <c r="CE34" i="25"/>
  <c r="CE35" i="25"/>
  <c r="CE36" i="25"/>
  <c r="CE37" i="25"/>
  <c r="CE38" i="25"/>
  <c r="CE39" i="25"/>
  <c r="CE40" i="25"/>
  <c r="CE41" i="25"/>
  <c r="CE42" i="25"/>
  <c r="CE43" i="25"/>
  <c r="CE44" i="25"/>
  <c r="CE45" i="25"/>
  <c r="CE46" i="25"/>
  <c r="CE47" i="25"/>
  <c r="CE48" i="25"/>
  <c r="BW28" i="25"/>
  <c r="BV28" i="25" s="1"/>
  <c r="BO28" i="25"/>
  <c r="K49" i="92"/>
  <c r="AC49" i="92"/>
  <c r="AA49" i="92"/>
  <c r="M49" i="92"/>
  <c r="K48" i="92"/>
  <c r="CM46" i="25" l="1"/>
  <c r="CF46" i="25"/>
  <c r="CM38" i="25"/>
  <c r="CF38" i="25"/>
  <c r="CM30" i="25"/>
  <c r="CF30" i="25"/>
  <c r="CM64" i="25"/>
  <c r="CF64" i="25"/>
  <c r="CM45" i="25"/>
  <c r="CF45" i="25"/>
  <c r="CM37" i="25"/>
  <c r="CF37" i="25"/>
  <c r="CM29" i="25"/>
  <c r="CF29" i="25"/>
  <c r="CM55" i="25"/>
  <c r="CF55" i="25"/>
  <c r="CM56" i="25"/>
  <c r="CF56" i="25"/>
  <c r="CM44" i="25"/>
  <c r="CF44" i="25"/>
  <c r="CM36" i="25"/>
  <c r="CF36" i="25"/>
  <c r="CM28" i="25"/>
  <c r="CF28" i="25"/>
  <c r="CM62" i="25"/>
  <c r="CF62" i="25"/>
  <c r="CM54" i="25"/>
  <c r="CF54" i="25"/>
  <c r="CM61" i="25"/>
  <c r="CF61" i="25"/>
  <c r="CM68" i="25"/>
  <c r="CF68" i="25"/>
  <c r="CM60" i="25"/>
  <c r="CF60" i="25"/>
  <c r="CM50" i="25"/>
  <c r="CF50" i="25"/>
  <c r="CM43" i="25"/>
  <c r="CF43" i="25"/>
  <c r="CM35" i="25"/>
  <c r="CF35" i="25"/>
  <c r="CM69" i="25"/>
  <c r="CF69" i="25"/>
  <c r="CM53" i="25"/>
  <c r="CF53" i="25"/>
  <c r="CM42" i="25"/>
  <c r="CF42" i="25"/>
  <c r="CM34" i="25"/>
  <c r="CF34" i="25"/>
  <c r="CM41" i="25"/>
  <c r="CF41" i="25"/>
  <c r="CM33" i="25"/>
  <c r="CF33" i="25"/>
  <c r="CM67" i="25"/>
  <c r="CF67" i="25"/>
  <c r="CM59" i="25"/>
  <c r="CF59" i="25"/>
  <c r="CM49" i="25"/>
  <c r="CF49" i="25"/>
  <c r="CM66" i="25"/>
  <c r="CF66" i="25"/>
  <c r="CM58" i="25"/>
  <c r="CF58" i="25"/>
  <c r="CM48" i="25"/>
  <c r="CF48" i="25"/>
  <c r="CM40" i="25"/>
  <c r="CF40" i="25"/>
  <c r="CM32" i="25"/>
  <c r="CF32" i="25"/>
  <c r="CM47" i="25"/>
  <c r="CF47" i="25"/>
  <c r="CM39" i="25"/>
  <c r="CF39" i="25"/>
  <c r="CM31" i="25"/>
  <c r="CF31" i="25"/>
  <c r="CM52" i="25"/>
  <c r="CF52" i="25"/>
  <c r="DE56" i="25"/>
  <c r="DE55" i="25"/>
  <c r="DE58" i="25"/>
  <c r="DE67" i="25"/>
  <c r="DE63" i="25"/>
  <c r="DE64" i="25"/>
  <c r="DE68" i="25"/>
  <c r="DE53" i="25"/>
  <c r="DE65" i="25"/>
  <c r="DE51" i="25"/>
  <c r="DE66" i="25"/>
  <c r="DE52" i="25"/>
  <c r="DE59" i="25"/>
  <c r="DE60" i="25"/>
  <c r="DE49" i="25"/>
  <c r="DE57" i="25"/>
  <c r="DE61" i="25"/>
  <c r="DE50" i="25"/>
  <c r="DE54" i="25"/>
  <c r="DE69" i="25"/>
  <c r="DE62" i="25"/>
  <c r="L49" i="92"/>
  <c r="AB49" i="92"/>
  <c r="CE51" i="25"/>
  <c r="BN66" i="25"/>
  <c r="BN58" i="25"/>
  <c r="BN50" i="25"/>
  <c r="BN64" i="25"/>
  <c r="BN56" i="25"/>
  <c r="BN69" i="25"/>
  <c r="BN61" i="25"/>
  <c r="BN53" i="25"/>
  <c r="CI53" i="25"/>
  <c r="CJ53" i="25" s="1"/>
  <c r="CK53" i="25" s="1"/>
  <c r="CL53" i="25" s="1"/>
  <c r="CI49" i="25"/>
  <c r="CJ49" i="25" s="1"/>
  <c r="CK49" i="25" s="1"/>
  <c r="CL49" i="25" s="1"/>
  <c r="CI62" i="25"/>
  <c r="CJ62" i="25" s="1"/>
  <c r="CK62" i="25" s="1"/>
  <c r="CL62" i="25" s="1"/>
  <c r="BU49" i="25"/>
  <c r="BR69" i="25"/>
  <c r="BS69" i="25" s="1"/>
  <c r="BR58" i="25"/>
  <c r="BS58" i="25" s="1"/>
  <c r="CI54" i="25"/>
  <c r="CJ54" i="25" s="1"/>
  <c r="CK54" i="25" s="1"/>
  <c r="CL54" i="25" s="1"/>
  <c r="BR50" i="25"/>
  <c r="BS50" i="25" s="1"/>
  <c r="BN65" i="25"/>
  <c r="BR49" i="25"/>
  <c r="BS49" i="25" s="1"/>
  <c r="CI52" i="25"/>
  <c r="CJ52" i="25" s="1"/>
  <c r="CK52" i="25" s="1"/>
  <c r="CL52" i="25" s="1"/>
  <c r="BU60" i="25"/>
  <c r="BU52" i="25"/>
  <c r="BP59" i="25"/>
  <c r="BQ59" i="25" s="1"/>
  <c r="BU59" i="25" s="1"/>
  <c r="BU63" i="25"/>
  <c r="BU62" i="25"/>
  <c r="BU54" i="25"/>
  <c r="BN67" i="25"/>
  <c r="BN59" i="25"/>
  <c r="BN51" i="25"/>
  <c r="CI64" i="25"/>
  <c r="CJ64" i="25" s="1"/>
  <c r="CK64" i="25" s="1"/>
  <c r="CL64" i="25" s="1"/>
  <c r="CI56" i="25"/>
  <c r="CJ56" i="25" s="1"/>
  <c r="CK56" i="25" s="1"/>
  <c r="CL56" i="25" s="1"/>
  <c r="CI63" i="25"/>
  <c r="CJ63" i="25" s="1"/>
  <c r="CK63" i="25" s="1"/>
  <c r="CL63" i="25" s="1"/>
  <c r="CI55" i="25"/>
  <c r="CJ55" i="25" s="1"/>
  <c r="CK55" i="25" s="1"/>
  <c r="CL55" i="25" s="1"/>
  <c r="CI68" i="25"/>
  <c r="CJ68" i="25" s="1"/>
  <c r="CK68" i="25" s="1"/>
  <c r="CL68" i="25" s="1"/>
  <c r="CI60" i="25"/>
  <c r="CJ60" i="25" s="1"/>
  <c r="CK60" i="25" s="1"/>
  <c r="CL60" i="25" s="1"/>
  <c r="BN52" i="25"/>
  <c r="BR51" i="25"/>
  <c r="BS51" i="25" s="1"/>
  <c r="BN49" i="25"/>
  <c r="BN57" i="25"/>
  <c r="BP57" i="25"/>
  <c r="BQ57" i="25" s="1"/>
  <c r="BU57" i="25" s="1"/>
  <c r="BR67" i="25"/>
  <c r="BS67" i="25" s="1"/>
  <c r="BN63" i="25"/>
  <c r="BN55" i="25"/>
  <c r="BN68" i="25"/>
  <c r="BR66" i="25"/>
  <c r="BS66" i="25" s="1"/>
  <c r="BR63" i="25"/>
  <c r="BS63" i="25" s="1"/>
  <c r="BU66" i="25"/>
  <c r="BR54" i="25"/>
  <c r="BS54" i="25" s="1"/>
  <c r="BR53" i="25"/>
  <c r="BS53" i="25" s="1"/>
  <c r="BP61" i="25"/>
  <c r="BQ61" i="25" s="1"/>
  <c r="BU61" i="25" s="1"/>
  <c r="BN60" i="25"/>
  <c r="BR62" i="25"/>
  <c r="BS62" i="25" s="1"/>
  <c r="BU65" i="25"/>
  <c r="CI65" i="25"/>
  <c r="CJ65" i="25" s="1"/>
  <c r="CK65" i="25" s="1"/>
  <c r="CL65" i="25" s="1"/>
  <c r="CI57" i="25"/>
  <c r="CJ57" i="25" s="1"/>
  <c r="CK57" i="25" s="1"/>
  <c r="CL57" i="25" s="1"/>
  <c r="BU64" i="25"/>
  <c r="CI69" i="25"/>
  <c r="CJ69" i="25" s="1"/>
  <c r="CK69" i="25" s="1"/>
  <c r="CL69" i="25" s="1"/>
  <c r="CI61" i="25"/>
  <c r="CJ61" i="25" s="1"/>
  <c r="CK61" i="25" s="1"/>
  <c r="CL61" i="25" s="1"/>
  <c r="BU68" i="25"/>
  <c r="CM65" i="25"/>
  <c r="CM63" i="25"/>
  <c r="BU51" i="25"/>
  <c r="BU53" i="25"/>
  <c r="BN62" i="25"/>
  <c r="BN54" i="25"/>
  <c r="CI67" i="25"/>
  <c r="CJ67" i="25" s="1"/>
  <c r="CK67" i="25" s="1"/>
  <c r="CL67" i="25" s="1"/>
  <c r="CI59" i="25"/>
  <c r="CJ59" i="25" s="1"/>
  <c r="CK59" i="25" s="1"/>
  <c r="CL59" i="25" s="1"/>
  <c r="CI51" i="25"/>
  <c r="BU58" i="25"/>
  <c r="BU50" i="25"/>
  <c r="BP56" i="25"/>
  <c r="BQ56" i="25" s="1"/>
  <c r="BU56" i="25" s="1"/>
  <c r="CM57" i="25"/>
  <c r="CI66" i="25"/>
  <c r="CJ66" i="25" s="1"/>
  <c r="CK66" i="25" s="1"/>
  <c r="CL66" i="25" s="1"/>
  <c r="CI58" i="25"/>
  <c r="CJ58" i="25" s="1"/>
  <c r="CK58" i="25" s="1"/>
  <c r="CL58" i="25" s="1"/>
  <c r="CI50" i="25"/>
  <c r="CJ50" i="25" s="1"/>
  <c r="CK50" i="25" s="1"/>
  <c r="CL50" i="25" s="1"/>
  <c r="BR65" i="25"/>
  <c r="BS65" i="25" s="1"/>
  <c r="BP55" i="25"/>
  <c r="BQ55" i="25" s="1"/>
  <c r="BU55" i="25" s="1"/>
  <c r="BR64" i="25"/>
  <c r="BS64" i="25" s="1"/>
  <c r="BU67" i="25"/>
  <c r="BU69" i="25"/>
  <c r="BR68" i="25"/>
  <c r="BS68" i="25" s="1"/>
  <c r="BR60" i="25"/>
  <c r="BS60" i="25" s="1"/>
  <c r="BR52" i="25"/>
  <c r="BS52" i="25" s="1"/>
  <c r="DD27" i="25"/>
  <c r="DC27" i="25"/>
  <c r="DD26" i="25"/>
  <c r="DC26" i="25"/>
  <c r="DD25" i="25"/>
  <c r="DC25" i="25"/>
  <c r="DD24" i="25"/>
  <c r="DC24" i="25"/>
  <c r="DD23" i="25"/>
  <c r="DC23" i="25"/>
  <c r="DD22" i="25"/>
  <c r="DC22" i="25"/>
  <c r="DD21" i="25"/>
  <c r="DC21" i="25"/>
  <c r="DD20" i="25"/>
  <c r="DC20" i="25"/>
  <c r="DD19" i="25"/>
  <c r="DC19" i="25"/>
  <c r="DD18" i="25"/>
  <c r="DC18" i="25"/>
  <c r="DD17" i="25"/>
  <c r="DC17" i="25"/>
  <c r="DD16" i="25"/>
  <c r="DC16" i="25"/>
  <c r="DD15" i="25"/>
  <c r="DC15" i="25"/>
  <c r="DD14" i="25"/>
  <c r="DC14" i="25"/>
  <c r="DD12" i="25"/>
  <c r="DC12" i="25"/>
  <c r="DD11" i="25"/>
  <c r="DC11" i="25"/>
  <c r="DD10" i="25"/>
  <c r="DC10" i="25"/>
  <c r="DD9" i="25"/>
  <c r="DC9" i="25"/>
  <c r="DD8" i="25"/>
  <c r="DC8" i="25"/>
  <c r="DD7" i="25"/>
  <c r="DC7" i="25"/>
  <c r="DD48" i="25"/>
  <c r="DC48" i="25"/>
  <c r="DD47" i="25"/>
  <c r="DC47" i="25"/>
  <c r="DD46" i="25"/>
  <c r="DC46" i="25"/>
  <c r="DD45" i="25"/>
  <c r="DC45" i="25"/>
  <c r="DD44" i="25"/>
  <c r="DC44" i="25"/>
  <c r="DD43" i="25"/>
  <c r="DC43" i="25"/>
  <c r="DD42" i="25"/>
  <c r="DC42" i="25"/>
  <c r="DD41" i="25"/>
  <c r="DC41" i="25"/>
  <c r="DD40" i="25"/>
  <c r="DC40" i="25"/>
  <c r="DD39" i="25"/>
  <c r="DC39" i="25"/>
  <c r="DD38" i="25"/>
  <c r="DC38" i="25"/>
  <c r="DD37" i="25"/>
  <c r="DC37" i="25"/>
  <c r="DD36" i="25"/>
  <c r="DC36" i="25"/>
  <c r="DD35" i="25"/>
  <c r="DC35" i="25"/>
  <c r="DD34" i="25"/>
  <c r="DC34" i="25"/>
  <c r="DD33" i="25"/>
  <c r="DC33" i="25"/>
  <c r="DD32" i="25"/>
  <c r="DC32" i="25"/>
  <c r="DD31" i="25"/>
  <c r="DC31" i="25"/>
  <c r="DD30" i="25"/>
  <c r="DC30" i="25"/>
  <c r="DD29" i="25"/>
  <c r="DC29" i="25"/>
  <c r="DD28" i="25"/>
  <c r="DC28" i="25"/>
  <c r="CM51" i="25" l="1"/>
  <c r="CF51" i="25"/>
  <c r="CJ51" i="25"/>
  <c r="CK51" i="25" s="1"/>
  <c r="CL51" i="25" s="1"/>
  <c r="DE25" i="25"/>
  <c r="DE21" i="25"/>
  <c r="DE14" i="25"/>
  <c r="DE15" i="25"/>
  <c r="DE16" i="25"/>
  <c r="DE46" i="25"/>
  <c r="DE12" i="25"/>
  <c r="DE17" i="25"/>
  <c r="DE18" i="25"/>
  <c r="DE22" i="25"/>
  <c r="DE8" i="25"/>
  <c r="DE24" i="25"/>
  <c r="DE9" i="25"/>
  <c r="DE10" i="25"/>
  <c r="DE26" i="25"/>
  <c r="DE19" i="25"/>
  <c r="DE41" i="25"/>
  <c r="DE45" i="25"/>
  <c r="DE7" i="25"/>
  <c r="DE11" i="25"/>
  <c r="DE27" i="25"/>
  <c r="DE20" i="25"/>
  <c r="DE23" i="25"/>
  <c r="DE47" i="25"/>
  <c r="DE32" i="25"/>
  <c r="DE40" i="25"/>
  <c r="DE48" i="25"/>
  <c r="DE39" i="25"/>
  <c r="DE38" i="25"/>
  <c r="DE31" i="25"/>
  <c r="DE35" i="25"/>
  <c r="DE43" i="25"/>
  <c r="DE33" i="25"/>
  <c r="DE28" i="25"/>
  <c r="DE42" i="25"/>
  <c r="DE29" i="25"/>
  <c r="DE36" i="25"/>
  <c r="DE30" i="25"/>
  <c r="DE37" i="25"/>
  <c r="DE44" i="25"/>
  <c r="DE34" i="25"/>
  <c r="K7" i="25" l="1"/>
  <c r="CG31" i="25"/>
  <c r="BO33" i="25"/>
  <c r="BR33" i="25" s="1"/>
  <c r="BS33" i="25" s="1"/>
  <c r="BO8" i="25"/>
  <c r="BO9" i="25"/>
  <c r="BO12" i="25"/>
  <c r="BO21" i="25"/>
  <c r="BO14" i="25"/>
  <c r="BO7" i="25"/>
  <c r="BO15" i="25"/>
  <c r="BO13" i="25"/>
  <c r="BO16" i="25"/>
  <c r="BO22" i="25"/>
  <c r="BO27" i="25"/>
  <c r="BO25" i="25"/>
  <c r="BO17" i="25"/>
  <c r="BO10" i="25"/>
  <c r="BO11" i="25"/>
  <c r="BO23" i="25"/>
  <c r="BO19" i="25"/>
  <c r="BO18" i="25"/>
  <c r="BO24" i="25"/>
  <c r="BO20" i="25"/>
  <c r="BO26" i="25"/>
  <c r="BP28" i="25"/>
  <c r="BQ28" i="25" s="1"/>
  <c r="BO38" i="25"/>
  <c r="BP38" i="25" s="1"/>
  <c r="BQ38" i="25" s="1"/>
  <c r="BO29" i="25"/>
  <c r="BR29" i="25" s="1"/>
  <c r="BS29" i="25" s="1"/>
  <c r="BO30" i="25"/>
  <c r="BP30" i="25" s="1"/>
  <c r="BQ30" i="25" s="1"/>
  <c r="BO31" i="25"/>
  <c r="BP31" i="25" s="1"/>
  <c r="BQ31" i="25" s="1"/>
  <c r="BO42" i="25"/>
  <c r="BR42" i="25" s="1"/>
  <c r="BS42" i="25" s="1"/>
  <c r="BO35" i="25"/>
  <c r="BR35" i="25" s="1"/>
  <c r="BS35" i="25" s="1"/>
  <c r="BO36" i="25"/>
  <c r="BR36" i="25" s="1"/>
  <c r="BS36" i="25" s="1"/>
  <c r="BO32" i="25"/>
  <c r="BP32" i="25" s="1"/>
  <c r="BQ32" i="25" s="1"/>
  <c r="BO43" i="25"/>
  <c r="BP43" i="25" s="1"/>
  <c r="BQ43" i="25" s="1"/>
  <c r="BO34" i="25"/>
  <c r="BP34" i="25" s="1"/>
  <c r="BQ34" i="25" s="1"/>
  <c r="BO46" i="25"/>
  <c r="BR46" i="25" s="1"/>
  <c r="BS46" i="25" s="1"/>
  <c r="BO37" i="25"/>
  <c r="BP37" i="25" s="1"/>
  <c r="BQ37" i="25" s="1"/>
  <c r="BO40" i="25"/>
  <c r="BP40" i="25" s="1"/>
  <c r="BQ40" i="25" s="1"/>
  <c r="BO41" i="25"/>
  <c r="BP41" i="25" s="1"/>
  <c r="BQ41" i="25" s="1"/>
  <c r="BO44" i="25"/>
  <c r="BR44" i="25" s="1"/>
  <c r="BS44" i="25" s="1"/>
  <c r="BO39" i="25"/>
  <c r="BP39" i="25" s="1"/>
  <c r="BQ39" i="25" s="1"/>
  <c r="BO45" i="25"/>
  <c r="BP45" i="25" s="1"/>
  <c r="BQ45" i="25" s="1"/>
  <c r="BO47" i="25"/>
  <c r="BR47" i="25" s="1"/>
  <c r="BS47" i="25" s="1"/>
  <c r="BO48" i="25"/>
  <c r="BP48" i="25" s="1"/>
  <c r="BQ48" i="25" s="1"/>
  <c r="BL29" i="25"/>
  <c r="BL30" i="25"/>
  <c r="BL31" i="25"/>
  <c r="BL42" i="25"/>
  <c r="BL35" i="25"/>
  <c r="BL28" i="25"/>
  <c r="BL36" i="25"/>
  <c r="BL32" i="25"/>
  <c r="BL33" i="25"/>
  <c r="BL43" i="25"/>
  <c r="BL34" i="25"/>
  <c r="BL46" i="25"/>
  <c r="BL38" i="25"/>
  <c r="BL37" i="25"/>
  <c r="BL40" i="25"/>
  <c r="BL41" i="25"/>
  <c r="BL44" i="25"/>
  <c r="BL39" i="25"/>
  <c r="BL45" i="25"/>
  <c r="BL47" i="25"/>
  <c r="BL48" i="25"/>
  <c r="BM29" i="25"/>
  <c r="BM30" i="25"/>
  <c r="BM31" i="25"/>
  <c r="BM42" i="25"/>
  <c r="BM35" i="25"/>
  <c r="BM28" i="25"/>
  <c r="BM36" i="25"/>
  <c r="BM32" i="25"/>
  <c r="BM33" i="25"/>
  <c r="BM43" i="25"/>
  <c r="BM34" i="25"/>
  <c r="BM46" i="25"/>
  <c r="BM38" i="25"/>
  <c r="BM37" i="25"/>
  <c r="BM40" i="25"/>
  <c r="BM41" i="25"/>
  <c r="BM44" i="25"/>
  <c r="BM39" i="25"/>
  <c r="BM45" i="25"/>
  <c r="BM47" i="25"/>
  <c r="BM48" i="25"/>
  <c r="BT29" i="25"/>
  <c r="BT30" i="25"/>
  <c r="BT31" i="25"/>
  <c r="BT42" i="25"/>
  <c r="BT35" i="25"/>
  <c r="BT28" i="25"/>
  <c r="BT36" i="25"/>
  <c r="BT32" i="25"/>
  <c r="BT33" i="25"/>
  <c r="BT43" i="25"/>
  <c r="BT34" i="25"/>
  <c r="BT46" i="25"/>
  <c r="BT38" i="25"/>
  <c r="BT37" i="25"/>
  <c r="BT40" i="25"/>
  <c r="BT41" i="25"/>
  <c r="BT44" i="25"/>
  <c r="BT39" i="25"/>
  <c r="BT45" i="25"/>
  <c r="BT47" i="25"/>
  <c r="BT48" i="25"/>
  <c r="BW29" i="25"/>
  <c r="BV29" i="25" s="1"/>
  <c r="CC29" i="25" s="1"/>
  <c r="BW30" i="25"/>
  <c r="BV30" i="25" s="1"/>
  <c r="CC30" i="25" s="1"/>
  <c r="BW31" i="25"/>
  <c r="BV31" i="25" s="1"/>
  <c r="CC31" i="25" s="1"/>
  <c r="BW42" i="25"/>
  <c r="BV42" i="25" s="1"/>
  <c r="CC42" i="25" s="1"/>
  <c r="BW35" i="25"/>
  <c r="BV35" i="25" s="1"/>
  <c r="CC35" i="25" s="1"/>
  <c r="CC28" i="25"/>
  <c r="BW36" i="25"/>
  <c r="BV36" i="25" s="1"/>
  <c r="CC36" i="25" s="1"/>
  <c r="BW32" i="25"/>
  <c r="BV32" i="25" s="1"/>
  <c r="CC32" i="25" s="1"/>
  <c r="BW33" i="25"/>
  <c r="BV33" i="25" s="1"/>
  <c r="CC33" i="25" s="1"/>
  <c r="BW43" i="25"/>
  <c r="BV43" i="25" s="1"/>
  <c r="CC43" i="25" s="1"/>
  <c r="BW34" i="25"/>
  <c r="BV34" i="25" s="1"/>
  <c r="CC34" i="25" s="1"/>
  <c r="BW46" i="25"/>
  <c r="BV46" i="25" s="1"/>
  <c r="CC46" i="25" s="1"/>
  <c r="BW38" i="25"/>
  <c r="BV38" i="25" s="1"/>
  <c r="CC38" i="25" s="1"/>
  <c r="BW37" i="25"/>
  <c r="BV37" i="25" s="1"/>
  <c r="CC37" i="25" s="1"/>
  <c r="BW40" i="25"/>
  <c r="BV40" i="25" s="1"/>
  <c r="CC40" i="25" s="1"/>
  <c r="BW41" i="25"/>
  <c r="BV41" i="25" s="1"/>
  <c r="CC41" i="25" s="1"/>
  <c r="BW44" i="25"/>
  <c r="BV44" i="25" s="1"/>
  <c r="CC44" i="25" s="1"/>
  <c r="BW39" i="25"/>
  <c r="BV39" i="25" s="1"/>
  <c r="CC39" i="25" s="1"/>
  <c r="BW45" i="25"/>
  <c r="BV45" i="25" s="1"/>
  <c r="CC45" i="25" s="1"/>
  <c r="BW47" i="25"/>
  <c r="BV47" i="25" s="1"/>
  <c r="CC47" i="25" s="1"/>
  <c r="BW48" i="25"/>
  <c r="BV48" i="25" s="1"/>
  <c r="CC48" i="25" s="1"/>
  <c r="BX29" i="25"/>
  <c r="BX30" i="25"/>
  <c r="BX31" i="25"/>
  <c r="BX42" i="25"/>
  <c r="BX35" i="25"/>
  <c r="BX28" i="25"/>
  <c r="BX36" i="25"/>
  <c r="BX32" i="25"/>
  <c r="BX33" i="25"/>
  <c r="BX43" i="25"/>
  <c r="BX34" i="25"/>
  <c r="BX46" i="25"/>
  <c r="BX38" i="25"/>
  <c r="BX37" i="25"/>
  <c r="BX40" i="25"/>
  <c r="BX41" i="25"/>
  <c r="BX44" i="25"/>
  <c r="BX39" i="25"/>
  <c r="BX45" i="25"/>
  <c r="BX47" i="25"/>
  <c r="BX48" i="25"/>
  <c r="BY29" i="25"/>
  <c r="CR29" i="25" s="1"/>
  <c r="BY30" i="25"/>
  <c r="CR30" i="25" s="1"/>
  <c r="BY31" i="25"/>
  <c r="CR31" i="25" s="1"/>
  <c r="BY42" i="25"/>
  <c r="CR42" i="25" s="1"/>
  <c r="BY35" i="25"/>
  <c r="CR35" i="25" s="1"/>
  <c r="BY28" i="25"/>
  <c r="CR28" i="25" s="1"/>
  <c r="BY36" i="25"/>
  <c r="CR36" i="25" s="1"/>
  <c r="BY32" i="25"/>
  <c r="CR32" i="25" s="1"/>
  <c r="BY33" i="25"/>
  <c r="CR33" i="25" s="1"/>
  <c r="BY43" i="25"/>
  <c r="CR43" i="25" s="1"/>
  <c r="BY34" i="25"/>
  <c r="CR34" i="25" s="1"/>
  <c r="BY46" i="25"/>
  <c r="CR46" i="25" s="1"/>
  <c r="BY38" i="25"/>
  <c r="CR38" i="25" s="1"/>
  <c r="BY37" i="25"/>
  <c r="CR37" i="25" s="1"/>
  <c r="BY40" i="25"/>
  <c r="CR40" i="25" s="1"/>
  <c r="BY41" i="25"/>
  <c r="CR41" i="25" s="1"/>
  <c r="BY44" i="25"/>
  <c r="CR44" i="25" s="1"/>
  <c r="BY39" i="25"/>
  <c r="CR39" i="25" s="1"/>
  <c r="BY45" i="25"/>
  <c r="CR45" i="25" s="1"/>
  <c r="BY47" i="25"/>
  <c r="CR47" i="25" s="1"/>
  <c r="BY48" i="25"/>
  <c r="CR48" i="25" s="1"/>
  <c r="BZ29" i="25"/>
  <c r="CS29" i="25" s="1"/>
  <c r="BZ30" i="25"/>
  <c r="CS30" i="25" s="1"/>
  <c r="BZ31" i="25"/>
  <c r="CS31" i="25" s="1"/>
  <c r="BZ42" i="25"/>
  <c r="CS42" i="25" s="1"/>
  <c r="BZ35" i="25"/>
  <c r="CS35" i="25" s="1"/>
  <c r="BZ28" i="25"/>
  <c r="CS28" i="25" s="1"/>
  <c r="BZ36" i="25"/>
  <c r="CS36" i="25" s="1"/>
  <c r="BZ32" i="25"/>
  <c r="CS32" i="25" s="1"/>
  <c r="BZ33" i="25"/>
  <c r="CS33" i="25" s="1"/>
  <c r="BZ43" i="25"/>
  <c r="CS43" i="25" s="1"/>
  <c r="BZ34" i="25"/>
  <c r="CS34" i="25" s="1"/>
  <c r="BZ46" i="25"/>
  <c r="CS46" i="25" s="1"/>
  <c r="BZ38" i="25"/>
  <c r="CS38" i="25" s="1"/>
  <c r="BZ37" i="25"/>
  <c r="CS37" i="25" s="1"/>
  <c r="BZ40" i="25"/>
  <c r="CS40" i="25" s="1"/>
  <c r="BZ41" i="25"/>
  <c r="CS41" i="25" s="1"/>
  <c r="BZ44" i="25"/>
  <c r="CS44" i="25" s="1"/>
  <c r="BZ39" i="25"/>
  <c r="CS39" i="25" s="1"/>
  <c r="BZ45" i="25"/>
  <c r="CS45" i="25" s="1"/>
  <c r="BZ47" i="25"/>
  <c r="CS47" i="25" s="1"/>
  <c r="BZ48" i="25"/>
  <c r="CS48" i="25" s="1"/>
  <c r="CD29" i="25"/>
  <c r="CD30" i="25"/>
  <c r="CD31" i="25"/>
  <c r="CD42" i="25"/>
  <c r="CD35" i="25"/>
  <c r="CD28" i="25"/>
  <c r="CD36" i="25"/>
  <c r="CD32" i="25"/>
  <c r="CD33" i="25"/>
  <c r="CD43" i="25"/>
  <c r="CD34" i="25"/>
  <c r="CD46" i="25"/>
  <c r="CD38" i="25"/>
  <c r="CD37" i="25"/>
  <c r="CD40" i="25"/>
  <c r="CD41" i="25"/>
  <c r="CD44" i="25"/>
  <c r="CD39" i="25"/>
  <c r="CD45" i="25"/>
  <c r="CD47" i="25"/>
  <c r="CD48" i="25"/>
  <c r="CG29" i="25"/>
  <c r="CG30" i="25"/>
  <c r="CG42" i="25"/>
  <c r="CG35" i="25"/>
  <c r="CG28" i="25"/>
  <c r="CG36" i="25"/>
  <c r="CG32" i="25"/>
  <c r="CG33" i="25"/>
  <c r="CG43" i="25"/>
  <c r="CG34" i="25"/>
  <c r="CG46" i="25"/>
  <c r="CG38" i="25"/>
  <c r="CG37" i="25"/>
  <c r="CG40" i="25"/>
  <c r="CG41" i="25"/>
  <c r="CG44" i="25"/>
  <c r="CG39" i="25"/>
  <c r="CG45" i="25"/>
  <c r="CG47" i="25"/>
  <c r="CG48" i="25"/>
  <c r="CH29" i="25"/>
  <c r="CH30" i="25"/>
  <c r="CH31" i="25"/>
  <c r="CH42" i="25"/>
  <c r="CH35" i="25"/>
  <c r="CH28" i="25"/>
  <c r="CH36" i="25"/>
  <c r="CH32" i="25"/>
  <c r="CH33" i="25"/>
  <c r="CH43" i="25"/>
  <c r="CH34" i="25"/>
  <c r="CH46" i="25"/>
  <c r="CH38" i="25"/>
  <c r="CH37" i="25"/>
  <c r="CH40" i="25"/>
  <c r="CH41" i="25"/>
  <c r="CH44" i="25"/>
  <c r="CH39" i="25"/>
  <c r="CH45" i="25"/>
  <c r="CH47" i="25"/>
  <c r="CH48" i="25"/>
  <c r="CN29" i="25"/>
  <c r="CN30" i="25"/>
  <c r="CN31" i="25"/>
  <c r="CN42" i="25"/>
  <c r="CN35" i="25"/>
  <c r="CN28" i="25"/>
  <c r="CN36" i="25"/>
  <c r="CN32" i="25"/>
  <c r="CN33" i="25"/>
  <c r="CN43" i="25"/>
  <c r="CN34" i="25"/>
  <c r="CN46" i="25"/>
  <c r="CN38" i="25"/>
  <c r="CN37" i="25"/>
  <c r="CN40" i="25"/>
  <c r="CN41" i="25"/>
  <c r="CN44" i="25"/>
  <c r="CN39" i="25"/>
  <c r="CN45" i="25"/>
  <c r="CN47" i="25"/>
  <c r="CN48" i="25"/>
  <c r="CO29" i="25"/>
  <c r="CO30" i="25"/>
  <c r="CO31" i="25"/>
  <c r="CO42" i="25"/>
  <c r="CO35" i="25"/>
  <c r="CO28" i="25"/>
  <c r="CO36" i="25"/>
  <c r="CO32" i="25"/>
  <c r="CO33" i="25"/>
  <c r="CO43" i="25"/>
  <c r="CO34" i="25"/>
  <c r="CO46" i="25"/>
  <c r="CO38" i="25"/>
  <c r="CO37" i="25"/>
  <c r="CO40" i="25"/>
  <c r="CO41" i="25"/>
  <c r="CO44" i="25"/>
  <c r="CO39" i="25"/>
  <c r="CO45" i="25"/>
  <c r="CO47" i="25"/>
  <c r="CO48" i="25"/>
  <c r="CP29" i="25"/>
  <c r="CP30" i="25"/>
  <c r="CP31" i="25"/>
  <c r="CP42" i="25"/>
  <c r="CP35" i="25"/>
  <c r="CP28" i="25"/>
  <c r="CP36" i="25"/>
  <c r="CP32" i="25"/>
  <c r="CP33" i="25"/>
  <c r="CP43" i="25"/>
  <c r="CP34" i="25"/>
  <c r="CP46" i="25"/>
  <c r="CP38" i="25"/>
  <c r="CP37" i="25"/>
  <c r="CP40" i="25"/>
  <c r="CP41" i="25"/>
  <c r="CP44" i="25"/>
  <c r="CP39" i="25"/>
  <c r="CP45" i="25"/>
  <c r="CP47" i="25"/>
  <c r="CP48" i="25"/>
  <c r="CQ29" i="25"/>
  <c r="CQ30" i="25"/>
  <c r="CQ31" i="25"/>
  <c r="CQ42" i="25"/>
  <c r="CQ35" i="25"/>
  <c r="CQ28" i="25"/>
  <c r="CQ36" i="25"/>
  <c r="CQ32" i="25"/>
  <c r="CQ33" i="25"/>
  <c r="CQ43" i="25"/>
  <c r="CQ34" i="25"/>
  <c r="CQ46" i="25"/>
  <c r="CQ38" i="25"/>
  <c r="CQ37" i="25"/>
  <c r="CQ40" i="25"/>
  <c r="CQ41" i="25"/>
  <c r="CQ44" i="25"/>
  <c r="CQ39" i="25"/>
  <c r="CQ45" i="25"/>
  <c r="CQ47" i="25"/>
  <c r="CQ48" i="25"/>
  <c r="CT29" i="25"/>
  <c r="CT30" i="25"/>
  <c r="CT31" i="25"/>
  <c r="CT42" i="25"/>
  <c r="CT35" i="25"/>
  <c r="CT28" i="25"/>
  <c r="CT36" i="25"/>
  <c r="CT32" i="25"/>
  <c r="CT33" i="25"/>
  <c r="CT43" i="25"/>
  <c r="CT34" i="25"/>
  <c r="CT46" i="25"/>
  <c r="CT38" i="25"/>
  <c r="CT37" i="25"/>
  <c r="CT40" i="25"/>
  <c r="CT41" i="25"/>
  <c r="CT44" i="25"/>
  <c r="CT39" i="25"/>
  <c r="CT45" i="25"/>
  <c r="CT47" i="25"/>
  <c r="CT48" i="25"/>
  <c r="CU29" i="25"/>
  <c r="CU30" i="25"/>
  <c r="CU31" i="25"/>
  <c r="CU42" i="25"/>
  <c r="CU35" i="25"/>
  <c r="CU28" i="25"/>
  <c r="CU36" i="25"/>
  <c r="CU32" i="25"/>
  <c r="CU33" i="25"/>
  <c r="CU43" i="25"/>
  <c r="CU34" i="25"/>
  <c r="CU46" i="25"/>
  <c r="CU38" i="25"/>
  <c r="CU37" i="25"/>
  <c r="CU40" i="25"/>
  <c r="CU41" i="25"/>
  <c r="CU44" i="25"/>
  <c r="CU39" i="25"/>
  <c r="CU45" i="25"/>
  <c r="CU47" i="25"/>
  <c r="CU48" i="25"/>
  <c r="CV29" i="25"/>
  <c r="CA29" i="25" s="1"/>
  <c r="CB29" i="25" s="1"/>
  <c r="CV30" i="25"/>
  <c r="CA30" i="25" s="1"/>
  <c r="CB30" i="25" s="1"/>
  <c r="CV31" i="25"/>
  <c r="CA31" i="25" s="1"/>
  <c r="CB31" i="25" s="1"/>
  <c r="CV42" i="25"/>
  <c r="CA42" i="25" s="1"/>
  <c r="CB42" i="25" s="1"/>
  <c r="CV35" i="25"/>
  <c r="CA35" i="25" s="1"/>
  <c r="CB35" i="25" s="1"/>
  <c r="CV28" i="25"/>
  <c r="CA28" i="25" s="1"/>
  <c r="CB28" i="25" s="1"/>
  <c r="CV36" i="25"/>
  <c r="CA36" i="25" s="1"/>
  <c r="CB36" i="25" s="1"/>
  <c r="CV32" i="25"/>
  <c r="CA32" i="25" s="1"/>
  <c r="CB32" i="25" s="1"/>
  <c r="CV33" i="25"/>
  <c r="CA33" i="25" s="1"/>
  <c r="CB33" i="25" s="1"/>
  <c r="CV43" i="25"/>
  <c r="CA43" i="25" s="1"/>
  <c r="CB43" i="25" s="1"/>
  <c r="CV34" i="25"/>
  <c r="CA34" i="25" s="1"/>
  <c r="CB34" i="25" s="1"/>
  <c r="CV46" i="25"/>
  <c r="CA46" i="25" s="1"/>
  <c r="CB46" i="25" s="1"/>
  <c r="CV38" i="25"/>
  <c r="CA38" i="25" s="1"/>
  <c r="CB38" i="25" s="1"/>
  <c r="CV37" i="25"/>
  <c r="CA37" i="25" s="1"/>
  <c r="CB37" i="25" s="1"/>
  <c r="CV40" i="25"/>
  <c r="CA40" i="25" s="1"/>
  <c r="CB40" i="25" s="1"/>
  <c r="CV41" i="25"/>
  <c r="CA41" i="25" s="1"/>
  <c r="CB41" i="25" s="1"/>
  <c r="CV44" i="25"/>
  <c r="CA44" i="25" s="1"/>
  <c r="CB44" i="25" s="1"/>
  <c r="CV39" i="25"/>
  <c r="CA39" i="25" s="1"/>
  <c r="CB39" i="25" s="1"/>
  <c r="CV45" i="25"/>
  <c r="CA45" i="25" s="1"/>
  <c r="CB45" i="25" s="1"/>
  <c r="CV47" i="25"/>
  <c r="CA47" i="25" s="1"/>
  <c r="CB47" i="25" s="1"/>
  <c r="CV48" i="25"/>
  <c r="CA48" i="25" s="1"/>
  <c r="CB48" i="25" s="1"/>
  <c r="CW29" i="25"/>
  <c r="CW30" i="25"/>
  <c r="CW31" i="25"/>
  <c r="CW42" i="25"/>
  <c r="CW35" i="25"/>
  <c r="CW28" i="25"/>
  <c r="CW36" i="25"/>
  <c r="CW32" i="25"/>
  <c r="CW33" i="25"/>
  <c r="CW43" i="25"/>
  <c r="CW34" i="25"/>
  <c r="CW46" i="25"/>
  <c r="CW38" i="25"/>
  <c r="CW37" i="25"/>
  <c r="CW40" i="25"/>
  <c r="CW41" i="25"/>
  <c r="CW44" i="25"/>
  <c r="CW39" i="25"/>
  <c r="CW45" i="25"/>
  <c r="CW47" i="25"/>
  <c r="CW48" i="25"/>
  <c r="CX29" i="25"/>
  <c r="CX30" i="25"/>
  <c r="CX31" i="25"/>
  <c r="CX42" i="25"/>
  <c r="CX35" i="25"/>
  <c r="CX28" i="25"/>
  <c r="CX36" i="25"/>
  <c r="CX32" i="25"/>
  <c r="CX33" i="25"/>
  <c r="CX43" i="25"/>
  <c r="CX34" i="25"/>
  <c r="CX46" i="25"/>
  <c r="CX38" i="25"/>
  <c r="CX37" i="25"/>
  <c r="CX40" i="25"/>
  <c r="CX41" i="25"/>
  <c r="CX44" i="25"/>
  <c r="CX39" i="25"/>
  <c r="CX45" i="25"/>
  <c r="CX47" i="25"/>
  <c r="CX48" i="25"/>
  <c r="CY29" i="25"/>
  <c r="CY30" i="25"/>
  <c r="CY31" i="25"/>
  <c r="CY42" i="25"/>
  <c r="CY35" i="25"/>
  <c r="CY28" i="25"/>
  <c r="CY36" i="25"/>
  <c r="CY32" i="25"/>
  <c r="CY33" i="25"/>
  <c r="CY43" i="25"/>
  <c r="CY34" i="25"/>
  <c r="CY46" i="25"/>
  <c r="CY38" i="25"/>
  <c r="CY37" i="25"/>
  <c r="CY40" i="25"/>
  <c r="CY41" i="25"/>
  <c r="CY44" i="25"/>
  <c r="CY39" i="25"/>
  <c r="CY45" i="25"/>
  <c r="CY47" i="25"/>
  <c r="CY48" i="25"/>
  <c r="CZ29" i="25"/>
  <c r="CZ30" i="25"/>
  <c r="CZ31" i="25"/>
  <c r="CZ42" i="25"/>
  <c r="CZ35" i="25"/>
  <c r="CZ28" i="25"/>
  <c r="CZ36" i="25"/>
  <c r="CZ32" i="25"/>
  <c r="CZ33" i="25"/>
  <c r="CZ43" i="25"/>
  <c r="CZ34" i="25"/>
  <c r="CZ46" i="25"/>
  <c r="CZ38" i="25"/>
  <c r="CZ37" i="25"/>
  <c r="CZ40" i="25"/>
  <c r="CZ41" i="25"/>
  <c r="CZ44" i="25"/>
  <c r="CZ39" i="25"/>
  <c r="CZ45" i="25"/>
  <c r="CZ47" i="25"/>
  <c r="CZ48" i="25"/>
  <c r="DA29" i="25"/>
  <c r="DA30" i="25"/>
  <c r="DA31" i="25"/>
  <c r="DA42" i="25"/>
  <c r="DA35" i="25"/>
  <c r="DA28" i="25"/>
  <c r="DA36" i="25"/>
  <c r="DA32" i="25"/>
  <c r="DA33" i="25"/>
  <c r="DA43" i="25"/>
  <c r="DA34" i="25"/>
  <c r="DA46" i="25"/>
  <c r="DA38" i="25"/>
  <c r="DA37" i="25"/>
  <c r="DA40" i="25"/>
  <c r="DA41" i="25"/>
  <c r="DA44" i="25"/>
  <c r="DA39" i="25"/>
  <c r="DA45" i="25"/>
  <c r="DA47" i="25"/>
  <c r="DA48" i="25"/>
  <c r="DB29" i="25"/>
  <c r="DB30" i="25"/>
  <c r="DB31" i="25"/>
  <c r="DB42" i="25"/>
  <c r="DB35" i="25"/>
  <c r="DB28" i="25"/>
  <c r="DB36" i="25"/>
  <c r="DB32" i="25"/>
  <c r="DB33" i="25"/>
  <c r="DB43" i="25"/>
  <c r="DB34" i="25"/>
  <c r="DB46" i="25"/>
  <c r="DB38" i="25"/>
  <c r="DB37" i="25"/>
  <c r="DB40" i="25"/>
  <c r="DB41" i="25"/>
  <c r="DB44" i="25"/>
  <c r="DB39" i="25"/>
  <c r="DB45" i="25"/>
  <c r="DB47" i="25"/>
  <c r="DB48" i="25"/>
  <c r="DJ29" i="25"/>
  <c r="DJ30" i="25"/>
  <c r="DJ31" i="25"/>
  <c r="DJ42" i="25"/>
  <c r="DJ35" i="25"/>
  <c r="DJ28" i="25"/>
  <c r="DJ36" i="25"/>
  <c r="DJ32" i="25"/>
  <c r="DJ33" i="25"/>
  <c r="DJ43" i="25"/>
  <c r="DJ34" i="25"/>
  <c r="DJ46" i="25"/>
  <c r="DJ38" i="25"/>
  <c r="DJ37" i="25"/>
  <c r="DJ40" i="25"/>
  <c r="DJ41" i="25"/>
  <c r="DJ44" i="25"/>
  <c r="DJ39" i="25"/>
  <c r="DJ45" i="25"/>
  <c r="DJ47" i="25"/>
  <c r="DJ48" i="25"/>
  <c r="DK29" i="25"/>
  <c r="DK30" i="25"/>
  <c r="DK31" i="25"/>
  <c r="DK42" i="25"/>
  <c r="DK35" i="25"/>
  <c r="DK28" i="25"/>
  <c r="DK36" i="25"/>
  <c r="DK32" i="25"/>
  <c r="DK33" i="25"/>
  <c r="DK43" i="25"/>
  <c r="DK34" i="25"/>
  <c r="DK46" i="25"/>
  <c r="DK38" i="25"/>
  <c r="DK37" i="25"/>
  <c r="DK40" i="25"/>
  <c r="DK41" i="25"/>
  <c r="DK44" i="25"/>
  <c r="DK39" i="25"/>
  <c r="DK45" i="25"/>
  <c r="DK47" i="25"/>
  <c r="DK48" i="25"/>
  <c r="AA47" i="92"/>
  <c r="M48" i="92"/>
  <c r="AC48" i="92"/>
  <c r="AC47" i="92"/>
  <c r="AA48" i="92"/>
  <c r="K47" i="92"/>
  <c r="M47" i="92"/>
  <c r="AB48" i="92" l="1"/>
  <c r="L48" i="92"/>
  <c r="CI41" i="25"/>
  <c r="CJ41" i="25" s="1"/>
  <c r="CK41" i="25" s="1"/>
  <c r="CL41" i="25" s="1"/>
  <c r="CI32" i="25"/>
  <c r="CJ32" i="25" s="1"/>
  <c r="CK32" i="25" s="1"/>
  <c r="CL32" i="25" s="1"/>
  <c r="BU30" i="25"/>
  <c r="BN45" i="25"/>
  <c r="BN34" i="25"/>
  <c r="BU43" i="25"/>
  <c r="BP46" i="25"/>
  <c r="BQ46" i="25" s="1"/>
  <c r="BU46" i="25" s="1"/>
  <c r="BU39" i="25"/>
  <c r="CI34" i="25"/>
  <c r="CJ34" i="25" s="1"/>
  <c r="CK34" i="25" s="1"/>
  <c r="CL34" i="25" s="1"/>
  <c r="BN31" i="25"/>
  <c r="CI37" i="25"/>
  <c r="CJ37" i="25" s="1"/>
  <c r="CK37" i="25" s="1"/>
  <c r="CL37" i="25" s="1"/>
  <c r="BN40" i="25"/>
  <c r="BN39" i="25"/>
  <c r="BN43" i="25"/>
  <c r="BN30" i="25"/>
  <c r="BN36" i="25"/>
  <c r="BP36" i="25"/>
  <c r="BQ36" i="25" s="1"/>
  <c r="BU36" i="25" s="1"/>
  <c r="BN33" i="25"/>
  <c r="CI45" i="25"/>
  <c r="CJ45" i="25" s="1"/>
  <c r="CK45" i="25" s="1"/>
  <c r="CL45" i="25" s="1"/>
  <c r="CI31" i="25"/>
  <c r="CJ31" i="25" s="1"/>
  <c r="CK31" i="25" s="1"/>
  <c r="CL31" i="25" s="1"/>
  <c r="CI40" i="25"/>
  <c r="CJ40" i="25" s="1"/>
  <c r="CK40" i="25" s="1"/>
  <c r="CL40" i="25" s="1"/>
  <c r="BN37" i="25"/>
  <c r="BP29" i="25"/>
  <c r="BQ29" i="25" s="1"/>
  <c r="BU29" i="25" s="1"/>
  <c r="BR48" i="25"/>
  <c r="BS48" i="25" s="1"/>
  <c r="BP33" i="25"/>
  <c r="BQ33" i="25" s="1"/>
  <c r="BU33" i="25" s="1"/>
  <c r="BR38" i="25"/>
  <c r="BS38" i="25" s="1"/>
  <c r="BN28" i="25"/>
  <c r="BP35" i="25"/>
  <c r="BQ35" i="25" s="1"/>
  <c r="BU35" i="25" s="1"/>
  <c r="BU41" i="25"/>
  <c r="CI44" i="25"/>
  <c r="CJ44" i="25" s="1"/>
  <c r="CK44" i="25" s="1"/>
  <c r="CL44" i="25" s="1"/>
  <c r="CI33" i="25"/>
  <c r="CJ33" i="25" s="1"/>
  <c r="CK33" i="25" s="1"/>
  <c r="CL33" i="25" s="1"/>
  <c r="BU38" i="25"/>
  <c r="BP42" i="25"/>
  <c r="BQ42" i="25" s="1"/>
  <c r="BU42" i="25" s="1"/>
  <c r="BU40" i="25"/>
  <c r="BR41" i="25"/>
  <c r="BS41" i="25" s="1"/>
  <c r="CI28" i="25"/>
  <c r="CJ28" i="25" s="1"/>
  <c r="CK28" i="25" s="1"/>
  <c r="CL28" i="25" s="1"/>
  <c r="BR32" i="25"/>
  <c r="BS32" i="25" s="1"/>
  <c r="CI39" i="25"/>
  <c r="CJ39" i="25" s="1"/>
  <c r="CK39" i="25" s="1"/>
  <c r="CL39" i="25" s="1"/>
  <c r="BN44" i="25"/>
  <c r="BN29" i="25"/>
  <c r="CI47" i="25"/>
  <c r="CJ47" i="25" s="1"/>
  <c r="CK47" i="25" s="1"/>
  <c r="CL47" i="25" s="1"/>
  <c r="CI46" i="25"/>
  <c r="CJ46" i="25" s="1"/>
  <c r="CK46" i="25" s="1"/>
  <c r="CL46" i="25" s="1"/>
  <c r="CI42" i="25"/>
  <c r="CJ42" i="25" s="1"/>
  <c r="CK42" i="25" s="1"/>
  <c r="CL42" i="25" s="1"/>
  <c r="BU48" i="25"/>
  <c r="BR45" i="25"/>
  <c r="BS45" i="25" s="1"/>
  <c r="BR31" i="25"/>
  <c r="BS31" i="25" s="1"/>
  <c r="BP47" i="25"/>
  <c r="BQ47" i="25" s="1"/>
  <c r="BU47" i="25" s="1"/>
  <c r="CI48" i="25"/>
  <c r="CJ48" i="25" s="1"/>
  <c r="CK48" i="25" s="1"/>
  <c r="CL48" i="25" s="1"/>
  <c r="CI38" i="25"/>
  <c r="CJ38" i="25" s="1"/>
  <c r="CK38" i="25" s="1"/>
  <c r="CL38" i="25" s="1"/>
  <c r="CI35" i="25"/>
  <c r="CJ35" i="25" s="1"/>
  <c r="CK35" i="25" s="1"/>
  <c r="CL35" i="25" s="1"/>
  <c r="CI43" i="25"/>
  <c r="CJ43" i="25" s="1"/>
  <c r="CK43" i="25" s="1"/>
  <c r="CL43" i="25" s="1"/>
  <c r="CI30" i="25"/>
  <c r="CJ30" i="25" s="1"/>
  <c r="CK30" i="25" s="1"/>
  <c r="CL30" i="25" s="1"/>
  <c r="BR40" i="25"/>
  <c r="BS40" i="25" s="1"/>
  <c r="BP44" i="25"/>
  <c r="BQ44" i="25" s="1"/>
  <c r="BU44" i="25" s="1"/>
  <c r="BN41" i="25"/>
  <c r="BN32" i="25"/>
  <c r="BN48" i="25"/>
  <c r="BN38" i="25"/>
  <c r="BN35" i="25"/>
  <c r="CI29" i="25"/>
  <c r="CJ29" i="25" s="1"/>
  <c r="CK29" i="25" s="1"/>
  <c r="CL29" i="25" s="1"/>
  <c r="BN47" i="25"/>
  <c r="BN46" i="25"/>
  <c r="BN42" i="25"/>
  <c r="BR34" i="25"/>
  <c r="BS34" i="25" s="1"/>
  <c r="BU37" i="25"/>
  <c r="BU28" i="25"/>
  <c r="CI36" i="25"/>
  <c r="CJ36" i="25" s="1"/>
  <c r="CK36" i="25" s="1"/>
  <c r="CL36" i="25" s="1"/>
  <c r="BU32" i="25"/>
  <c r="BU45" i="25"/>
  <c r="BU34" i="25"/>
  <c r="BU31" i="25"/>
  <c r="BR39" i="25"/>
  <c r="BS39" i="25" s="1"/>
  <c r="BR43" i="25"/>
  <c r="BS43" i="25" s="1"/>
  <c r="BR30" i="25"/>
  <c r="BS30" i="25" s="1"/>
  <c r="BR37" i="25"/>
  <c r="BS37" i="25" s="1"/>
  <c r="BR28" i="25"/>
  <c r="BS28" i="25" s="1"/>
  <c r="Q34" i="89" l="1"/>
  <c r="Q35" i="89"/>
  <c r="Q36" i="89"/>
  <c r="Q37" i="89"/>
  <c r="N2" i="128"/>
  <c r="O2" i="89" s="1"/>
  <c r="K2" i="128"/>
  <c r="L2" i="89" s="1"/>
  <c r="L2" i="128"/>
  <c r="M2" i="89" s="1"/>
  <c r="M2" i="128"/>
  <c r="N2" i="89" s="1"/>
  <c r="CG17" i="25"/>
  <c r="BL8" i="25"/>
  <c r="BL14" i="25"/>
  <c r="BL7" i="25"/>
  <c r="BL9" i="25"/>
  <c r="BL10" i="25"/>
  <c r="BL11" i="25"/>
  <c r="BL15" i="25"/>
  <c r="BL17" i="25"/>
  <c r="BL18" i="25"/>
  <c r="BL24" i="25"/>
  <c r="BM8" i="25"/>
  <c r="BM14" i="25"/>
  <c r="BM7" i="25"/>
  <c r="BM9" i="25"/>
  <c r="BM10" i="25"/>
  <c r="BM11" i="25"/>
  <c r="BM15" i="25"/>
  <c r="BM17" i="25"/>
  <c r="BM18" i="25"/>
  <c r="BM24" i="25"/>
  <c r="BP8" i="25"/>
  <c r="BQ8" i="25" s="1"/>
  <c r="BP14" i="25"/>
  <c r="BQ14" i="25" s="1"/>
  <c r="BP7" i="25"/>
  <c r="BQ7" i="25" s="1"/>
  <c r="BP9" i="25"/>
  <c r="BQ9" i="25" s="1"/>
  <c r="BP10" i="25"/>
  <c r="BQ10" i="25" s="1"/>
  <c r="BP11" i="25"/>
  <c r="BQ11" i="25" s="1"/>
  <c r="BP15" i="25"/>
  <c r="BQ15" i="25" s="1"/>
  <c r="BP17" i="25"/>
  <c r="BQ17" i="25" s="1"/>
  <c r="BP18" i="25"/>
  <c r="BQ18" i="25" s="1"/>
  <c r="BR24" i="25"/>
  <c r="BS24" i="25" s="1"/>
  <c r="BT8" i="25"/>
  <c r="BT14" i="25"/>
  <c r="BT7" i="25"/>
  <c r="BT9" i="25"/>
  <c r="BT10" i="25"/>
  <c r="BT11" i="25"/>
  <c r="BT15" i="25"/>
  <c r="BT17" i="25"/>
  <c r="BT18" i="25"/>
  <c r="BT24" i="25"/>
  <c r="BW8" i="25"/>
  <c r="BV8" i="25" s="1"/>
  <c r="CC8" i="25" s="1"/>
  <c r="BW14" i="25"/>
  <c r="BV14" i="25" s="1"/>
  <c r="CC14" i="25" s="1"/>
  <c r="BW7" i="25"/>
  <c r="BV7" i="25" s="1"/>
  <c r="CC7" i="25" s="1"/>
  <c r="BW9" i="25"/>
  <c r="BV9" i="25" s="1"/>
  <c r="CC9" i="25" s="1"/>
  <c r="BW10" i="25"/>
  <c r="BV10" i="25" s="1"/>
  <c r="CC10" i="25" s="1"/>
  <c r="BW11" i="25"/>
  <c r="BV11" i="25" s="1"/>
  <c r="CC11" i="25" s="1"/>
  <c r="BW15" i="25"/>
  <c r="BV15" i="25" s="1"/>
  <c r="CC15" i="25" s="1"/>
  <c r="BW17" i="25"/>
  <c r="BV17" i="25" s="1"/>
  <c r="CC17" i="25" s="1"/>
  <c r="BW18" i="25"/>
  <c r="BV18" i="25" s="1"/>
  <c r="CC18" i="25" s="1"/>
  <c r="BW24" i="25"/>
  <c r="BV24" i="25" s="1"/>
  <c r="CC24" i="25" s="1"/>
  <c r="BX8" i="25"/>
  <c r="BX14" i="25"/>
  <c r="BX7" i="25"/>
  <c r="BX9" i="25"/>
  <c r="BX10" i="25"/>
  <c r="BX11" i="25"/>
  <c r="BX15" i="25"/>
  <c r="BX17" i="25"/>
  <c r="BX18" i="25"/>
  <c r="BX24" i="25"/>
  <c r="BY8" i="25"/>
  <c r="CR8" i="25" s="1"/>
  <c r="BY14" i="25"/>
  <c r="CR14" i="25" s="1"/>
  <c r="BY7" i="25"/>
  <c r="CR7" i="25" s="1"/>
  <c r="BY9" i="25"/>
  <c r="CR9" i="25" s="1"/>
  <c r="BY10" i="25"/>
  <c r="CR10" i="25" s="1"/>
  <c r="BY11" i="25"/>
  <c r="CR11" i="25" s="1"/>
  <c r="BY15" i="25"/>
  <c r="CR15" i="25" s="1"/>
  <c r="BY17" i="25"/>
  <c r="CR17" i="25" s="1"/>
  <c r="BY18" i="25"/>
  <c r="CR18" i="25" s="1"/>
  <c r="BY24" i="25"/>
  <c r="CR24" i="25" s="1"/>
  <c r="BZ8" i="25"/>
  <c r="CS8" i="25" s="1"/>
  <c r="BZ14" i="25"/>
  <c r="CS14" i="25" s="1"/>
  <c r="BZ7" i="25"/>
  <c r="CS7" i="25" s="1"/>
  <c r="BZ9" i="25"/>
  <c r="CS9" i="25" s="1"/>
  <c r="BZ10" i="25"/>
  <c r="CS10" i="25" s="1"/>
  <c r="BZ11" i="25"/>
  <c r="CS11" i="25" s="1"/>
  <c r="BZ15" i="25"/>
  <c r="CS15" i="25" s="1"/>
  <c r="BZ17" i="25"/>
  <c r="CS17" i="25" s="1"/>
  <c r="BZ18" i="25"/>
  <c r="CS18" i="25" s="1"/>
  <c r="BZ24" i="25"/>
  <c r="CS24" i="25" s="1"/>
  <c r="CD8" i="25"/>
  <c r="CD14" i="25"/>
  <c r="CD7" i="25"/>
  <c r="CD9" i="25"/>
  <c r="CD10" i="25"/>
  <c r="CD11" i="25"/>
  <c r="CD15" i="25"/>
  <c r="CD17" i="25"/>
  <c r="CD18" i="25"/>
  <c r="CD24" i="25"/>
  <c r="CM8" i="25"/>
  <c r="CM14" i="25"/>
  <c r="CM7" i="25"/>
  <c r="CM9" i="25"/>
  <c r="CM10" i="25"/>
  <c r="CM11" i="25"/>
  <c r="CM15" i="25"/>
  <c r="CM17" i="25"/>
  <c r="CM18" i="25"/>
  <c r="CM24" i="25"/>
  <c r="CG8" i="25"/>
  <c r="CG14" i="25"/>
  <c r="CG7" i="25"/>
  <c r="CG9" i="25"/>
  <c r="CG10" i="25"/>
  <c r="CG11" i="25"/>
  <c r="CG15" i="25"/>
  <c r="CG18" i="25"/>
  <c r="CG24" i="25"/>
  <c r="CH8" i="25"/>
  <c r="CH14" i="25"/>
  <c r="CH7" i="25"/>
  <c r="CH9" i="25"/>
  <c r="CH10" i="25"/>
  <c r="CH11" i="25"/>
  <c r="CH15" i="25"/>
  <c r="CH17" i="25"/>
  <c r="CH18" i="25"/>
  <c r="CH24" i="25"/>
  <c r="CN8" i="25"/>
  <c r="CN14" i="25"/>
  <c r="CN7" i="25"/>
  <c r="CN9" i="25"/>
  <c r="CN10" i="25"/>
  <c r="CN11" i="25"/>
  <c r="CN15" i="25"/>
  <c r="CN17" i="25"/>
  <c r="CN18" i="25"/>
  <c r="CN24" i="25"/>
  <c r="CO8" i="25"/>
  <c r="CO14" i="25"/>
  <c r="CO7" i="25"/>
  <c r="CO9" i="25"/>
  <c r="CO10" i="25"/>
  <c r="CO11" i="25"/>
  <c r="CO15" i="25"/>
  <c r="CO17" i="25"/>
  <c r="CO18" i="25"/>
  <c r="CO24" i="25"/>
  <c r="CP8" i="25"/>
  <c r="CP14" i="25"/>
  <c r="CP7" i="25"/>
  <c r="CP9" i="25"/>
  <c r="CP10" i="25"/>
  <c r="CP11" i="25"/>
  <c r="CP15" i="25"/>
  <c r="CP17" i="25"/>
  <c r="CP18" i="25"/>
  <c r="CP24" i="25"/>
  <c r="CQ8" i="25"/>
  <c r="CQ14" i="25"/>
  <c r="CQ7" i="25"/>
  <c r="CQ9" i="25"/>
  <c r="CQ10" i="25"/>
  <c r="CQ11" i="25"/>
  <c r="CQ15" i="25"/>
  <c r="CQ17" i="25"/>
  <c r="CQ18" i="25"/>
  <c r="CQ24" i="25"/>
  <c r="CT8" i="25"/>
  <c r="CT14" i="25"/>
  <c r="CT7" i="25"/>
  <c r="CT9" i="25"/>
  <c r="CT10" i="25"/>
  <c r="CT11" i="25"/>
  <c r="CT15" i="25"/>
  <c r="CT17" i="25"/>
  <c r="CT18" i="25"/>
  <c r="CT24" i="25"/>
  <c r="CU8" i="25"/>
  <c r="CU14" i="25"/>
  <c r="CU7" i="25"/>
  <c r="CU9" i="25"/>
  <c r="CU10" i="25"/>
  <c r="CU11" i="25"/>
  <c r="CU15" i="25"/>
  <c r="CU17" i="25"/>
  <c r="CU18" i="25"/>
  <c r="CU24" i="25"/>
  <c r="CV8" i="25"/>
  <c r="CA8" i="25" s="1"/>
  <c r="CB8" i="25" s="1"/>
  <c r="CV14" i="25"/>
  <c r="CA14" i="25" s="1"/>
  <c r="CB14" i="25" s="1"/>
  <c r="CV7" i="25"/>
  <c r="CA7" i="25" s="1"/>
  <c r="CB7" i="25" s="1"/>
  <c r="CV9" i="25"/>
  <c r="CA9" i="25" s="1"/>
  <c r="CB9" i="25" s="1"/>
  <c r="CV10" i="25"/>
  <c r="CA10" i="25" s="1"/>
  <c r="CB10" i="25" s="1"/>
  <c r="CV11" i="25"/>
  <c r="CA11" i="25" s="1"/>
  <c r="CB11" i="25" s="1"/>
  <c r="CV15" i="25"/>
  <c r="CA15" i="25" s="1"/>
  <c r="CB15" i="25" s="1"/>
  <c r="CV17" i="25"/>
  <c r="CA17" i="25" s="1"/>
  <c r="CB17" i="25" s="1"/>
  <c r="CV18" i="25"/>
  <c r="CA18" i="25" s="1"/>
  <c r="CB18" i="25" s="1"/>
  <c r="CV24" i="25"/>
  <c r="CA24" i="25" s="1"/>
  <c r="CB24" i="25" s="1"/>
  <c r="CW8" i="25"/>
  <c r="CW14" i="25"/>
  <c r="CW7" i="25"/>
  <c r="CW9" i="25"/>
  <c r="CW10" i="25"/>
  <c r="CW11" i="25"/>
  <c r="CW15" i="25"/>
  <c r="CW17" i="25"/>
  <c r="CW18" i="25"/>
  <c r="CW24" i="25"/>
  <c r="CX8" i="25"/>
  <c r="CX14" i="25"/>
  <c r="CX7" i="25"/>
  <c r="CX9" i="25"/>
  <c r="CX10" i="25"/>
  <c r="CX11" i="25"/>
  <c r="CX15" i="25"/>
  <c r="CX17" i="25"/>
  <c r="CX18" i="25"/>
  <c r="CX24" i="25"/>
  <c r="CY8" i="25"/>
  <c r="CY14" i="25"/>
  <c r="CY7" i="25"/>
  <c r="CY9" i="25"/>
  <c r="CY10" i="25"/>
  <c r="CY11" i="25"/>
  <c r="CY15" i="25"/>
  <c r="CY17" i="25"/>
  <c r="CY18" i="25"/>
  <c r="CY24" i="25"/>
  <c r="CZ8" i="25"/>
  <c r="CZ14" i="25"/>
  <c r="CZ7" i="25"/>
  <c r="CZ9" i="25"/>
  <c r="CZ10" i="25"/>
  <c r="CZ11" i="25"/>
  <c r="CZ15" i="25"/>
  <c r="CZ17" i="25"/>
  <c r="CZ18" i="25"/>
  <c r="CZ24" i="25"/>
  <c r="DA8" i="25"/>
  <c r="DA14" i="25"/>
  <c r="DA7" i="25"/>
  <c r="DA9" i="25"/>
  <c r="DA10" i="25"/>
  <c r="DA11" i="25"/>
  <c r="DA15" i="25"/>
  <c r="DA17" i="25"/>
  <c r="DA18" i="25"/>
  <c r="DA24" i="25"/>
  <c r="DB8" i="25"/>
  <c r="DB14" i="25"/>
  <c r="DB7" i="25"/>
  <c r="DB9" i="25"/>
  <c r="DB10" i="25"/>
  <c r="DB11" i="25"/>
  <c r="DB15" i="25"/>
  <c r="DB17" i="25"/>
  <c r="DB18" i="25"/>
  <c r="DB24" i="25"/>
  <c r="DJ8" i="25"/>
  <c r="DJ14" i="25"/>
  <c r="DJ7" i="25"/>
  <c r="DJ9" i="25"/>
  <c r="DJ10" i="25"/>
  <c r="DJ11" i="25"/>
  <c r="DJ15" i="25"/>
  <c r="DJ17" i="25"/>
  <c r="DJ18" i="25"/>
  <c r="DJ24" i="25"/>
  <c r="DK8" i="25"/>
  <c r="DK14" i="25"/>
  <c r="DK7" i="25"/>
  <c r="DK9" i="25"/>
  <c r="DK10" i="25"/>
  <c r="DK11" i="25"/>
  <c r="DK15" i="25"/>
  <c r="DK17" i="25"/>
  <c r="DK18" i="25"/>
  <c r="DK24" i="25"/>
  <c r="BN7" i="25" l="1"/>
  <c r="BR15" i="25"/>
  <c r="BS15" i="25" s="1"/>
  <c r="BN18" i="25"/>
  <c r="BN10" i="25"/>
  <c r="CI24" i="25"/>
  <c r="CJ24" i="25" s="1"/>
  <c r="CK24" i="25" s="1"/>
  <c r="CL24" i="25" s="1"/>
  <c r="BU14" i="25"/>
  <c r="CI17" i="25"/>
  <c r="CJ17" i="25" s="1"/>
  <c r="CK17" i="25" s="1"/>
  <c r="CL17" i="25" s="1"/>
  <c r="BR17" i="25"/>
  <c r="BS17" i="25" s="1"/>
  <c r="BR9" i="25"/>
  <c r="BS9" i="25" s="1"/>
  <c r="BN15" i="25"/>
  <c r="BN14" i="25"/>
  <c r="BN11" i="25"/>
  <c r="CI9" i="25"/>
  <c r="CJ9" i="25" s="1"/>
  <c r="CK9" i="25" s="1"/>
  <c r="CL9" i="25" s="1"/>
  <c r="BN8" i="25"/>
  <c r="BN24" i="25"/>
  <c r="BN9" i="25"/>
  <c r="CI11" i="25"/>
  <c r="CJ11" i="25" s="1"/>
  <c r="CK11" i="25" s="1"/>
  <c r="CL11" i="25" s="1"/>
  <c r="BN17" i="25"/>
  <c r="BU10" i="25"/>
  <c r="BR18" i="25"/>
  <c r="BS18" i="25" s="1"/>
  <c r="BU15" i="25"/>
  <c r="BR14" i="25"/>
  <c r="BS14" i="25" s="1"/>
  <c r="BR10" i="25"/>
  <c r="BS10" i="25" s="1"/>
  <c r="BR7" i="25"/>
  <c r="BS7" i="25" s="1"/>
  <c r="BU7" i="25"/>
  <c r="BU17" i="25"/>
  <c r="BP24" i="25"/>
  <c r="BQ24" i="25" s="1"/>
  <c r="BU24" i="25" s="1"/>
  <c r="BU18" i="25"/>
  <c r="BR11" i="25"/>
  <c r="BS11" i="25" s="1"/>
  <c r="CI18" i="25"/>
  <c r="CJ18" i="25" s="1"/>
  <c r="CK18" i="25" s="1"/>
  <c r="CL18" i="25" s="1"/>
  <c r="CI10" i="25"/>
  <c r="CJ10" i="25" s="1"/>
  <c r="CK10" i="25" s="1"/>
  <c r="CL10" i="25" s="1"/>
  <c r="CI14" i="25"/>
  <c r="CJ14" i="25" s="1"/>
  <c r="CK14" i="25" s="1"/>
  <c r="CL14" i="25" s="1"/>
  <c r="CI8" i="25"/>
  <c r="CJ8" i="25" s="1"/>
  <c r="CK8" i="25" s="1"/>
  <c r="CL8" i="25" s="1"/>
  <c r="CI15" i="25"/>
  <c r="CJ15" i="25" s="1"/>
  <c r="CK15" i="25" s="1"/>
  <c r="CL15" i="25" s="1"/>
  <c r="CI7" i="25"/>
  <c r="CJ7" i="25" s="1"/>
  <c r="CK7" i="25" s="1"/>
  <c r="CL7" i="25" s="1"/>
  <c r="BU8" i="25"/>
  <c r="BU9" i="25"/>
  <c r="BU11" i="25"/>
  <c r="BR8" i="25"/>
  <c r="BS8" i="25" s="1"/>
  <c r="DD13" i="25" l="1"/>
  <c r="DC13" i="25"/>
  <c r="CH26" i="25"/>
  <c r="CH13" i="25"/>
  <c r="CG12" i="25"/>
  <c r="BL12" i="25"/>
  <c r="BL16" i="25"/>
  <c r="BL20" i="25"/>
  <c r="BL22" i="25"/>
  <c r="BL26" i="25"/>
  <c r="BL25" i="25"/>
  <c r="BL13" i="25"/>
  <c r="BL19" i="25"/>
  <c r="BL21" i="25"/>
  <c r="BL23" i="25"/>
  <c r="BL27" i="25"/>
  <c r="BM12" i="25"/>
  <c r="BM16" i="25"/>
  <c r="BM20" i="25"/>
  <c r="BM22" i="25"/>
  <c r="BM26" i="25"/>
  <c r="BM25" i="25"/>
  <c r="BM13" i="25"/>
  <c r="BM19" i="25"/>
  <c r="BM21" i="25"/>
  <c r="BM23" i="25"/>
  <c r="BM27" i="25"/>
  <c r="BR12" i="25"/>
  <c r="BS12" i="25" s="1"/>
  <c r="BP16" i="25"/>
  <c r="BQ16" i="25" s="1"/>
  <c r="BP20" i="25"/>
  <c r="BQ20" i="25" s="1"/>
  <c r="BP22" i="25"/>
  <c r="BQ22" i="25" s="1"/>
  <c r="BP26" i="25"/>
  <c r="BQ26" i="25" s="1"/>
  <c r="BP25" i="25"/>
  <c r="BQ25" i="25" s="1"/>
  <c r="BP13" i="25"/>
  <c r="BQ13" i="25" s="1"/>
  <c r="BP19" i="25"/>
  <c r="BQ19" i="25" s="1"/>
  <c r="BR21" i="25"/>
  <c r="BS21" i="25" s="1"/>
  <c r="BR23" i="25"/>
  <c r="BS23" i="25" s="1"/>
  <c r="BR27" i="25"/>
  <c r="BS27" i="25" s="1"/>
  <c r="BT12" i="25"/>
  <c r="BT16" i="25"/>
  <c r="BT20" i="25"/>
  <c r="BT22" i="25"/>
  <c r="BT26" i="25"/>
  <c r="BT25" i="25"/>
  <c r="BT13" i="25"/>
  <c r="BT19" i="25"/>
  <c r="BT21" i="25"/>
  <c r="BT23" i="25"/>
  <c r="BT27" i="25"/>
  <c r="BW12" i="25"/>
  <c r="BV12" i="25" s="1"/>
  <c r="CC12" i="25" s="1"/>
  <c r="BW16" i="25"/>
  <c r="BV16" i="25" s="1"/>
  <c r="CC16" i="25" s="1"/>
  <c r="BW20" i="25"/>
  <c r="BV20" i="25" s="1"/>
  <c r="CC20" i="25" s="1"/>
  <c r="BW22" i="25"/>
  <c r="BV22" i="25" s="1"/>
  <c r="CC22" i="25" s="1"/>
  <c r="BW26" i="25"/>
  <c r="BV26" i="25" s="1"/>
  <c r="CC26" i="25" s="1"/>
  <c r="BW25" i="25"/>
  <c r="BV25" i="25" s="1"/>
  <c r="CC25" i="25" s="1"/>
  <c r="BW13" i="25"/>
  <c r="BV13" i="25" s="1"/>
  <c r="CC13" i="25" s="1"/>
  <c r="BW19" i="25"/>
  <c r="BV19" i="25" s="1"/>
  <c r="CC19" i="25" s="1"/>
  <c r="BW21" i="25"/>
  <c r="BV21" i="25" s="1"/>
  <c r="CC21" i="25" s="1"/>
  <c r="BW23" i="25"/>
  <c r="BV23" i="25" s="1"/>
  <c r="CC23" i="25" s="1"/>
  <c r="BW27" i="25"/>
  <c r="BV27" i="25" s="1"/>
  <c r="CC27" i="25" s="1"/>
  <c r="BX12" i="25"/>
  <c r="BX16" i="25"/>
  <c r="BX20" i="25"/>
  <c r="BX22" i="25"/>
  <c r="BX26" i="25"/>
  <c r="BX25" i="25"/>
  <c r="BX13" i="25"/>
  <c r="BX19" i="25"/>
  <c r="BX21" i="25"/>
  <c r="BX23" i="25"/>
  <c r="BX27" i="25"/>
  <c r="BY12" i="25"/>
  <c r="CR12" i="25" s="1"/>
  <c r="BY16" i="25"/>
  <c r="CR16" i="25" s="1"/>
  <c r="BY20" i="25"/>
  <c r="CR20" i="25" s="1"/>
  <c r="BY22" i="25"/>
  <c r="CR22" i="25" s="1"/>
  <c r="BY26" i="25"/>
  <c r="CR26" i="25" s="1"/>
  <c r="BY25" i="25"/>
  <c r="CR25" i="25" s="1"/>
  <c r="BY13" i="25"/>
  <c r="CR13" i="25" s="1"/>
  <c r="BY19" i="25"/>
  <c r="CR19" i="25" s="1"/>
  <c r="BY21" i="25"/>
  <c r="CR21" i="25" s="1"/>
  <c r="BY23" i="25"/>
  <c r="CR23" i="25" s="1"/>
  <c r="BY27" i="25"/>
  <c r="CR27" i="25" s="1"/>
  <c r="BZ12" i="25"/>
  <c r="CS12" i="25" s="1"/>
  <c r="BZ16" i="25"/>
  <c r="CS16" i="25" s="1"/>
  <c r="BZ20" i="25"/>
  <c r="CS20" i="25" s="1"/>
  <c r="BZ22" i="25"/>
  <c r="CS22" i="25" s="1"/>
  <c r="BZ26" i="25"/>
  <c r="CS26" i="25" s="1"/>
  <c r="BZ25" i="25"/>
  <c r="CS25" i="25" s="1"/>
  <c r="BZ13" i="25"/>
  <c r="CS13" i="25" s="1"/>
  <c r="BZ19" i="25"/>
  <c r="CS19" i="25" s="1"/>
  <c r="BZ21" i="25"/>
  <c r="CS21" i="25" s="1"/>
  <c r="BZ23" i="25"/>
  <c r="CS23" i="25" s="1"/>
  <c r="BZ27" i="25"/>
  <c r="CS27" i="25" s="1"/>
  <c r="CD12" i="25"/>
  <c r="CD16" i="25"/>
  <c r="CD20" i="25"/>
  <c r="CD22" i="25"/>
  <c r="CD26" i="25"/>
  <c r="CD25" i="25"/>
  <c r="CD13" i="25"/>
  <c r="CD19" i="25"/>
  <c r="CD21" i="25"/>
  <c r="CD23" i="25"/>
  <c r="CD27" i="25"/>
  <c r="CM12" i="25"/>
  <c r="CM16" i="25"/>
  <c r="CM22" i="25"/>
  <c r="CM26" i="25"/>
  <c r="CM25" i="25"/>
  <c r="CM13" i="25"/>
  <c r="CM19" i="25"/>
  <c r="CM21" i="25"/>
  <c r="CM23" i="25"/>
  <c r="CM27" i="25"/>
  <c r="CG16" i="25"/>
  <c r="CG20" i="25"/>
  <c r="CG22" i="25"/>
  <c r="CG26" i="25"/>
  <c r="CG25" i="25"/>
  <c r="CG13" i="25"/>
  <c r="CG19" i="25"/>
  <c r="CG21" i="25"/>
  <c r="CG23" i="25"/>
  <c r="CG27" i="25"/>
  <c r="CH12" i="25"/>
  <c r="CH16" i="25"/>
  <c r="CH20" i="25"/>
  <c r="CH22" i="25"/>
  <c r="CH25" i="25"/>
  <c r="CH19" i="25"/>
  <c r="CH21" i="25"/>
  <c r="CH23" i="25"/>
  <c r="CH27" i="25"/>
  <c r="CN12" i="25"/>
  <c r="CN16" i="25"/>
  <c r="CN20" i="25"/>
  <c r="CN22" i="25"/>
  <c r="CN26" i="25"/>
  <c r="CN25" i="25"/>
  <c r="CN13" i="25"/>
  <c r="CN19" i="25"/>
  <c r="CN21" i="25"/>
  <c r="CN23" i="25"/>
  <c r="CN27" i="25"/>
  <c r="CO12" i="25"/>
  <c r="CO16" i="25"/>
  <c r="CO20" i="25"/>
  <c r="CO22" i="25"/>
  <c r="CO26" i="25"/>
  <c r="CO25" i="25"/>
  <c r="CO13" i="25"/>
  <c r="CO19" i="25"/>
  <c r="CO21" i="25"/>
  <c r="CO23" i="25"/>
  <c r="CO27" i="25"/>
  <c r="CP12" i="25"/>
  <c r="CP16" i="25"/>
  <c r="CP20" i="25"/>
  <c r="CP22" i="25"/>
  <c r="CP26" i="25"/>
  <c r="CP25" i="25"/>
  <c r="CP13" i="25"/>
  <c r="CP19" i="25"/>
  <c r="CP21" i="25"/>
  <c r="CP23" i="25"/>
  <c r="CP27" i="25"/>
  <c r="CQ12" i="25"/>
  <c r="CQ16" i="25"/>
  <c r="CQ20" i="25"/>
  <c r="CQ22" i="25"/>
  <c r="CQ26" i="25"/>
  <c r="CQ25" i="25"/>
  <c r="CQ13" i="25"/>
  <c r="CQ19" i="25"/>
  <c r="CQ21" i="25"/>
  <c r="CQ23" i="25"/>
  <c r="CQ27" i="25"/>
  <c r="CT12" i="25"/>
  <c r="CT16" i="25"/>
  <c r="CT20" i="25"/>
  <c r="CT22" i="25"/>
  <c r="CT26" i="25"/>
  <c r="CT25" i="25"/>
  <c r="CT13" i="25"/>
  <c r="CT19" i="25"/>
  <c r="CT21" i="25"/>
  <c r="CT23" i="25"/>
  <c r="CT27" i="25"/>
  <c r="CU12" i="25"/>
  <c r="CU16" i="25"/>
  <c r="CU20" i="25"/>
  <c r="CU22" i="25"/>
  <c r="CU26" i="25"/>
  <c r="CU25" i="25"/>
  <c r="CU13" i="25"/>
  <c r="CU19" i="25"/>
  <c r="CU21" i="25"/>
  <c r="CU23" i="25"/>
  <c r="CU27" i="25"/>
  <c r="CV12" i="25"/>
  <c r="CA12" i="25" s="1"/>
  <c r="CB12" i="25" s="1"/>
  <c r="CV16" i="25"/>
  <c r="CA16" i="25" s="1"/>
  <c r="CB16" i="25" s="1"/>
  <c r="CV20" i="25"/>
  <c r="CA20" i="25" s="1"/>
  <c r="CB20" i="25" s="1"/>
  <c r="CV22" i="25"/>
  <c r="CA22" i="25" s="1"/>
  <c r="CB22" i="25" s="1"/>
  <c r="CV26" i="25"/>
  <c r="CA26" i="25" s="1"/>
  <c r="CB26" i="25" s="1"/>
  <c r="CV25" i="25"/>
  <c r="CA25" i="25" s="1"/>
  <c r="CB25" i="25" s="1"/>
  <c r="CV13" i="25"/>
  <c r="CA13" i="25" s="1"/>
  <c r="CB13" i="25" s="1"/>
  <c r="CV19" i="25"/>
  <c r="CA19" i="25" s="1"/>
  <c r="CB19" i="25" s="1"/>
  <c r="CV21" i="25"/>
  <c r="CA21" i="25" s="1"/>
  <c r="CB21" i="25" s="1"/>
  <c r="CV23" i="25"/>
  <c r="CA23" i="25" s="1"/>
  <c r="CB23" i="25" s="1"/>
  <c r="CV27" i="25"/>
  <c r="CA27" i="25" s="1"/>
  <c r="CB27" i="25" s="1"/>
  <c r="CW12" i="25"/>
  <c r="CW16" i="25"/>
  <c r="CW20" i="25"/>
  <c r="CW22" i="25"/>
  <c r="CW26" i="25"/>
  <c r="CW25" i="25"/>
  <c r="CW13" i="25"/>
  <c r="CW19" i="25"/>
  <c r="CW21" i="25"/>
  <c r="CW23" i="25"/>
  <c r="CW27" i="25"/>
  <c r="CX12" i="25"/>
  <c r="CX16" i="25"/>
  <c r="CX20" i="25"/>
  <c r="CX22" i="25"/>
  <c r="CX26" i="25"/>
  <c r="CX25" i="25"/>
  <c r="CX13" i="25"/>
  <c r="CX19" i="25"/>
  <c r="CX21" i="25"/>
  <c r="CX23" i="25"/>
  <c r="CX27" i="25"/>
  <c r="CY12" i="25"/>
  <c r="CY16" i="25"/>
  <c r="CY20" i="25"/>
  <c r="CY22" i="25"/>
  <c r="CY26" i="25"/>
  <c r="CY25" i="25"/>
  <c r="CY13" i="25"/>
  <c r="CY19" i="25"/>
  <c r="CY21" i="25"/>
  <c r="CY23" i="25"/>
  <c r="CY27" i="25"/>
  <c r="CZ12" i="25"/>
  <c r="CZ16" i="25"/>
  <c r="CZ20" i="25"/>
  <c r="CZ22" i="25"/>
  <c r="CZ26" i="25"/>
  <c r="CZ25" i="25"/>
  <c r="CZ13" i="25"/>
  <c r="CZ19" i="25"/>
  <c r="CZ21" i="25"/>
  <c r="CZ23" i="25"/>
  <c r="CZ27" i="25"/>
  <c r="DA12" i="25"/>
  <c r="DA16" i="25"/>
  <c r="DA20" i="25"/>
  <c r="DA22" i="25"/>
  <c r="DA26" i="25"/>
  <c r="DA25" i="25"/>
  <c r="DA13" i="25"/>
  <c r="DA19" i="25"/>
  <c r="DA21" i="25"/>
  <c r="DA23" i="25"/>
  <c r="DA27" i="25"/>
  <c r="DB12" i="25"/>
  <c r="DB16" i="25"/>
  <c r="DB20" i="25"/>
  <c r="DB22" i="25"/>
  <c r="DB26" i="25"/>
  <c r="DB25" i="25"/>
  <c r="DB13" i="25"/>
  <c r="DB19" i="25"/>
  <c r="DB21" i="25"/>
  <c r="DB23" i="25"/>
  <c r="DB27" i="25"/>
  <c r="DJ12" i="25"/>
  <c r="DJ16" i="25"/>
  <c r="DJ20" i="25"/>
  <c r="DJ22" i="25"/>
  <c r="DJ26" i="25"/>
  <c r="DJ25" i="25"/>
  <c r="DJ13" i="25"/>
  <c r="DJ19" i="25"/>
  <c r="DJ21" i="25"/>
  <c r="DJ23" i="25"/>
  <c r="DJ27" i="25"/>
  <c r="DK12" i="25"/>
  <c r="DK16" i="25"/>
  <c r="DK20" i="25"/>
  <c r="DK22" i="25"/>
  <c r="DK26" i="25"/>
  <c r="DK25" i="25"/>
  <c r="DK13" i="25"/>
  <c r="DK19" i="25"/>
  <c r="DK21" i="25"/>
  <c r="DK23" i="25"/>
  <c r="DK27" i="25"/>
  <c r="DE13" i="25" l="1"/>
  <c r="BU22" i="25"/>
  <c r="BN27" i="25"/>
  <c r="BN12" i="25"/>
  <c r="BR20" i="25"/>
  <c r="BS20" i="25" s="1"/>
  <c r="BN22" i="25"/>
  <c r="BN20" i="25"/>
  <c r="BN23" i="25"/>
  <c r="BN19" i="25"/>
  <c r="BN25" i="25"/>
  <c r="CI20" i="25"/>
  <c r="CJ20" i="25" s="1"/>
  <c r="CK20" i="25" s="1"/>
  <c r="CL20" i="25" s="1"/>
  <c r="BN13" i="25"/>
  <c r="BN26" i="25"/>
  <c r="CI16" i="25"/>
  <c r="CJ16" i="25" s="1"/>
  <c r="CK16" i="25" s="1"/>
  <c r="CL16" i="25" s="1"/>
  <c r="CI19" i="25"/>
  <c r="CJ19" i="25" s="1"/>
  <c r="CK19" i="25" s="1"/>
  <c r="CL19" i="25" s="1"/>
  <c r="CI25" i="25"/>
  <c r="CJ25" i="25" s="1"/>
  <c r="CK25" i="25" s="1"/>
  <c r="CL25" i="25" s="1"/>
  <c r="CI13" i="25"/>
  <c r="CJ13" i="25" s="1"/>
  <c r="CK13" i="25" s="1"/>
  <c r="CL13" i="25" s="1"/>
  <c r="CI26" i="25"/>
  <c r="CJ26" i="25" s="1"/>
  <c r="CK26" i="25" s="1"/>
  <c r="CL26" i="25" s="1"/>
  <c r="BU13" i="25"/>
  <c r="BU26" i="25"/>
  <c r="BP27" i="25"/>
  <c r="BQ27" i="25" s="1"/>
  <c r="BU27" i="25" s="1"/>
  <c r="BP21" i="25"/>
  <c r="BQ21" i="25" s="1"/>
  <c r="BU21" i="25" s="1"/>
  <c r="CI22" i="25"/>
  <c r="CJ22" i="25" s="1"/>
  <c r="CK22" i="25" s="1"/>
  <c r="CL22" i="25" s="1"/>
  <c r="CI23" i="25"/>
  <c r="CJ23" i="25" s="1"/>
  <c r="CK23" i="25" s="1"/>
  <c r="CL23" i="25" s="1"/>
  <c r="CI21" i="25"/>
  <c r="CJ21" i="25" s="1"/>
  <c r="CK21" i="25" s="1"/>
  <c r="CL21" i="25" s="1"/>
  <c r="BP12" i="25"/>
  <c r="BQ12" i="25" s="1"/>
  <c r="BU12" i="25" s="1"/>
  <c r="BU20" i="25"/>
  <c r="BR13" i="25"/>
  <c r="BS13" i="25" s="1"/>
  <c r="BU16" i="25"/>
  <c r="CI27" i="25"/>
  <c r="CJ27" i="25" s="1"/>
  <c r="CK27" i="25" s="1"/>
  <c r="CL27" i="25" s="1"/>
  <c r="CI12" i="25"/>
  <c r="CJ12" i="25" s="1"/>
  <c r="CK12" i="25" s="1"/>
  <c r="CL12" i="25" s="1"/>
  <c r="BN16" i="25"/>
  <c r="BN21" i="25"/>
  <c r="CM20" i="25"/>
  <c r="BR26" i="25"/>
  <c r="BS26" i="25" s="1"/>
  <c r="BU19" i="25"/>
  <c r="BU25" i="25"/>
  <c r="BR19" i="25"/>
  <c r="BS19" i="25" s="1"/>
  <c r="BR25" i="25"/>
  <c r="BS25" i="25" s="1"/>
  <c r="BP23" i="25"/>
  <c r="BQ23" i="25" s="1"/>
  <c r="BU23" i="25" s="1"/>
  <c r="BR22" i="25"/>
  <c r="BS22" i="25" s="1"/>
  <c r="BR16" i="25"/>
  <c r="BS16" i="25" s="1"/>
  <c r="Q39" i="89" l="1"/>
  <c r="Q38" i="89"/>
  <c r="B36" i="92"/>
  <c r="R113" i="92"/>
  <c r="L121" i="92"/>
  <c r="N113" i="92"/>
  <c r="N111" i="92"/>
  <c r="R112" i="92"/>
  <c r="Q112" i="92"/>
  <c r="L119" i="92"/>
  <c r="J194" i="92"/>
  <c r="Q28" i="92"/>
  <c r="G119" i="92"/>
  <c r="L118" i="92"/>
  <c r="K119" i="92"/>
  <c r="K118" i="92"/>
  <c r="N110" i="92"/>
  <c r="Q110" i="92"/>
  <c r="Q113" i="92"/>
  <c r="L120" i="92"/>
  <c r="N112" i="92"/>
  <c r="Q111" i="92"/>
  <c r="K120" i="92"/>
  <c r="K121" i="92"/>
  <c r="L47" i="92" l="1"/>
  <c r="AB47" i="92"/>
  <c r="M121" i="92"/>
  <c r="M119" i="92"/>
  <c r="M120" i="92"/>
  <c r="M118" i="92"/>
  <c r="P362" i="92"/>
  <c r="P361" i="92"/>
  <c r="S361" i="92" s="1"/>
  <c r="P360" i="92"/>
  <c r="Q360" i="92"/>
  <c r="K194" i="92"/>
  <c r="Q29" i="92"/>
  <c r="S360" i="92" l="1"/>
  <c r="J2" i="128"/>
  <c r="K2" i="89" s="1"/>
  <c r="G23" i="89" s="1"/>
  <c r="O23" i="89" s="1"/>
  <c r="V23" i="89" l="1"/>
  <c r="T23" i="89"/>
  <c r="S23" i="89"/>
  <c r="R23" i="89"/>
  <c r="U23" i="89"/>
  <c r="I2" i="128"/>
  <c r="J2" i="89" s="1"/>
  <c r="G24" i="89" s="1"/>
  <c r="O24" i="89" s="1"/>
  <c r="H2" i="128"/>
  <c r="I2" i="89" s="1"/>
  <c r="G22" i="89" s="1"/>
  <c r="E34" i="89" s="1"/>
  <c r="G2" i="128"/>
  <c r="H2" i="89" s="1"/>
  <c r="F2" i="128"/>
  <c r="G2" i="89" s="1"/>
  <c r="E2" i="128"/>
  <c r="F2" i="89" s="1"/>
  <c r="D2" i="128"/>
  <c r="E2" i="89" s="1"/>
  <c r="G18" i="89" s="1"/>
  <c r="C2" i="128"/>
  <c r="D2" i="89" s="1"/>
  <c r="R24" i="89" l="1"/>
  <c r="S24" i="89"/>
  <c r="P24" i="89"/>
  <c r="Q24" i="89" s="1"/>
  <c r="T24" i="89"/>
  <c r="W24" i="89"/>
  <c r="V24" i="89"/>
  <c r="U24" i="89"/>
  <c r="O22" i="89"/>
  <c r="R34" i="89" s="1"/>
  <c r="N310" i="92"/>
  <c r="V18" i="89"/>
  <c r="E38" i="89"/>
  <c r="G17" i="89"/>
  <c r="G19" i="89"/>
  <c r="E37" i="89" s="1"/>
  <c r="G20" i="89"/>
  <c r="G21" i="89"/>
  <c r="J195" i="92"/>
  <c r="C140" i="92"/>
  <c r="J190" i="92"/>
  <c r="D74" i="92"/>
  <c r="J193" i="92"/>
  <c r="C74" i="92"/>
  <c r="H47" i="92"/>
  <c r="X47" i="92"/>
  <c r="E39" i="89" l="1"/>
  <c r="O17" i="89"/>
  <c r="P17" i="89" s="1"/>
  <c r="R18" i="89"/>
  <c r="T18" i="89"/>
  <c r="S18" i="89"/>
  <c r="U18" i="89"/>
  <c r="V22" i="89"/>
  <c r="P22" i="89"/>
  <c r="Q22" i="89" s="1"/>
  <c r="R22" i="89"/>
  <c r="O21" i="89"/>
  <c r="R35" i="89" s="1"/>
  <c r="S35" i="89" s="1"/>
  <c r="E35" i="89"/>
  <c r="W22" i="89"/>
  <c r="O20" i="89"/>
  <c r="R36" i="89" s="1"/>
  <c r="S36" i="89" s="1"/>
  <c r="E36" i="89"/>
  <c r="S22" i="89"/>
  <c r="U22" i="89"/>
  <c r="T22" i="89"/>
  <c r="O19" i="89"/>
  <c r="F37" i="89"/>
  <c r="K190" i="92"/>
  <c r="T21" i="89" l="1"/>
  <c r="S21" i="89"/>
  <c r="U21" i="89"/>
  <c r="F35" i="89"/>
  <c r="S310" i="92"/>
  <c r="T310" i="92" s="1"/>
  <c r="V21" i="89"/>
  <c r="R20" i="89"/>
  <c r="S20" i="89"/>
  <c r="T20" i="89"/>
  <c r="V20" i="89"/>
  <c r="R21" i="89"/>
  <c r="U20" i="89"/>
  <c r="U17" i="89"/>
  <c r="T17" i="89"/>
  <c r="V17" i="89"/>
  <c r="S17" i="89"/>
  <c r="R17" i="89"/>
  <c r="R37" i="89"/>
  <c r="S19" i="89"/>
  <c r="R19" i="89"/>
  <c r="T19" i="89"/>
  <c r="V19" i="89"/>
  <c r="U19" i="89"/>
  <c r="K193" i="92"/>
  <c r="C359" i="92"/>
  <c r="F100" i="92"/>
  <c r="K195" i="92" l="1"/>
  <c r="F36" i="89" l="1"/>
  <c r="G34" i="89" l="1"/>
  <c r="F34" i="89"/>
  <c r="T35" i="89"/>
  <c r="S34" i="89"/>
  <c r="O310" i="92"/>
  <c r="W21" i="89"/>
  <c r="P21" i="89"/>
  <c r="W20" i="89"/>
  <c r="P20" i="89"/>
  <c r="Q20" i="89" s="1"/>
  <c r="Q21" i="89" l="1"/>
  <c r="D359" i="92" l="1"/>
  <c r="C337" i="92"/>
  <c r="F103" i="92"/>
  <c r="C357" i="92"/>
  <c r="G118" i="92"/>
  <c r="C226" i="92"/>
  <c r="G136" i="92"/>
  <c r="C227" i="92"/>
  <c r="E237" i="92"/>
  <c r="G240" i="92"/>
  <c r="C356" i="92"/>
  <c r="F136" i="92"/>
  <c r="C358" i="92"/>
  <c r="I240" i="92"/>
  <c r="F237" i="92"/>
  <c r="G117" i="92"/>
  <c r="H240" i="92"/>
  <c r="F240"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tc={B8E9365D-F517-447A-95FB-9498E69FCFC9}</author>
    <author>tc={DF11D283-44AD-4157-9EB7-64F637E80931}</author>
    <author>tc={BFE32907-90D0-4C1C-9D45-5224D74BFCCF}</author>
    <author>tc={D14553B5-1583-4B35-AFEF-48F38DC40429}</author>
    <author>tc={1E08077B-7C8B-49F3-91B6-B9CF91ADC0CD}</author>
    <author>tc={0E16B312-24A7-4515-8F35-F6FCB7B69C4C}</author>
    <author>tc={496CC0BB-52F3-4E07-B65C-608BD365EE2B}</author>
    <author>tc={9902946C-4F9F-4A7B-9A0A-DC5807E3B52E}</author>
    <author>tc={389B5108-B4EE-4615-9F95-13297D0C3A7B}</author>
    <author>tc={9B0BCD23-D104-456C-906A-364E601ADF54}</author>
    <author>tc={0D2CEBAB-BDC1-45A6-A58C-8B1777576C26}</author>
    <author>tc={01A6FC87-CBF1-495A-B04D-4BA66E2AA7DA}</author>
    <author>tc={74E237B5-0A13-474E-AF61-F858D9D66213}</author>
    <author>tc={30B1CDCC-A4D6-4C82-A04E-0EEECD173505}</author>
    <author>tc={FF84EE74-DEE8-44E9-B952-9D92392F1305}</author>
    <author>tc={44D19FE3-4AF4-4D56-8202-3851BE2A36B5}</author>
    <author>tc={7062480A-EC46-4023-B587-620AB77502FF}</author>
    <author>tc={0A522CE6-DE42-49D9-9D2A-11C619666CA0}</author>
    <author>tc={813F0501-EE3F-4DBB-B134-FC0FC2607C48}</author>
    <author>tc={9E49038C-7138-4738-8A76-012CCDAC9CF2}</author>
    <author>tc={ADA4C27C-FA5E-4FA1-BC3D-354C830671F6}</author>
    <author>tc={A6150844-4FB0-48B3-9715-3419B214EFCC}</author>
    <author>tc={DB087626-9BE5-447C-88BF-C9BDB13D216C}</author>
    <author>tc={A4136001-90FD-45D5-A264-0EDACD5F4F80}</author>
    <author>tc={18E854B7-E403-4A04-8E9F-7A86CEC5BA37}</author>
    <author>tc={7CA69350-4647-4A1A-9BB3-FD88232E1A79}</author>
    <author>tc={018C6C27-8E18-4D3B-AC2C-686429AFF093}</author>
    <author>tc={EF0FF761-EE7C-4B69-8F4F-E9D2FEE2A6B3}</author>
    <author>tc={5897A532-3208-4EA9-932A-91039B433C4A}</author>
    <author>tc={1FC930D2-47AD-460E-8B35-DA97F66F5B25}</author>
    <author>tc={29A847F2-47F7-4346-BF9C-85BE3A19F65C}</author>
    <author>tc={ACB8B29B-0254-4C27-9229-86E3DE0844F8}</author>
    <author>tc={BA291E0E-6A1F-42B4-9061-2ED811E7CCC1}</author>
    <author>tc={F5179BC4-FC86-48BA-ADD2-17551BB9C0FD}</author>
    <author>tc={0E1DEF5F-3C33-4046-96EB-F6E5BF3BF106}</author>
    <author>tc={F6D3E323-F2BE-4BC3-9492-6D72AA4486A5}</author>
    <author>tc={74BD57C3-8A94-4462-9FBD-9E6FAE92E01D}</author>
    <author>tc={A805A56F-59AC-4E77-BA53-34CFA3D904BB}</author>
    <author>tc={59AF5FEE-66A3-4A6C-912A-E923EE8D5B53}</author>
    <author>tc={26DA5AC7-35A5-4C9B-9656-481DBC8902C6}</author>
    <author>tc={11077769-646A-4E4D-A14B-567ED15754FA}</author>
    <author>tc={0F7AEBD3-A2B9-4BAC-82E7-AEF4F4F96277}</author>
    <author>tc={B3913B1C-A12D-4B75-8E2D-8F2D03D104F0}</author>
    <author>sit.meal.am</author>
    <author>tc={8F7E8442-5BCA-47C0-B48B-B69B8884A1A4}</author>
    <author>tc={985843FE-41A6-49FC-97B8-2DD152013B90}</author>
    <author>tc={8A0BFB3E-D2A5-4CD8-AF70-5CD15B924D21}</author>
    <author>tc={BE552D34-B6EA-44F4-B206-1127BBD04941}</author>
    <author>tc={3B65D3D1-2E8B-4267-9B95-51CD6B284145}</author>
    <author>tc={1867A9D5-762B-4227-B744-DE38017CF10A}</author>
    <author>tc={EA635C65-6D83-4836-8D63-D38CF12850C9}</author>
    <author>tc={CE41657C-55B8-459C-BB7A-C6572ACB736D}</author>
    <author>tc={827CB311-C351-4EBD-97C1-6A79A3D42877}</author>
    <author>tc={34B883B2-EE11-4D8E-9574-B3C7383D1CB0}</author>
    <author>tc={07BB0095-E540-4212-BECC-A1E00CAE1C80}</author>
    <author>tc={43F5E916-7C80-4AB0-A7CD-09E4D0FB0812}</author>
    <author>tc={1264D8D1-8F2F-4FF8-9B6A-A8E0A8671D46}</author>
    <author>tc={80AC2842-1644-40F4-8690-7619731028B4}</author>
    <author>tc={5EECC709-FBAF-45A6-9CC1-184112A2F0C2}</author>
    <author>tc={2D3EB831-AA5E-4772-8B25-9932FFB63C89}</author>
    <author>tc={66ABE2DF-D8FE-4F70-B1B3-4EC62C963D7F}</author>
    <author>tc={816FE417-32D1-443C-A54D-4E3786B3430D}</author>
    <author>tc={2E8007A4-E2F0-499F-BD13-58A125752577}</author>
    <author>tc={1F20439B-5396-44A4-99CA-52981AA11707}</author>
    <author>tc={556D89AA-BE42-473B-B71D-BA0D2EBF0FFB}</author>
    <author>tc={57DF5651-BD7B-4D5C-BD00-773C4ABA8757}</author>
    <author>tc={3C411C8F-5B32-421B-8961-C53C23794EB5}</author>
    <author>tc={37B61B52-A955-443F-8EEC-7772E9A237DD}</author>
    <author>tc={F5AE2174-9A2D-40D2-A13E-EEB84576F303}</author>
    <author>tc={5F289601-64CA-46F9-9947-68DFB69C5D5D}</author>
    <author>tc={9DBE15BC-19CE-4F1B-B3CD-9A5772FFC0F9}</author>
    <author>tc={7C749EDE-BAC7-4474-A816-5E0194E03406}</author>
    <author>tc={3F052C0B-2771-473B-8654-A064073BEF1E}</author>
    <author>Administrator</author>
    <author>tc={5931DB60-CB5D-4661-968E-55677746F275}</author>
    <author>tc={B616C631-61CF-43B7-A213-C51D838D57E2}</author>
    <author>tc={7D439422-12D6-47D4-BDF5-4D92CD907387}</author>
    <author>tc={AE8D8650-D1D2-4B5A-B52F-98775CC009EF}</author>
    <author>tc={13E28ABE-F92B-43AF-8AC7-549C1061F937}</author>
  </authors>
  <commentList>
    <comment ref="U49" authorId="0" shapeId="0" xr:uid="{B8E9365D-F517-447A-95FB-9498E69FCFC9}">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49" authorId="1" shapeId="0" xr:uid="{DF11D283-44AD-4157-9EB7-64F637E80931}">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W49" authorId="2" shapeId="0" xr:uid="{BFE32907-90D0-4C1C-9D45-5224D74BFCCF}">
      <text>
        <t>[Threaded comment]
Your version of Excel allows you to read this threaded comment; however, any edits to it will get removed if the file is opened in a newer version of Excel. Learn more: https://go.microsoft.com/fwlink/?linkid=870924
Comment:
    Issue relative to the access and sample collected were not acceptable due to delay before performing the test</t>
      </text>
    </comment>
    <comment ref="BA49" authorId="3" shapeId="0" xr:uid="{D14553B5-1583-4B35-AFEF-48F38DC40429}">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49" authorId="4" shapeId="0" xr:uid="{1E08077B-7C8B-49F3-91B6-B9CF91ADC0CD}">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N51" authorId="5" shapeId="0" xr:uid="{0E16B312-24A7-4515-8F35-F6FCB7B69C4C}">
      <text>
        <t>[Threaded comment]
Your version of Excel allows you to read this threaded comment; however, any edits to it will get removed if the file is opened in a newer version of Excel. Learn more: https://go.microsoft.com/fwlink/?linkid=870924
Comment:
    BDP1 = TLS 1,2,3,14,15. Not available data in TLS 1</t>
      </text>
    </comment>
    <comment ref="AE51" authorId="6" shapeId="0" xr:uid="{496CC0BB-52F3-4E07-B65C-608BD365EE2B}">
      <text>
        <t>[Threaded comment]
Your version of Excel allows you to read this threaded comment; however, any edits to it will get removed if the file is opened in a newer version of Excel. Learn more: https://go.microsoft.com/fwlink/?linkid=870924
Comment:
    Both BDP1 + BDP2</t>
      </text>
    </comment>
    <comment ref="AF51" authorId="7" shapeId="0" xr:uid="{9902946C-4F9F-4A7B-9A0A-DC5807E3B52E}">
      <text>
        <t>[Threaded comment]
Your version of Excel allows you to read this threaded comment; however, any edits to it will get removed if the file is opened in a newer version of Excel. Learn more: https://go.microsoft.com/fwlink/?linkid=870924
Comment:
    Both BDP1 + BDP2</t>
      </text>
    </comment>
    <comment ref="AG51" authorId="8" shapeId="0" xr:uid="{389B5108-B4EE-4615-9F95-13297D0C3A7B}">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H51" authorId="9" shapeId="0" xr:uid="{9B0BCD23-D104-456C-906A-364E601ADF54}">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I51" authorId="10" shapeId="0" xr:uid="{0D2CEBAB-BDC1-45A6-A58C-8B1777576C26}">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J51" authorId="11" shapeId="0" xr:uid="{01A6FC87-CBF1-495A-B04D-4BA66E2AA7DA}">
      <text>
        <t>[Threaded comment]
Your version of Excel allows you to read this threaded comment; however, any edits to it will get removed if the file is opened in a newer version of Excel. Learn more: https://go.microsoft.com/fwlink/?linkid=870924
Comment:
    All of 4 latrines (ref-1) in BDP1 are non-functional</t>
      </text>
    </comment>
    <comment ref="AP51" authorId="12" shapeId="0" xr:uid="{74E237B5-0A13-474E-AF61-F858D9D66213}">
      <text>
        <t>[Threaded comment]
Your version of Excel allows you to read this threaded comment; however, any edits to it will get removed if the file is opened in a newer version of Excel. Learn more: https://go.microsoft.com/fwlink/?linkid=870924
Comment:
    BDP1+BDP2</t>
      </text>
    </comment>
    <comment ref="AR51" authorId="13" shapeId="0" xr:uid="{30B1CDCC-A4D6-4C82-A04E-0EEECD173505}">
      <text>
        <t>[Threaded comment]
Your version of Excel allows you to read this threaded comment; however, any edits to it will get removed if the file is opened in a newer version of Excel. Learn more: https://go.microsoft.com/fwlink/?linkid=870924
Comment:
    BDP1+BDP2</t>
      </text>
    </comment>
    <comment ref="AV51" authorId="14" shapeId="0" xr:uid="{FF84EE74-DEE8-44E9-B952-9D92392F1305}">
      <text>
        <t>[Threaded comment]
Your version of Excel allows you to read this threaded comment; however, any edits to it will get removed if the file is opened in a newer version of Excel. Learn more: https://go.microsoft.com/fwlink/?linkid=870924
Comment:
    Both BDP1 + BDP2</t>
      </text>
    </comment>
    <comment ref="AW51" authorId="15" shapeId="0" xr:uid="{44D19FE3-4AF4-4D56-8202-3851BE2A36B5}">
      <text>
        <t>[Threaded comment]
Your version of Excel allows you to read this threaded comment; however, any edits to it will get removed if the file is opened in a newer version of Excel. Learn more: https://go.microsoft.com/fwlink/?linkid=870924
Comment:
    Both BDP1+BDP2</t>
      </text>
    </comment>
    <comment ref="AX51" authorId="16" shapeId="0" xr:uid="{7062480A-EC46-4023-B587-620AB77502FF}">
      <text>
        <t>[Threaded comment]
Your version of Excel allows you to read this threaded comment; however, any edits to it will get removed if the file is opened in a newer version of Excel. Learn more: https://go.microsoft.com/fwlink/?linkid=870924
Comment:
    Both BDP1 and PDP2</t>
      </text>
    </comment>
    <comment ref="AZ51" authorId="17" shapeId="0" xr:uid="{0A522CE6-DE42-49D9-9D2A-11C619666CA0}">
      <text>
        <t>[Threaded comment]
Your version of Excel allows you to read this threaded comment; however, any edits to it will get removed if the file is opened in a newer version of Excel. Learn more: https://go.microsoft.com/fwlink/?linkid=870924
Comment:
    BDP1+BDP2</t>
      </text>
    </comment>
    <comment ref="BB51" authorId="18" shapeId="0" xr:uid="{813F0501-EE3F-4DBB-B134-FC0FC2607C48}">
      <text>
        <t>[Threaded comment]
Your version of Excel allows you to read this threaded comment; however, any edits to it will get removed if the file is opened in a newer version of Excel. Learn more: https://go.microsoft.com/fwlink/?linkid=870924
Comment:
    Both BDP1+BDP2</t>
      </text>
    </comment>
    <comment ref="BE51" authorId="19" shapeId="0" xr:uid="{9E49038C-7138-4738-8A76-012CCDAC9CF2}">
      <text>
        <t>[Threaded comment]
Your version of Excel allows you to read this threaded comment; however, any edits to it will get removed if the file is opened in a newer version of Excel. Learn more: https://go.microsoft.com/fwlink/?linkid=870924
Comment:
    Both BDP1+BDP2</t>
      </text>
    </comment>
    <comment ref="N52" authorId="20" shapeId="0" xr:uid="{ADA4C27C-FA5E-4FA1-BC3D-354C830671F6}">
      <text>
        <t>[Threaded comment]
Your version of Excel allows you to read this threaded comment; however, any edits to it will get removed if the file is opened in a newer version of Excel. Learn more: https://go.microsoft.com/fwlink/?linkid=870924
Comment:
    BDP2= TLS-4, 5, 7, 8 12, 13. Not available student data in some TLS (TLS 12,and TLS 13)</t>
      </text>
    </comment>
    <comment ref="AJ52" authorId="21" shapeId="0" xr:uid="{A6150844-4FB0-48B3-9715-3419B214EFCC}">
      <text>
        <t>[Threaded comment]
Your version of Excel allows you to read this threaded comment; however, any edits to it will get removed if the file is opened in a newer version of Excel. Learn more: https://go.microsoft.com/fwlink/?linkid=870924
Comment:
    2 out of 20 Children Friendly Latrines in BDP2 are functional.</t>
      </text>
    </comment>
    <comment ref="AP52" authorId="22" shapeId="0" xr:uid="{DB087626-9BE5-447C-88BF-C9BDB13D216C}">
      <text>
        <t>[Threaded comment]
Your version of Excel allows you to read this threaded comment; however, any edits to it will get removed if the file is opened in a newer version of Excel. Learn more: https://go.microsoft.com/fwlink/?linkid=870924
Comment:
    BDP1+BDP2</t>
      </text>
    </comment>
    <comment ref="AR52" authorId="23" shapeId="0" xr:uid="{A4136001-90FD-45D5-A264-0EDACD5F4F80}">
      <text>
        <t>[Threaded comment]
Your version of Excel allows you to read this threaded comment; however, any edits to it will get removed if the file is opened in a newer version of Excel. Learn more: https://go.microsoft.com/fwlink/?linkid=870924
Comment:
    BDP1+BDP2</t>
      </text>
    </comment>
    <comment ref="AV52" authorId="24" shapeId="0" xr:uid="{18E854B7-E403-4A04-8E9F-7A86CEC5BA37}">
      <text>
        <t>[Threaded comment]
Your version of Excel allows you to read this threaded comment; however, any edits to it will get removed if the file is opened in a newer version of Excel. Learn more: https://go.microsoft.com/fwlink/?linkid=870924
Comment:
    Both BDP1 + BDP2</t>
      </text>
    </comment>
    <comment ref="AW52" authorId="25" shapeId="0" xr:uid="{7CA69350-4647-4A1A-9BB3-FD88232E1A79}">
      <text>
        <t>[Threaded comment]
Your version of Excel allows you to read this threaded comment; however, any edits to it will get removed if the file is opened in a newer version of Excel. Learn more: https://go.microsoft.com/fwlink/?linkid=870924
Comment:
    Both BDP1+BDP2</t>
      </text>
    </comment>
    <comment ref="U57" authorId="26" shapeId="0" xr:uid="{018C6C27-8E18-4D3B-AC2C-686429AFF09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57" authorId="27" shapeId="0" xr:uid="{EF0FF761-EE7C-4B69-8F4F-E9D2FEE2A6B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57" authorId="28" shapeId="0" xr:uid="{5897A532-3208-4EA9-932A-91039B433C4A}">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57" authorId="29" shapeId="0" xr:uid="{1FC930D2-47AD-460E-8B35-DA97F66F5B25}">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Q59" authorId="30" shapeId="0" xr:uid="{29A847F2-47F7-4346-BF9C-85BE3A19F65C}">
      <text>
        <t>[Threaded comment]
Your version of Excel allows you to read this threaded comment; however, any edits to it will get removed if the file is opened in a newer version of Excel. Learn more: https://go.microsoft.com/fwlink/?linkid=870924
Comment:
    Number of Pond sand filters</t>
      </text>
    </comment>
    <comment ref="U59" authorId="31" shapeId="0" xr:uid="{ACB8B29B-0254-4C27-9229-86E3DE0844F8}">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59" authorId="32" shapeId="0" xr:uid="{BA291E0E-6A1F-42B4-9061-2ED811E7CCC1}">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59" authorId="33" shapeId="0" xr:uid="{F5179BC4-FC86-48BA-ADD2-17551BB9C0FD}">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D59" authorId="34" shapeId="0" xr:uid="{0E1DEF5F-3C33-4046-96EB-F6E5BF3BF106}">
      <text>
        <t>[Threaded comment]
Your version of Excel allows you to read this threaded comment; however, any edits to it will get removed if the file is opened in a newer version of Excel. Learn more: https://go.microsoft.com/fwlink/?linkid=870924
Comment:
    Both NC1 and NC2</t>
      </text>
    </comment>
    <comment ref="BF59" authorId="35" shapeId="0" xr:uid="{F6D3E323-F2BE-4BC3-9492-6D72AA4486A5}">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Q60" authorId="36" shapeId="0" xr:uid="{74BD57C3-8A94-4462-9FBD-9E6FAE92E01D}">
      <text>
        <t>[Threaded comment]
Your version of Excel allows you to read this threaded comment; however, any edits to it will get removed if the file is opened in a newer version of Excel. Learn more: https://go.microsoft.com/fwlink/?linkid=870924
Comment:
    Number of Pond sand filters</t>
      </text>
    </comment>
    <comment ref="U60" authorId="37" shapeId="0" xr:uid="{A805A56F-59AC-4E77-BA53-34CFA3D904BB}">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60" authorId="38" shapeId="0" xr:uid="{59AF5FEE-66A3-4A6C-912A-E923EE8D5B5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60" authorId="39" shapeId="0" xr:uid="{26DA5AC7-35A5-4C9B-9656-481DBC8902C6}">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60" authorId="40" shapeId="0" xr:uid="{11077769-646A-4E4D-A14B-567ED15754FA}">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M66" authorId="41" shapeId="0" xr:uid="{0F7AEBD3-A2B9-4BAC-82E7-AEF4F4F96277}">
      <text>
        <t>[Threaded comment]
Your version of Excel allows you to read this threaded comment; however, any edits to it will get removed if the file is opened in a newer version of Excel. Learn more: https://go.microsoft.com/fwlink/?linkid=870924
Comment:
    BHA Project</t>
      </text>
    </comment>
    <comment ref="AJ68" authorId="42" shapeId="0" xr:uid="{B3913B1C-A12D-4B75-8E2D-8F2D03D104F0}">
      <text>
        <t>[Threaded comment]
Your version of Excel allows you to read this threaded comment; however, any edits to it will get removed if the file is opened in a newer version of Excel. Learn more: https://go.microsoft.com/fwlink/?linkid=870924
Comment:
    No Children Friendly Latrines in TCC.</t>
      </text>
    </comment>
    <comment ref="AI70" authorId="43" shapeId="0" xr:uid="{D70CB0A4-207E-49AD-BA45-EB3434FF23D2}">
      <text>
        <r>
          <rPr>
            <b/>
            <sz val="9"/>
            <color indexed="81"/>
            <rFont val="Tahoma"/>
            <family val="2"/>
          </rPr>
          <t>sit.meal.am:</t>
        </r>
        <r>
          <rPr>
            <sz val="9"/>
            <color indexed="81"/>
            <rFont val="Tahoma"/>
            <family val="2"/>
          </rPr>
          <t xml:space="preserve">
Will be reported in next reporting period</t>
        </r>
      </text>
    </comment>
    <comment ref="AK70" authorId="44" shapeId="0" xr:uid="{8F7E8442-5BCA-47C0-B48B-B69B8884A1A4}">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N72" authorId="45" shapeId="0" xr:uid="{985843FE-41A6-49FC-97B8-2DD152013B90}">
      <text>
        <t>[Threaded comment]
Your version of Excel allows you to read this threaded comment; however, any edits to it will get removed if the file is opened in a newer version of Excel. Learn more: https://go.microsoft.com/fwlink/?linkid=870924
Comment:
    BDP1 = TLS 1,2,3,14,15. Not available data in TLS 1</t>
      </text>
    </comment>
    <comment ref="AE72" authorId="46" shapeId="0" xr:uid="{8A0BFB3E-D2A5-4CD8-AF70-5CD15B924D21}">
      <text>
        <t>[Threaded comment]
Your version of Excel allows you to read this threaded comment; however, any edits to it will get removed if the file is opened in a newer version of Excel. Learn more: https://go.microsoft.com/fwlink/?linkid=870924
Comment:
    Both BDP1+2</t>
      </text>
    </comment>
    <comment ref="AF72" authorId="47" shapeId="0" xr:uid="{BE552D34-B6EA-44F4-B206-1127BBD04941}">
      <text>
        <t>[Threaded comment]
Your version of Excel allows you to read this threaded comment; however, any edits to it will get removed if the file is opened in a newer version of Excel. Learn more: https://go.microsoft.com/fwlink/?linkid=870924
Comment:
    Both BDP1 +2</t>
      </text>
    </comment>
    <comment ref="AG72" authorId="48" shapeId="0" xr:uid="{3B65D3D1-2E8B-4267-9B95-51CD6B284145}">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H72" authorId="49" shapeId="0" xr:uid="{1867A9D5-762B-4227-B744-DE38017CF10A}">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I72" authorId="50" shapeId="0" xr:uid="{EA635C65-6D83-4836-8D63-D38CF12850C9}">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P72" authorId="51" shapeId="0" xr:uid="{CE41657C-55B8-459C-BB7A-C6572ACB736D}">
      <text>
        <t>[Threaded comment]
Your version of Excel allows you to read this threaded comment; however, any edits to it will get removed if the file is opened in a newer version of Excel. Learn more: https://go.microsoft.com/fwlink/?linkid=870924
Comment:
    BDP- 1+2</t>
      </text>
    </comment>
    <comment ref="AQ72" authorId="52" shapeId="0" xr:uid="{827CB311-C351-4EBD-97C1-6A79A3D42877}">
      <text>
        <t>[Threaded comment]
Your version of Excel allows you to read this threaded comment; however, any edits to it will get removed if the file is opened in a newer version of Excel. Learn more: https://go.microsoft.com/fwlink/?linkid=870924
Comment:
    BDP-1+2</t>
      </text>
    </comment>
    <comment ref="AR72" authorId="53" shapeId="0" xr:uid="{34B883B2-EE11-4D8E-9574-B3C7383D1CB0}">
      <text>
        <t>[Threaded comment]
Your version of Excel allows you to read this threaded comment; however, any edits to it will get removed if the file is opened in a newer version of Excel. Learn more: https://go.microsoft.com/fwlink/?linkid=870924
Comment:
    BDP-1+2</t>
      </text>
    </comment>
    <comment ref="AS72" authorId="54" shapeId="0" xr:uid="{07BB0095-E540-4212-BECC-A1E00CAE1C80}">
      <text>
        <t>[Threaded comment]
Your version of Excel allows you to read this threaded comment; however, any edits to it will get removed if the file is opened in a newer version of Excel. Learn more: https://go.microsoft.com/fwlink/?linkid=870924
Comment:
    BDP-1+2</t>
      </text>
    </comment>
    <comment ref="AT72" authorId="55" shapeId="0" xr:uid="{43F5E916-7C80-4AB0-A7CD-09E4D0FB0812}">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U72" authorId="56" shapeId="0" xr:uid="{1264D8D1-8F2F-4FF8-9B6A-A8E0A8671D46}">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V72" authorId="57" shapeId="0" xr:uid="{80AC2842-1644-40F4-8690-7619731028B4}">
      <text>
        <t>[Threaded comment]
Your version of Excel allows you to read this threaded comment; however, any edits to it will get removed if the file is opened in a newer version of Excel. Learn more: https://go.microsoft.com/fwlink/?linkid=870924
Comment:
    Both BDP1 + BDP2</t>
      </text>
    </comment>
    <comment ref="AW72" authorId="58" shapeId="0" xr:uid="{5EECC709-FBAF-45A6-9CC1-184112A2F0C2}">
      <text>
        <t>[Threaded comment]
Your version of Excel allows you to read this threaded comment; however, any edits to it will get removed if the file is opened in a newer version of Excel. Learn more: https://go.microsoft.com/fwlink/?linkid=870924
Comment:
    Both BDP1+BDP2</t>
      </text>
    </comment>
    <comment ref="BE72" authorId="59" shapeId="0" xr:uid="{2D3EB831-AA5E-4772-8B25-9932FFB63C89}">
      <text>
        <t>[Threaded comment]
Your version of Excel allows you to read this threaded comment; however, any edits to it will get removed if the file is opened in a newer version of Excel. Learn more: https://go.microsoft.com/fwlink/?linkid=870924
Comment:
    Both BDP1+BDP2</t>
      </text>
    </comment>
    <comment ref="N73" authorId="60" shapeId="0" xr:uid="{66ABE2DF-D8FE-4F70-B1B3-4EC62C963D7F}">
      <text>
        <t>[Threaded comment]
Your version of Excel allows you to read this threaded comment; however, any edits to it will get removed if the file is opened in a newer version of Excel. Learn more: https://go.microsoft.com/fwlink/?linkid=870924
Comment:
    BDP2= TLS-4, 5, 7, 8 12, 13. Not available student data in some TLS (TLS 12,and TLS 13)</t>
      </text>
    </comment>
    <comment ref="AP73" authorId="61" shapeId="0" xr:uid="{816FE417-32D1-443C-A54D-4E3786B3430D}">
      <text>
        <t>[Threaded comment]
Your version of Excel allows you to read this threaded comment; however, any edits to it will get removed if the file is opened in a newer version of Excel. Learn more: https://go.microsoft.com/fwlink/?linkid=870924
Comment:
    BDP- 1+2</t>
      </text>
    </comment>
    <comment ref="AQ73" authorId="62" shapeId="0" xr:uid="{2E8007A4-E2F0-499F-BD13-58A125752577}">
      <text>
        <t>[Threaded comment]
Your version of Excel allows you to read this threaded comment; however, any edits to it will get removed if the file is opened in a newer version of Excel. Learn more: https://go.microsoft.com/fwlink/?linkid=870924
Comment:
    BDP-1+2</t>
      </text>
    </comment>
    <comment ref="AR73" authorId="63" shapeId="0" xr:uid="{1F20439B-5396-44A4-99CA-52981AA11707}">
      <text>
        <t>[Threaded comment]
Your version of Excel allows you to read this threaded comment; however, any edits to it will get removed if the file is opened in a newer version of Excel. Learn more: https://go.microsoft.com/fwlink/?linkid=870924
Comment:
    BDP-1+2</t>
      </text>
    </comment>
    <comment ref="AS73" authorId="64" shapeId="0" xr:uid="{556D89AA-BE42-473B-B71D-BA0D2EBF0FFB}">
      <text>
        <t>[Threaded comment]
Your version of Excel allows you to read this threaded comment; however, any edits to it will get removed if the file is opened in a newer version of Excel. Learn more: https://go.microsoft.com/fwlink/?linkid=870924
Comment:
    BDP-1+2</t>
      </text>
    </comment>
    <comment ref="AT73" authorId="65" shapeId="0" xr:uid="{57DF5651-BD7B-4D5C-BD00-773C4ABA8757}">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V73" authorId="66" shapeId="0" xr:uid="{3C411C8F-5B32-421B-8961-C53C23794EB5}">
      <text>
        <t>[Threaded comment]
Your version of Excel allows you to read this threaded comment; however, any edits to it will get removed if the file is opened in a newer version of Excel. Learn more: https://go.microsoft.com/fwlink/?linkid=870924
Comment:
    Both BDP1 + BDP2</t>
      </text>
    </comment>
    <comment ref="BE73" authorId="67" shapeId="0" xr:uid="{37B61B52-A955-443F-8EEC-7772E9A237DD}">
      <text>
        <t>[Threaded comment]
Your version of Excel allows you to read this threaded comment; however, any edits to it will get removed if the file is opened in a newer version of Excel. Learn more: https://go.microsoft.com/fwlink/?linkid=870924
Comment:
    Both BDP1+BDP2</t>
      </text>
    </comment>
    <comment ref="AI75" authorId="68" shapeId="0" xr:uid="{F5AE2174-9A2D-40D2-A13E-EEB84576F303}">
      <text>
        <t>[Threaded comment]
Your version of Excel allows you to read this threaded comment; however, any edits to it will get removed if the file is opened in a newer version of Excel. Learn more: https://go.microsoft.com/fwlink/?linkid=870924
Comment:
    Conduted the satisfaction survey in July</t>
      </text>
    </comment>
    <comment ref="AK78" authorId="69" shapeId="0" xr:uid="{5F289601-64CA-46F9-9947-68DFB69C5D5D}">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Q80" authorId="70" shapeId="0" xr:uid="{9DBE15BC-19CE-4F1B-B3CD-9A5772FFC0F9}">
      <text>
        <t>[Threaded comment]
Your version of Excel allows you to read this threaded comment; however, any edits to it will get removed if the file is opened in a newer version of Excel. Learn more: https://go.microsoft.com/fwlink/?linkid=870924
Comment:
    Number of Pond sand filters</t>
      </text>
    </comment>
    <comment ref="AK80" authorId="71" shapeId="0" xr:uid="{7C749EDE-BAC7-4474-A816-5E0194E03406}">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BD80" authorId="72" shapeId="0" xr:uid="{3F052C0B-2771-473B-8654-A064073BEF1E}">
      <text>
        <t>[Threaded comment]
Your version of Excel allows you to read this threaded comment; however, any edits to it will get removed if the file is opened in a newer version of Excel. Learn more: https://go.microsoft.com/fwlink/?linkid=870924
Comment:
    Both NC1 and NC2</t>
      </text>
    </comment>
    <comment ref="AG81" authorId="73" shapeId="0" xr:uid="{0352C38E-2953-4AFA-87B1-7137D6F99CAE}">
      <text>
        <r>
          <rPr>
            <b/>
            <sz val="9"/>
            <color indexed="81"/>
            <rFont val="Tahoma"/>
            <family val="2"/>
          </rPr>
          <t>Administrator:</t>
        </r>
        <r>
          <rPr>
            <sz val="9"/>
            <color indexed="81"/>
            <rFont val="Tahoma"/>
            <family val="2"/>
          </rPr>
          <t xml:space="preserve">
average %</t>
        </r>
      </text>
    </comment>
    <comment ref="AK81" authorId="74" shapeId="0" xr:uid="{5931DB60-CB5D-4661-968E-55677746F275}">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V84" authorId="75" shapeId="0" xr:uid="{B616C631-61CF-43B7-A213-C51D838D57E2}">
      <text>
        <t>[Threaded comment]
Your version of Excel allows you to read this threaded comment; however, any edits to it will get removed if the file is opened in a newer version of Excel. Learn more: https://go.microsoft.com/fwlink/?linkid=870924
Comment:
    New constructed and haven't collect data</t>
      </text>
    </comment>
    <comment ref="AV85" authorId="76" shapeId="0" xr:uid="{7D439422-12D6-47D4-BDF5-4D92CD907387}">
      <text>
        <t>[Threaded comment]
Your version of Excel allows you to read this threaded comment; however, any edits to it will get removed if the file is opened in a newer version of Excel. Learn more: https://go.microsoft.com/fwlink/?linkid=870924
Comment:
    New constructed and haven't collect data</t>
      </text>
    </comment>
    <comment ref="M87" authorId="77" shapeId="0" xr:uid="{AE8D8650-D1D2-4B5A-B52F-98775CC009EF}">
      <text>
        <t>[Threaded comment]
Your version of Excel allows you to read this threaded comment; however, any edits to it will get removed if the file is opened in a newer version of Excel. Learn more: https://go.microsoft.com/fwlink/?linkid=870924
Comment:
    BHA Project</t>
      </text>
    </comment>
    <comment ref="W87" authorId="78" shapeId="0" xr:uid="{13E28ABE-F92B-43AF-8AC7-549C1061F937}">
      <text>
        <t>[Threaded comment]
Your version of Excel allows you to read this threaded comment; however, any edits to it will get removed if the file is opened in a newer version of Excel. Learn more: https://go.microsoft.com/fwlink/?linkid=870924
Comment:
    Only tested FRC</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17" authorId="0" shapeId="0" xr:uid="{97F141A8-5F4E-4A38-8276-F4530BF62269}">
      <text>
        <r>
          <rPr>
            <b/>
            <sz val="9"/>
            <color indexed="81"/>
            <rFont val="Tahoma"/>
            <family val="2"/>
          </rPr>
          <t>Administrator:</t>
        </r>
        <r>
          <rPr>
            <sz val="9"/>
            <color indexed="81"/>
            <rFont val="Tahoma"/>
            <family val="2"/>
          </rPr>
          <t xml:space="preserve">
Dec 3W</t>
        </r>
      </text>
    </comment>
    <comment ref="H18" authorId="0" shapeId="0" xr:uid="{C636C141-179E-43F0-9AA0-435F2AB576D0}">
      <text>
        <r>
          <rPr>
            <b/>
            <sz val="9"/>
            <color indexed="81"/>
            <rFont val="Tahoma"/>
            <family val="2"/>
          </rPr>
          <t>Administrator:</t>
        </r>
        <r>
          <rPr>
            <sz val="9"/>
            <color indexed="81"/>
            <rFont val="Tahoma"/>
            <family val="2"/>
          </rPr>
          <t xml:space="preserve">
Dec 3W</t>
        </r>
      </text>
    </comment>
    <comment ref="H19" authorId="0" shapeId="0" xr:uid="{7F0F1E16-F0AE-4E4E-B638-924559AA3845}">
      <text>
        <r>
          <rPr>
            <b/>
            <sz val="9"/>
            <color indexed="81"/>
            <rFont val="Tahoma"/>
            <family val="2"/>
          </rPr>
          <t>Administrator:</t>
        </r>
        <r>
          <rPr>
            <sz val="9"/>
            <color indexed="81"/>
            <rFont val="Tahoma"/>
            <family val="2"/>
          </rPr>
          <t xml:space="preserve">
Dec 3W</t>
        </r>
      </text>
    </comment>
    <comment ref="K19" authorId="0" shapeId="0" xr:uid="{6CEA14F7-4307-4D90-9538-AF4E60CE2D73}">
      <text>
        <r>
          <rPr>
            <b/>
            <sz val="9"/>
            <color indexed="81"/>
            <rFont val="Tahoma"/>
            <family val="2"/>
          </rPr>
          <t>Administrator:</t>
        </r>
        <r>
          <rPr>
            <sz val="9"/>
            <color indexed="81"/>
            <rFont val="Tahoma"/>
            <family val="2"/>
          </rPr>
          <t xml:space="preserve">
WFP-nRS</t>
        </r>
      </text>
    </comment>
    <comment ref="H20" authorId="0" shapeId="0" xr:uid="{528A57DD-3CEC-41E7-A8B3-FCF402FC036B}">
      <text>
        <r>
          <rPr>
            <b/>
            <sz val="9"/>
            <color indexed="81"/>
            <rFont val="Tahoma"/>
            <family val="2"/>
          </rPr>
          <t>Administrator:</t>
        </r>
        <r>
          <rPr>
            <sz val="9"/>
            <color indexed="81"/>
            <rFont val="Tahoma"/>
            <family val="2"/>
          </rPr>
          <t xml:space="preserve">
August 3W
861</t>
        </r>
      </text>
    </comment>
    <comment ref="H23" authorId="0" shapeId="0" xr:uid="{036EE453-13BA-41E9-96CE-734B2FA0AF59}">
      <text>
        <r>
          <rPr>
            <b/>
            <sz val="9"/>
            <color indexed="81"/>
            <rFont val="Tahoma"/>
            <family val="2"/>
          </rPr>
          <t>Administrator:</t>
        </r>
        <r>
          <rPr>
            <sz val="9"/>
            <color indexed="81"/>
            <rFont val="Tahoma"/>
            <family val="2"/>
          </rPr>
          <t xml:space="preserve">
Dec 3W</t>
        </r>
      </text>
    </comment>
    <comment ref="H24" authorId="0" shapeId="0" xr:uid="{8D48F131-A69D-46FA-9A98-994DF8CA4FA9}">
      <text>
        <r>
          <rPr>
            <b/>
            <sz val="9"/>
            <color indexed="81"/>
            <rFont val="Tahoma"/>
            <family val="2"/>
          </rPr>
          <t>Administrator:</t>
        </r>
        <r>
          <rPr>
            <sz val="9"/>
            <color indexed="81"/>
            <rFont val="Tahoma"/>
            <family val="2"/>
          </rPr>
          <t xml:space="preserve">
Dec 3W</t>
        </r>
      </text>
    </comment>
    <comment ref="K24" authorId="0" shapeId="0" xr:uid="{85160670-8932-4BEC-952A-5A6017C53050}">
      <text>
        <r>
          <rPr>
            <b/>
            <sz val="9"/>
            <color indexed="81"/>
            <rFont val="Tahoma"/>
            <family val="2"/>
          </rPr>
          <t>Administrator:</t>
        </r>
        <r>
          <rPr>
            <sz val="9"/>
            <color indexed="81"/>
            <rFont val="Tahoma"/>
            <family val="2"/>
          </rPr>
          <t xml:space="preserve">
WFP-nRS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7"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1],[WWWW].[#_Water samples_Tested_at_water_source].&amp;[2],[WWWW].[#_Water samples_Tested_at_water_source].&amp;[3],[WWWW].[#_Water samples_Tested_at_water_source].&amp;[4],[WWWW].[#_Water samples_Tested_at_water_source].&amp;[5],[WWWW].[#_Water samples_Tested_at_water_source].&amp;[6],[WWWW].[#_Water samples_Tested_at_water_source].&amp;[8],[WWWW].[#_Water samples_Tested_at_water_source].&amp;[10],[WWWW].[#_Water samples_Tested_at_water_source].&amp;[12],[WWWW].[#_Water samples_Tested_at_water_source].&amp;[14],[WWWW].[#_Water samples_Tested_at_water_source].&amp;[17],[WWWW].[#_Water samples_Tested_at_water_source].&amp;[21],[WWWW].[#_Water samples_Tested_at_water_source].&amp;[30],[WWWW].[#_Water samples_Tested_at_water_source].&amp;[36],[WWWW].[#_Water samples_Tested_at_water_source].&amp;[44],[WWWW].[#_Water samples_Tested_at_water_source].&amp;[46],[WWWW].[#_Water samples_Tested_at_water_source].&amp;[48],[WWWW].[#_Water samples_Tested_at_water_source].&amp;[54],[WWWW].[#_Water samples_Tested_at_water_source].&amp;[65],[WWWW].[#_Water samples_Tested_at_water_source].&amp;[66],[WWWW].[#_Water samples_Tested_at_water_source].&amp;[68],[WWWW].[#_Water samples_Tested_at_water_source].&amp;[74],[WWWW].[#_Water samples_Tested_at_water_source].&amp;[75],[WWWW].[#_Water samples_Tested_at_water_source].&amp;[80],[WWWW].[#_Water samples_Tested_at_water_source].&amp;[83],[WWWW].[#_Water samples_Tested_at_water_source].&amp;[88],[WWWW].[#_Water samples_Tested_at_water_source].&amp;[91],[WWWW].[#_Water samples_Tested_at_water_source].&amp;[93],[WWWW].[#_Water samples_Tested_at_water_source].&amp;[122],[WWWW].[#_Water samples_Tested_at_water_source].&amp;[135],[WWWW].[#_Water samples_Tested_at_water_source].&amp;[170],[WWWW].[#_Water samples_Tested_at_water_source].&amp;[207],[WWWW].[#_Water samples_Tested_at_water_source].&amp;[236],[WWWW].[#_Water samples_Tested_at_water_source].&amp;[240]}"/>
    <s v="{[WWWW].[#_Water samples_Tested_at_HH].&amp;[1],[WWWW].[#_Water samples_Tested_at_HH].&amp;[2],[WWWW].[#_Water samples_Tested_at_HH].&amp;[3],[WWWW].[#_Water samples_Tested_at_HH].&amp;[4],[WWWW].[#_Water samples_Tested_at_HH].&amp;[5],[WWWW].[#_Water samples_Tested_at_HH].&amp;[6],[WWWW].[#_Water samples_Tested_at_HH].&amp;[8],[WWWW].[#_Water samples_Tested_at_HH].&amp;[18],[WWWW].[#_Water samples_Tested_at_HH].&amp;[20],[WWWW].[#_Water samples_Tested_at_HH].&amp;[46],[WWWW].[#_Water samples_Tested_at_HH].&amp;[56],[WWWW].[#_Water samples_Tested_at_HH].&amp;[60],[WWWW].[#_Water samples_Tested_at_HH].&amp;[69],[WWWW].[#_Water samples_Tested_at_HH].&amp;[72],[WWWW].[#_Water samples_Tested_at_HH].&amp;[74],[WWWW].[#_Water samples_Tested_at_HH].&amp;[76],[WWWW].[#_Water samples_Tested_at_HH].&amp;[78],[WWWW].[#_Water samples_Tested_at_HH].&amp;[81],[WWWW].[#_Water samples_Tested_at_HH].&amp;[83],[WWWW].[#_Water samples_Tested_at_HH].&amp;[84],[WWWW].[#_Water samples_Tested_at_HH].&amp;[85],[WWWW].[#_Water samples_Tested_at_HH].&amp;[88],[WWWW].[#_Water samples_Tested_at_HH].&amp;[90],[WWWW].[#_Water samples_Tested_at_HH].&amp;[97],[WWWW].[#_Water samples_Tested_at_HH].&amp;[112],[WWWW].[#_Water samples_Tested_at_HH].&amp;[114],[WWWW].[#_Water samples_Tested_at_HH].&amp;[120],[WWWW].[#_Water samples_Tested_at_HH].&amp;[122],[WWWW].[#_Water samples_Tested_at_HH].&amp;[155],[WWWW].[#_Water samples_Tested_at_HH].&amp;[177],[WWWW].[#_Water samples_Tested_at_HH].&amp;[240],[WWWW].[#_Water samples_Tested_at_HH].&amp;[248],[WWWW].[#_Water samples_Tested_at_HH].&amp;[493]}"/>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<sst xmlns="http://schemas.openxmlformats.org/spreadsheetml/2006/main" count="16013" uniqueCount="3233">
  <si>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</si>
  <si>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</si>
  <si>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</si>
  <si>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</si>
  <si>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</si>
  <si>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</si>
  <si>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</si>
  <si>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</si>
  <si>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</si>
  <si>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</si>
  <si>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</si>
  <si>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</si>
  <si>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</si>
  <si>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</si>
  <si>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</si>
  <si>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</si>
  <si>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</si>
  <si>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</si>
  <si>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</si>
  <si>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</si>
  <si>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</si>
  <si>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</si>
  <si>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</si>
  <si>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</si>
  <si>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</si>
  <si>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</si>
  <si>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</si>
  <si>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</si>
  <si>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</si>
  <si>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</si>
  <si>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</si>
  <si>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</si>
  <si>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</si>
  <si>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</si>
  <si>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</si>
  <si>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</si>
  <si>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</si>
  <si>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</si>
  <si>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</si>
  <si>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</si>
  <si>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</si>
  <si>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</si>
  <si>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</si>
  <si>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</si>
  <si>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</si>
  <si>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</si>
  <si>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</si>
  <si>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</si>
  <si>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</si>
  <si>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</si>
  <si>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</si>
  <si>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</si>
  <si>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</si>
  <si>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</si>
  <si>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</si>
  <si>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</si>
  <si>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</si>
  <si>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</si>
  <si>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</si>
  <si>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</si>
  <si>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</si>
  <si>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</si>
  <si>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</si>
  <si>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</si>
  <si>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</si>
  <si>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</si>
  <si>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</si>
  <si>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</si>
  <si>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</si>
  <si>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</si>
  <si>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</si>
  <si>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</si>
  <si>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</si>
  <si>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</si>
  <si>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</si>
  <si>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</si>
  <si>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</si>
  <si>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</si>
  <si>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</si>
  <si>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</si>
  <si>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</si>
  <si>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</si>
  <si>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</si>
  <si>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</si>
  <si>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</si>
  <si>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</si>
  <si>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</si>
  <si>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</si>
  <si>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</si>
  <si>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</si>
  <si>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</si>
  <si>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</si>
  <si>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</si>
  <si>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</si>
  <si>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</si>
  <si>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</si>
  <si>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</si>
  <si>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</si>
  <si>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</si>
  <si>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</si>
  <si>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</si>
  <si>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</si>
  <si>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</si>
  <si>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</si>
  <si>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</si>
  <si>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</si>
  <si>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</si>
  <si>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</si>
  <si>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</si>
  <si>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</si>
  <si>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</si>
  <si>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</si>
  <si>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</si>
  <si>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</si>
  <si>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</si>
  <si>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</si>
  <si>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</si>
  <si>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</si>
  <si>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</si>
  <si>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</si>
  <si>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</si>
  <si>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</si>
  <si>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</si>
  <si>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</si>
  <si>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</si>
  <si>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</si>
  <si>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</si>
  <si>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</si>
  <si>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</si>
  <si>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</si>
  <si>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</si>
  <si>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</si>
  <si>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</si>
  <si>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</si>
  <si>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</si>
  <si>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</si>
  <si>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</si>
  <si>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</si>
  <si>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</si>
  <si>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</si>
  <si>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</si>
  <si>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</si>
  <si>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</si>
  <si>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</si>
  <si>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</si>
  <si>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</si>
  <si>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</si>
  <si>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</si>
  <si>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</si>
  <si>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</si>
  <si>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</si>
  <si>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</si>
  <si>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</si>
  <si>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</si>
  <si>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</si>
  <si>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</si>
  <si>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</si>
  <si>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</si>
  <si>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</si>
  <si>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</si>
  <si>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</si>
  <si>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</si>
  <si>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</si>
  <si>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</si>
  <si>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</si>
  <si>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</si>
  <si>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</si>
  <si>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</si>
  <si>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</si>
  <si>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</si>
  <si>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</si>
  <si>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</si>
  <si>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</si>
  <si>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</si>
  <si>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</si>
  <si>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</si>
  <si>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</si>
  <si>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</si>
  <si>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</si>
  <si>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</si>
  <si>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</si>
  <si>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</si>
  <si>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</si>
  <si>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</si>
  <si>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</si>
  <si>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</si>
  <si>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</si>
  <si>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</si>
  <si>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</si>
  <si>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</si>
  <si>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</si>
  <si>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</si>
  <si>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</si>
  <si>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</si>
  <si>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</si>
  <si>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</si>
  <si>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</si>
  <si>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</si>
  <si>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</si>
  <si>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</si>
  <si>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</si>
  <si>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</si>
  <si>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</si>
  <si>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</si>
  <si>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</si>
  <si>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</si>
  <si>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</si>
  <si>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</si>
  <si>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</si>
  <si>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</si>
  <si>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</si>
  <si>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</si>
  <si>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</si>
  <si>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</si>
  <si>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</si>
  <si>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</si>
  <si>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</si>
  <si>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</si>
  <si>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</si>
  <si>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</si>
  <si>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</si>
  <si>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</si>
  <si>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</si>
  <si>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</si>
  <si>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</si>
  <si>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</si>
  <si>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</si>
  <si>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</si>
  <si>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</si>
  <si>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</si>
  <si>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</si>
  <si>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</si>
  <si>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</si>
  <si>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</si>
  <si>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</si>
  <si>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</si>
  <si>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</si>
  <si>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</si>
  <si>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</si>
  <si>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</si>
  <si>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</si>
  <si>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</si>
  <si>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</si>
  <si>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</si>
  <si>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</si>
  <si>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</si>
  <si>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</si>
  <si>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</si>
  <si>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</si>
  <si>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</si>
  <si>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</si>
  <si>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</si>
  <si>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</si>
  <si>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</si>
  <si>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</si>
  <si>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</si>
  <si>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</si>
  <si>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</si>
  <si>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</si>
  <si>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</si>
  <si>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</si>
  <si>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</si>
  <si>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</si>
  <si>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</si>
  <si>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</si>
  <si>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</si>
  <si>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</si>
  <si>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</si>
  <si>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</si>
  <si>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</si>
  <si>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</si>
  <si>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</si>
  <si>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</si>
  <si>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</si>
  <si>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</si>
  <si>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</si>
  <si>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</si>
  <si>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</si>
  <si>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</si>
  <si>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</si>
  <si>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</si>
  <si>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</si>
  <si>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</si>
  <si>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</si>
  <si>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</si>
  <si>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</si>
  <si>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</si>
  <si>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</si>
  <si>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</si>
  <si>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</si>
  <si>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</si>
  <si>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</si>
  <si>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</si>
  <si>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</si>
  <si>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</si>
  <si>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</si>
  <si>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</si>
  <si>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</si>
  <si>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</si>
  <si>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</si>
  <si>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</si>
  <si>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</si>
  <si>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</si>
  <si>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</si>
  <si>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</si>
  <si>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</si>
  <si>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</si>
  <si>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</si>
  <si>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</si>
  <si>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</si>
  <si>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</si>
  <si>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</si>
  <si>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</si>
  <si>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</si>
  <si>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</si>
  <si>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</si>
  <si>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</si>
  <si>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</si>
  <si>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</si>
  <si>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</si>
  <si>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</si>
  <si>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</si>
  <si>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</si>
  <si>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</si>
  <si>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</si>
  <si>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</si>
  <si>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</si>
  <si>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</si>
  <si>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</si>
  <si>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</si>
  <si>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</si>
  <si>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</si>
  <si>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</si>
  <si>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</si>
  <si>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</si>
  <si>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</si>
  <si>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</si>
  <si>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</si>
  <si>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</si>
  <si>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</si>
  <si>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</si>
  <si>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</si>
  <si>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</si>
  <si>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</si>
  <si>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</si>
  <si>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</si>
  <si>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</si>
  <si>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</si>
  <si>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</si>
  <si>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</si>
  <si>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</si>
  <si>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</si>
  <si>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</si>
  <si>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</si>
  <si>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</si>
  <si>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</si>
  <si>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</si>
  <si>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</si>
  <si>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</si>
  <si>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</si>
  <si>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</si>
  <si>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</si>
  <si>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</si>
  <si>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</si>
  <si>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</si>
  <si>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</si>
  <si>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</si>
  <si>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</si>
  <si>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</si>
  <si>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</si>
  <si>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</si>
  <si>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</si>
  <si>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</si>
  <si>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</si>
  <si>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</si>
  <si>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</si>
  <si>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</si>
  <si>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</si>
  <si>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</si>
  <si>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</si>
  <si>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</si>
  <si>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</si>
  <si>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</si>
  <si>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</si>
  <si>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</si>
  <si>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</si>
  <si>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</si>
  <si>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</si>
  <si>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</si>
  <si>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</si>
  <si>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</si>
  <si>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</si>
  <si>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</si>
  <si>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</si>
  <si>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</si>
  <si>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</si>
  <si>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</si>
  <si>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</si>
  <si>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</si>
  <si>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</si>
  <si>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</si>
  <si>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</si>
  <si>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</si>
  <si>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</si>
  <si>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</si>
  <si>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</si>
  <si>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</si>
  <si>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</si>
  <si>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</si>
  <si>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</si>
  <si>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</si>
  <si>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</si>
  <si>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</si>
  <si>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</si>
  <si>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</si>
  <si>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</si>
  <si>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</si>
  <si>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</si>
  <si>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</si>
  <si>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</si>
  <si>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</si>
  <si>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</si>
  <si>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</si>
  <si>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</si>
  <si>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</si>
  <si>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</si>
  <si>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</si>
  <si>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</si>
  <si>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</si>
  <si>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</si>
  <si>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</si>
  <si>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</si>
  <si>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</si>
  <si>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</si>
  <si>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</si>
  <si>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</si>
  <si>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</si>
  <si>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</si>
  <si>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</si>
  <si>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</si>
  <si>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</si>
  <si>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</si>
  <si>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</si>
  <si>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</si>
  <si>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</si>
  <si>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</si>
  <si>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</si>
  <si>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</si>
  <si>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</si>
  <si>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</si>
  <si>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</si>
  <si>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</si>
  <si>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</si>
  <si>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</si>
  <si>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</si>
  <si>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</si>
  <si>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</si>
  <si>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</si>
  <si>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</si>
  <si>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</si>
  <si>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</si>
  <si>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</si>
  <si>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</si>
  <si>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</si>
  <si>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</si>
  <si>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</si>
  <si>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</si>
  <si>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</si>
  <si>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</si>
  <si>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</si>
  <si>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</si>
  <si>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</si>
  <si>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</si>
  <si>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</si>
  <si>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</si>
  <si>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</si>
  <si>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</si>
  <si>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</si>
  <si>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</si>
  <si>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</si>
  <si>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</si>
  <si>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</si>
  <si>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</si>
  <si>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</si>
  <si>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</si>
  <si>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</si>
  <si>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</si>
  <si>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</si>
  <si>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</si>
  <si>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</si>
  <si>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</si>
  <si>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</si>
  <si>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</si>
  <si>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</si>
  <si>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</si>
  <si>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</si>
  <si>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</si>
  <si>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</si>
  <si>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</si>
  <si>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</si>
  <si>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</si>
  <si>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</si>
  <si>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</si>
  <si>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</si>
  <si>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</si>
  <si>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</si>
  <si>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</si>
  <si>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</si>
  <si>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</si>
  <si>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</si>
  <si>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</si>
  <si>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</si>
  <si>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</si>
  <si>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</si>
  <si>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</si>
  <si>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</si>
  <si>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</si>
  <si>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</si>
  <si>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</si>
  <si>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</si>
  <si>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</si>
  <si>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</si>
  <si>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</si>
  <si>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</si>
  <si>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</si>
  <si>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</si>
  <si>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</si>
  <si>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</si>
  <si>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</si>
  <si>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</si>
  <si>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</si>
  <si>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</si>
  <si>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</si>
  <si>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</si>
  <si>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</si>
  <si>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</si>
  <si>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</si>
  <si>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</si>
  <si>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</si>
  <si>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</si>
  <si>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</si>
  <si>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</si>
  <si>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</si>
  <si>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</si>
  <si>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</si>
  <si>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</si>
  <si>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</si>
  <si>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</si>
  <si>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</si>
  <si>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</si>
  <si>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</si>
  <si>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</si>
  <si>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</si>
  <si>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</si>
  <si>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</si>
  <si>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</si>
  <si>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</si>
  <si>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</si>
  <si>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</si>
  <si>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</si>
  <si>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</si>
  <si>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</si>
  <si>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</si>
  <si>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</si>
  <si>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</si>
  <si>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</si>
  <si>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</si>
  <si>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</si>
  <si>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</si>
  <si>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</si>
  <si>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</si>
  <si>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</si>
  <si>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</si>
  <si>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</si>
  <si>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</si>
  <si>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</si>
  <si>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</si>
  <si>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</si>
  <si>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</si>
  <si>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</si>
  <si>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</si>
  <si>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</si>
  <si>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</si>
  <si>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</si>
  <si>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</si>
  <si>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</si>
  <si>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</si>
  <si>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</si>
  <si>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</si>
  <si>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</si>
  <si>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</si>
  <si>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</si>
  <si>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</si>
  <si>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</si>
  <si>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</si>
  <si>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</si>
  <si>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</si>
  <si>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</si>
  <si>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</si>
  <si>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</si>
  <si>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</si>
  <si>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</si>
  <si>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</si>
  <si>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</si>
  <si>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</si>
  <si>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</si>
  <si>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</si>
  <si>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</si>
  <si>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</si>
  <si>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</si>
  <si>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</si>
  <si>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</si>
  <si>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</si>
  <si>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</si>
  <si>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</si>
  <si>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</si>
  <si>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</si>
  <si>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</si>
  <si>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</si>
  <si>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</si>
  <si>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</si>
  <si>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</si>
  <si>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</si>
  <si>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</si>
  <si>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</si>
  <si>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</si>
  <si>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</si>
  <si>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</si>
  <si>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</si>
  <si>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</si>
  <si>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</si>
  <si>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</si>
  <si>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</si>
  <si>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</si>
  <si>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</si>
  <si>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</si>
  <si>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</si>
  <si>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</si>
  <si>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</si>
  <si>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</si>
  <si>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</si>
  <si>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</si>
  <si>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</si>
  <si>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</si>
  <si>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</si>
  <si>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</si>
  <si>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</si>
  <si>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</si>
  <si>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</si>
  <si>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</si>
  <si>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</si>
  <si>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</si>
  <si>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</si>
  <si>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</si>
  <si>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</si>
  <si>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</si>
  <si>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</si>
  <si>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</si>
  <si>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</si>
  <si>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</si>
  <si>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</si>
  <si>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</si>
  <si>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</si>
  <si>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</si>
  <si>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</si>
  <si>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</si>
  <si>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</si>
  <si>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</si>
  <si>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</si>
  <si>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</si>
  <si>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</si>
  <si>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</si>
  <si>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</si>
  <si>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</si>
  <si>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</si>
  <si>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</si>
  <si>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</si>
  <si>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</si>
  <si>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</si>
  <si>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</si>
  <si>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</si>
  <si>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</si>
  <si>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</si>
  <si>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</si>
  <si>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</si>
  <si>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</si>
  <si>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</si>
  <si>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</si>
  <si>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</si>
  <si>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</si>
  <si>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</si>
  <si>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</si>
  <si>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</si>
  <si>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</si>
  <si>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</si>
  <si>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</si>
  <si>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</si>
  <si>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</si>
  <si>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</si>
  <si>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</si>
  <si>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</si>
  <si>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</si>
  <si>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</si>
  <si>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</si>
  <si>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</si>
  <si>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</si>
  <si>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</si>
  <si>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</si>
  <si>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</si>
  <si>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</si>
  <si>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</si>
  <si>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</si>
  <si>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</si>
  <si>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</si>
  <si>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</si>
  <si>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</si>
  <si>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</si>
  <si>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</si>
  <si>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</si>
  <si>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</si>
  <si>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</si>
  <si>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</si>
  <si>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</si>
  <si>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</si>
  <si>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</si>
  <si>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</si>
  <si>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</si>
  <si>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</si>
  <si>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</si>
  <si>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</si>
  <si>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</si>
  <si>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</si>
  <si>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</si>
  <si>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</si>
  <si>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</si>
  <si>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</si>
  <si>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</si>
  <si>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</si>
  <si>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</si>
  <si>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</si>
  <si>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</si>
  <si>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</si>
  <si>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</si>
  <si>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</si>
  <si>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</si>
  <si>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</si>
  <si>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</si>
  <si>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</si>
  <si>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</si>
  <si>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</si>
  <si>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</si>
  <si>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</si>
  <si>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</si>
  <si>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</si>
  <si>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</si>
  <si>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</si>
  <si>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</si>
  <si>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</si>
  <si>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</si>
  <si>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</si>
  <si>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</si>
  <si>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</si>
  <si>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</si>
  <si>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</si>
  <si>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</si>
  <si>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</si>
  <si>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</si>
  <si>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</si>
  <si>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</si>
  <si>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</si>
  <si>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</si>
  <si>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</si>
  <si>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</si>
  <si>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</si>
  <si>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</si>
  <si>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</si>
  <si>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</si>
  <si>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</si>
  <si>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</si>
  <si>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</si>
  <si>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</si>
  <si>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</si>
  <si>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</si>
  <si>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</si>
  <si>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</si>
  <si>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</si>
  <si>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</si>
  <si>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</si>
  <si>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</si>
  <si>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</si>
  <si>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</si>
  <si>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</si>
  <si>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</si>
  <si>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</si>
  <si>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</si>
  <si>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</si>
  <si>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</si>
  <si>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</si>
  <si>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</si>
  <si>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</si>
  <si>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</si>
  <si>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</si>
  <si>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</si>
  <si>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</si>
  <si>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</si>
  <si>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</si>
  <si>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</si>
  <si>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</si>
  <si>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</si>
  <si>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</si>
  <si>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</si>
  <si>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</si>
  <si>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</si>
  <si>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</si>
  <si>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</si>
  <si>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</si>
  <si>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</si>
  <si>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</si>
  <si>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</si>
  <si>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</si>
  <si>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</si>
  <si>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</si>
  <si>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</si>
  <si>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</si>
  <si>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</si>
  <si>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</si>
  <si>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</si>
  <si>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</si>
  <si>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</si>
  <si>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</si>
  <si>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</si>
  <si>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</si>
  <si>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</si>
  <si>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</si>
  <si>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</si>
  <si>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</si>
  <si>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</si>
  <si>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</si>
  <si>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</si>
  <si>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</si>
  <si>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</si>
  <si>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</si>
  <si>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</si>
  <si>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</si>
  <si>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</si>
  <si>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</si>
  <si>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</si>
  <si>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</si>
  <si>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</si>
  <si>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</si>
  <si>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</si>
  <si>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</si>
  <si>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</si>
  <si>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</si>
  <si>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</si>
  <si>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</si>
  <si>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</si>
  <si>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</si>
  <si>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</si>
  <si>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</si>
  <si>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</si>
  <si>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</si>
  <si>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</si>
  <si>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</si>
  <si>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</si>
  <si>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</si>
  <si>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</si>
  <si>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</si>
  <si>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</si>
  <si>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</si>
  <si>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</si>
  <si>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</si>
  <si>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</si>
  <si>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</si>
  <si>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</si>
  <si>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</si>
  <si>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</si>
  <si>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</si>
  <si>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</si>
  <si>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</si>
  <si>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</si>
  <si>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</si>
  <si>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</si>
  <si>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</si>
  <si>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</si>
  <si>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</si>
  <si>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</si>
  <si>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</si>
  <si>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</si>
  <si>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</si>
  <si>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</si>
  <si>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</si>
  <si>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</si>
  <si>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</si>
  <si>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</si>
  <si>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</si>
  <si>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</si>
  <si>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</si>
  <si>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</si>
  <si>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</si>
  <si>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</si>
  <si>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</si>
  <si>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</si>
  <si>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</si>
  <si>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</si>
  <si>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</si>
  <si>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</si>
  <si>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</si>
  <si>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</si>
  <si>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</si>
  <si>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</si>
  <si>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</si>
  <si>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</si>
  <si>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</si>
  <si>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</si>
  <si>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</si>
  <si>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</si>
  <si>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</si>
  <si>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</si>
  <si>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</si>
  <si>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</si>
  <si>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</si>
  <si>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</si>
  <si>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</si>
  <si>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</si>
  <si>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</si>
  <si>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</si>
  <si>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</si>
  <si>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</si>
  <si>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</si>
  <si>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</si>
  <si>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</si>
  <si>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</si>
  <si>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</si>
  <si>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</si>
  <si>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</si>
  <si>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</si>
  <si>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</si>
  <si>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</si>
  <si>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</si>
  <si>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</si>
  <si>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</si>
  <si>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</si>
  <si>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</si>
  <si>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</si>
  <si>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</si>
  <si>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</si>
  <si>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</si>
  <si>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</si>
  <si>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</si>
  <si>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</si>
  <si>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</si>
  <si>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</si>
  <si>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</si>
  <si>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</si>
  <si>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</si>
  <si>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</si>
  <si>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</si>
  <si>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</si>
  <si>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</si>
  <si>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</si>
  <si>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</si>
  <si>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</si>
  <si>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</si>
  <si>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</si>
  <si>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</si>
  <si>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</si>
  <si>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</si>
  <si>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</si>
  <si>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</si>
  <si>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</si>
  <si>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</si>
  <si>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</si>
  <si>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</si>
  <si>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</si>
  <si>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</si>
  <si>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</si>
  <si>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</si>
  <si>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</si>
  <si>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</si>
  <si>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</si>
  <si>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</si>
  <si>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</si>
  <si>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</si>
  <si>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</si>
  <si>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</si>
  <si>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</si>
  <si>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</si>
  <si>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</si>
  <si>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</si>
  <si>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</si>
  <si>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</si>
  <si>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</si>
  <si>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</si>
  <si>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</si>
  <si>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</si>
  <si>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</si>
  <si>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</si>
  <si>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</si>
  <si>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</si>
  <si>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</si>
  <si>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</si>
  <si>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</si>
  <si>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</si>
  <si>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</si>
  <si>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</si>
  <si>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</si>
  <si>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</si>
  <si>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</si>
  <si>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</si>
  <si>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</si>
  <si>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</si>
  <si>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</si>
  <si>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</si>
  <si>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</si>
  <si>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</si>
  <si>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</si>
  <si>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</si>
  <si>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</si>
  <si>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</si>
  <si>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</si>
  <si>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</si>
  <si>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</si>
  <si>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</si>
  <si>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</si>
  <si>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</si>
  <si>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</si>
  <si>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</si>
  <si>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</si>
  <si>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</si>
  <si>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</si>
  <si>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</si>
  <si>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</si>
  <si>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</si>
  <si>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</si>
  <si>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</si>
  <si>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</si>
  <si>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</si>
  <si>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</si>
  <si>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</si>
  <si>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</si>
  <si>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</si>
  <si>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</si>
  <si>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</si>
  <si>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</si>
  <si>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</si>
  <si>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</si>
  <si>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</si>
  <si>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</si>
  <si>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</si>
  <si>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</si>
  <si>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</si>
  <si>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</si>
  <si>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</si>
  <si>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</si>
  <si>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</si>
  <si>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</si>
  <si>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</si>
  <si>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</si>
  <si>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</si>
  <si>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</si>
  <si>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</si>
  <si>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</si>
  <si>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</si>
  <si>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</si>
  <si>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</si>
  <si>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</si>
  <si>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</si>
  <si>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</si>
  <si>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</si>
  <si>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</si>
  <si>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</si>
  <si>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</si>
  <si>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</si>
  <si>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</si>
  <si>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</si>
  <si>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</si>
  <si>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</si>
  <si>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</si>
  <si>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</si>
  <si>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</si>
  <si>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</si>
  <si>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</si>
  <si>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</si>
  <si>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</si>
  <si>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</si>
  <si>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</si>
  <si>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</si>
  <si>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</si>
  <si>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</si>
  <si>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</si>
  <si>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</si>
  <si>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</si>
  <si>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</si>
  <si>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</si>
  <si>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</si>
  <si>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</si>
  <si>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</si>
  <si>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</si>
  <si>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</si>
  <si>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</si>
  <si>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</si>
  <si>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</si>
  <si>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</si>
  <si>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</si>
  <si>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</si>
  <si>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</si>
  <si>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</si>
  <si>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</si>
  <si>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</si>
  <si>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</si>
  <si>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</si>
  <si>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</si>
  <si>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</si>
  <si>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</si>
  <si>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</si>
  <si>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</si>
  <si>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</si>
  <si>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</si>
  <si>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</si>
  <si>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</si>
  <si>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</si>
  <si>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</si>
  <si>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</si>
  <si>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</si>
  <si>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</si>
  <si>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</si>
  <si>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</si>
  <si>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</si>
  <si>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</si>
  <si>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</si>
  <si>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</si>
  <si>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</si>
  <si>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</si>
  <si>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</si>
  <si>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</si>
  <si>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</si>
  <si>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</si>
  <si>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</si>
  <si>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</si>
  <si>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</si>
  <si>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</si>
  <si>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</si>
  <si>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</si>
  <si>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</si>
  <si>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</si>
  <si>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</si>
  <si>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</si>
  <si>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</si>
  <si>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</si>
  <si>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</si>
  <si>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</si>
  <si>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</si>
  <si>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</si>
  <si>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</si>
  <si>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</si>
  <si>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</si>
  <si>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</si>
  <si>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</si>
  <si>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</si>
  <si>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</si>
  <si>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</si>
  <si>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</si>
  <si>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</si>
  <si>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</si>
  <si>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</si>
  <si>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</si>
  <si>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</si>
  <si>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</si>
  <si>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</si>
  <si>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</si>
  <si>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</si>
  <si>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</si>
  <si>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</si>
  <si>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</si>
  <si>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</si>
  <si>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</si>
  <si>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</si>
  <si>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</si>
  <si>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</si>
  <si>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</si>
  <si>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</si>
  <si>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</si>
  <si>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</si>
  <si>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</si>
  <si>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</si>
  <si>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</si>
  <si>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</si>
  <si>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</si>
  <si>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</si>
  <si>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</si>
  <si>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</si>
  <si>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</si>
  <si>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</si>
  <si>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</si>
  <si>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</si>
  <si>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</si>
  <si>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</si>
  <si>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</si>
  <si>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</si>
  <si>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</si>
  <si>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</si>
  <si>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</si>
  <si>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</si>
  <si>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</si>
  <si>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</si>
  <si>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</si>
  <si>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</si>
  <si>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</si>
  <si>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</si>
  <si>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</si>
  <si>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</si>
  <si>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</si>
  <si>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</si>
  <si>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</si>
  <si>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</si>
  <si>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</si>
  <si>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</si>
  <si>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</si>
  <si>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</si>
  <si>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</si>
  <si>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</si>
  <si>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</si>
  <si>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</si>
  <si>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</si>
  <si>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</si>
  <si>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</si>
  <si>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</si>
  <si>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</si>
  <si>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</si>
  <si>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</si>
  <si>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</si>
  <si>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</si>
  <si>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</si>
  <si>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</si>
  <si>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</si>
  <si>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</si>
  <si>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</si>
  <si>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</si>
  <si>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</si>
  <si>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</si>
  <si>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</si>
  <si>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</si>
  <si>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</si>
  <si>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</si>
  <si>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</si>
  <si>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</si>
  <si>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</si>
  <si>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</si>
  <si>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</si>
  <si>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</si>
  <si>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</si>
  <si>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</si>
  <si>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</si>
  <si>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</si>
  <si>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</si>
  <si>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</si>
  <si>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</si>
  <si>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</si>
  <si>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</si>
  <si>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</si>
  <si>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</si>
  <si>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</si>
  <si>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</si>
  <si>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</si>
  <si>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</si>
  <si>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</si>
  <si>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</si>
  <si>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</si>
  <si>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</si>
  <si>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</si>
  <si>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</si>
  <si>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</si>
  <si>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</si>
  <si>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</si>
  <si>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</si>
  <si>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</si>
  <si>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</si>
  <si>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</si>
  <si>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</si>
  <si>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</si>
  <si>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</si>
  <si>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</si>
  <si>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</si>
  <si>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</si>
  <si>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</si>
  <si>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</si>
  <si>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</si>
  <si>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</si>
  <si>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</si>
  <si>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</si>
  <si>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</si>
  <si>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</si>
  <si>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</si>
  <si>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</si>
  <si>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</si>
  <si>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</si>
  <si>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</si>
  <si>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</si>
  <si>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</si>
  <si>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</si>
  <si>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</si>
  <si>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</si>
  <si>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</si>
  <si>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</si>
  <si>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</si>
  <si>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</si>
  <si>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</si>
  <si>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</si>
  <si>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</si>
  <si>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</si>
  <si>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</si>
  <si>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</si>
  <si>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</si>
  <si>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</si>
  <si>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</si>
  <si>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</si>
  <si>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</si>
  <si>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</si>
  <si>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</si>
  <si>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</si>
  <si>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</si>
  <si>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</si>
  <si>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</si>
  <si>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</si>
  <si>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</si>
  <si>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</si>
  <si>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</si>
  <si>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</si>
  <si>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</si>
  <si>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</si>
  <si>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</si>
  <si>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</si>
  <si>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</si>
  <si>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</si>
  <si>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</si>
  <si>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</si>
  <si>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</si>
  <si>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</si>
  <si>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</si>
  <si>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</si>
  <si>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</si>
  <si>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</si>
  <si>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</si>
  <si>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</si>
  <si>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</si>
  <si>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</si>
  <si>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</si>
  <si>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</si>
  <si>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</si>
  <si>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</si>
  <si>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</si>
  <si>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</si>
  <si>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</si>
  <si>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</si>
  <si>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</si>
  <si>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</si>
  <si>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</si>
  <si>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</si>
  <si>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</si>
  <si>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</si>
  <si>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</si>
  <si>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</si>
  <si>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</si>
  <si>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</si>
  <si>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</si>
  <si>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</si>
  <si>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</si>
  <si>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</si>
  <si>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</si>
  <si>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</si>
  <si>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</si>
  <si>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</si>
  <si>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</si>
  <si>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</si>
  <si>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</si>
  <si>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</si>
  <si>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</si>
  <si>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</si>
  <si>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</si>
  <si>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</si>
  <si>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</si>
  <si>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</si>
  <si>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</si>
  <si>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</si>
  <si>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</si>
  <si>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</si>
  <si>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</si>
  <si>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</si>
  <si>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</si>
  <si>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</si>
  <si>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</si>
  <si>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</si>
  <si>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</si>
  <si>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</si>
  <si>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</si>
  <si>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</si>
  <si>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</si>
  <si>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</si>
  <si>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</si>
  <si>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</si>
  <si>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</si>
  <si>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</si>
  <si>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</si>
  <si>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</si>
  <si>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</si>
  <si>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</si>
  <si>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</si>
  <si>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</si>
  <si>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</si>
  <si>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</si>
  <si>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</si>
  <si>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</si>
  <si>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</si>
  <si>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</si>
  <si>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</si>
  <si>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</si>
  <si>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</si>
  <si>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</si>
  <si>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</si>
  <si>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</si>
  <si>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</si>
  <si>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</si>
  <si>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</si>
  <si>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</si>
  <si>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</si>
  <si>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</si>
  <si>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</si>
  <si>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</si>
  <si>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</si>
  <si>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</si>
  <si>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</si>
  <si>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</si>
  <si>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</si>
  <si>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</si>
  <si>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</si>
  <si>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</si>
  <si>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</si>
  <si>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</si>
  <si>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</si>
  <si>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</si>
  <si>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</si>
  <si>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</si>
  <si>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</si>
  <si>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</si>
  <si>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</si>
  <si>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</si>
  <si>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</si>
  <si>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</si>
  <si>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</si>
  <si>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</si>
  <si>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</si>
  <si>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</si>
  <si>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</si>
  <si>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</si>
  <si>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</si>
  <si>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</si>
  <si>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</si>
  <si>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</si>
  <si>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</si>
  <si>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</si>
  <si>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</si>
  <si>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</si>
  <si>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</si>
  <si>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</si>
  <si>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</si>
  <si>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</si>
  <si>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</si>
  <si>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</si>
  <si>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</si>
  <si>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</si>
  <si>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</si>
  <si>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</si>
  <si>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</si>
  <si>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</si>
  <si>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</si>
  <si>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</si>
  <si>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</si>
  <si>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</si>
  <si>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</si>
  <si>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</si>
  <si>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</si>
  <si>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</si>
  <si>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</si>
  <si>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</si>
  <si>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</si>
  <si>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</si>
  <si>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</si>
  <si>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</si>
  <si>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</si>
  <si>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</si>
  <si>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</si>
  <si>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</si>
  <si>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</si>
  <si>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</si>
  <si>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</si>
  <si>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</si>
  <si>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</si>
  <si>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</si>
  <si>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</si>
  <si>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</si>
  <si>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</si>
  <si>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</si>
  <si>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</si>
  <si>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</si>
  <si>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</si>
  <si>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</si>
  <si>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</si>
  <si>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</si>
  <si>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</si>
  <si>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</si>
  <si>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</si>
  <si>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</si>
  <si>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</si>
  <si>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</si>
  <si>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</si>
  <si>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</si>
  <si>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</si>
  <si>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</si>
  <si>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</si>
  <si>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</si>
  <si>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</si>
  <si>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</si>
  <si>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</si>
  <si>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</si>
  <si>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</si>
  <si>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</si>
  <si>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</si>
  <si>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</si>
  <si>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</si>
  <si>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</si>
  <si>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</si>
  <si>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</si>
  <si>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</si>
  <si>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</si>
  <si>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</si>
  <si>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</si>
  <si>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</si>
  <si>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</si>
  <si>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</si>
  <si>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</si>
  <si>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</si>
  <si>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</si>
  <si>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</si>
  <si>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</si>
  <si>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</si>
  <si>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</si>
  <si>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</si>
  <si>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</si>
  <si>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</si>
  <si>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</si>
  <si>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</si>
  <si>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</si>
  <si>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</si>
  <si>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</si>
  <si>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</si>
  <si>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</si>
  <si>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</si>
  <si>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</si>
  <si>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</si>
  <si>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</si>
  <si>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</si>
  <si>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</si>
  <si>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</si>
  <si>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</si>
  <si>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</si>
  <si>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</si>
  <si>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</si>
  <si>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</si>
  <si>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</si>
  <si>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</si>
  <si>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</si>
  <si>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</si>
  <si>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</si>
  <si>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</si>
  <si>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</si>
  <si>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</si>
  <si>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</si>
  <si>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</si>
  <si>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</si>
  <si>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</si>
  <si>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</si>
  <si>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</si>
  <si>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</si>
  <si>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</si>
  <si>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</si>
  <si>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</si>
  <si>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</si>
  <si>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</si>
  <si>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</si>
  <si>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</si>
  <si>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</si>
  <si>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</si>
  <si>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</si>
  <si>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</si>
  <si>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</si>
  <si>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</si>
  <si>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</si>
  <si>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</si>
  <si>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</si>
  <si>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</si>
  <si>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</si>
  <si>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</si>
  <si>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</si>
  <si>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</si>
  <si>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</si>
  <si>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</si>
  <si>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</si>
  <si>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</si>
  <si>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</si>
  <si>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</si>
  <si>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</si>
  <si>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</si>
  <si>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</si>
  <si>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</si>
  <si>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</si>
  <si>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</si>
  <si>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</si>
  <si>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</si>
  <si>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</si>
  <si>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</si>
  <si>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</si>
  <si>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</si>
  <si>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</si>
  <si>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</si>
  <si>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</si>
  <si>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</si>
  <si>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</si>
  <si>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</si>
  <si>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</si>
  <si>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</si>
  <si>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</si>
  <si>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</si>
  <si>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</si>
  <si>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</si>
  <si>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</si>
  <si>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</si>
  <si>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</si>
  <si>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</si>
  <si>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</si>
  <si>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</si>
  <si>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</si>
  <si>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</si>
  <si>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</si>
  <si>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</si>
  <si>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</si>
  <si>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</si>
  <si>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</si>
  <si>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</si>
  <si>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</si>
  <si>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</si>
  <si>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</si>
  <si>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</si>
  <si>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</si>
  <si>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</si>
  <si>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</si>
  <si>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</si>
  <si>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</si>
  <si>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</si>
  <si>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</si>
  <si>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</si>
  <si>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</si>
  <si>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</si>
  <si>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</si>
  <si>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</si>
  <si>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</si>
  <si>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</si>
  <si>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</si>
  <si>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</si>
  <si>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</si>
  <si>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</si>
  <si>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</si>
  <si>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</si>
  <si>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</si>
  <si>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</si>
  <si>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</si>
  <si>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</si>
  <si>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</si>
  <si>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</si>
  <si>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</si>
  <si>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</si>
  <si>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</si>
  <si>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</si>
  <si>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</si>
  <si>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</si>
  <si>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</si>
  <si>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</si>
  <si>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</si>
  <si>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</si>
  <si>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</si>
  <si>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</si>
  <si>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</si>
  <si>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</si>
  <si>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</si>
  <si>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</si>
  <si>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</si>
  <si>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</si>
  <si>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</si>
  <si>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</si>
  <si>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</si>
  <si>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</si>
  <si>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</si>
  <si>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</si>
  <si>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</si>
  <si>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</si>
  <si>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</si>
  <si>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</si>
  <si>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</si>
  <si>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</si>
  <si>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</si>
  <si>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</si>
  <si>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</si>
  <si>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</si>
  <si>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</si>
  <si>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</si>
  <si>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</si>
  <si>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</si>
  <si>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</si>
  <si>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</si>
  <si>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</si>
  <si>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</si>
  <si>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</si>
  <si>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</si>
  <si>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</si>
  <si>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</si>
  <si>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</si>
  <si>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</si>
  <si>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</si>
  <si>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</si>
  <si>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</si>
  <si>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</si>
  <si>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</si>
  <si>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</si>
  <si>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</si>
  <si>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</si>
  <si>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</si>
  <si>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</si>
  <si>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</si>
  <si>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</si>
  <si>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</si>
  <si>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</si>
  <si>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</si>
  <si>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</si>
  <si>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</si>
  <si>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</si>
  <si>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</si>
  <si>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</si>
  <si>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</si>
  <si>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</si>
  <si>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</si>
  <si>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</si>
  <si>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</si>
  <si>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</si>
  <si>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</si>
  <si>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</si>
  <si>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</si>
  <si>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</si>
  <si>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</si>
  <si>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</si>
  <si>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</si>
  <si>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</si>
  <si>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</si>
  <si>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</si>
  <si>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</si>
  <si>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</si>
  <si>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</si>
  <si>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</si>
  <si>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</si>
  <si>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</si>
  <si>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</si>
  <si>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</si>
  <si>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</si>
  <si>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</si>
  <si>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</si>
  <si>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</si>
  <si>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</si>
  <si>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</si>
  <si>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</si>
  <si>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</si>
  <si>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</si>
  <si>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</si>
  <si>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</si>
  <si>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</si>
  <si>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</si>
  <si>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</si>
  <si>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</si>
  <si>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</si>
  <si>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</si>
  <si>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</si>
  <si>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</si>
  <si>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</si>
  <si>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</si>
  <si>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</si>
  <si>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</si>
  <si>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</si>
  <si>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</si>
  <si>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</si>
  <si>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</si>
  <si>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</si>
  <si>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</si>
  <si>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</si>
  <si>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</si>
  <si>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</si>
  <si>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</si>
  <si>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</si>
  <si>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</si>
  <si>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</si>
  <si>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</si>
  <si>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</si>
  <si>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</si>
  <si>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</si>
  <si>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</si>
  <si>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</si>
  <si>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</si>
  <si>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</si>
  <si>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</si>
  <si>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</si>
  <si>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</si>
  <si>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</si>
  <si>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</si>
  <si>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</si>
  <si>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</si>
  <si>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</si>
  <si>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</si>
  <si>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</si>
  <si>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</si>
  <si>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</si>
  <si>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</si>
  <si>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</si>
  <si>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</si>
  <si>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</si>
  <si>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</si>
  <si>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</si>
  <si>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</si>
  <si>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</si>
  <si>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</si>
  <si>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</si>
  <si>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</si>
  <si>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</si>
  <si>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</si>
  <si>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</si>
  <si>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</si>
  <si>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</si>
  <si>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</si>
  <si>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</si>
  <si>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</si>
  <si>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</si>
  <si>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</si>
  <si>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</si>
  <si>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</si>
  <si>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</si>
  <si>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</si>
  <si>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</si>
  <si>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</si>
  <si>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</si>
  <si>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</si>
  <si>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</si>
  <si>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</si>
  <si>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</si>
  <si>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</si>
  <si>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</si>
  <si>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</si>
  <si>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</si>
  <si>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</si>
  <si>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</si>
  <si>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</si>
  <si>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</si>
  <si>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</si>
  <si>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</si>
  <si>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</si>
  <si>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</si>
  <si>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</si>
  <si>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</si>
  <si>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</si>
  <si>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</si>
  <si>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</si>
  <si>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</si>
  <si>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</si>
  <si>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</si>
  <si>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</si>
  <si>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</si>
  <si>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</si>
  <si>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</si>
  <si>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</si>
  <si>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</si>
  <si>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</si>
  <si>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</si>
  <si>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</si>
  <si>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</si>
  <si>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</si>
  <si>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</si>
  <si>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</si>
  <si>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</si>
  <si>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</si>
  <si>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</si>
  <si>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</si>
  <si>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</si>
  <si>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</si>
  <si>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</si>
  <si>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</si>
  <si>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</si>
  <si>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</si>
  <si>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</si>
  <si>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</si>
  <si>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</si>
  <si>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</si>
  <si>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</si>
  <si>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</si>
  <si>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</si>
  <si>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</si>
  <si>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</si>
  <si>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</si>
  <si>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</si>
  <si>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</si>
  <si>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</si>
  <si>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</si>
  <si>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</si>
  <si>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</si>
  <si>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</si>
  <si>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</si>
  <si>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</si>
  <si>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</si>
  <si>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</si>
  <si>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</si>
  <si>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</si>
  <si>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</si>
  <si>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</si>
  <si>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</si>
  <si>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</si>
  <si>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</si>
  <si>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</si>
  <si>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</si>
  <si>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</si>
  <si>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</si>
  <si>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</si>
  <si>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</si>
  <si>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</si>
  <si>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</si>
  <si>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</si>
  <si>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</si>
  <si>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</si>
  <si>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</si>
  <si>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</si>
  <si>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</si>
  <si>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</si>
  <si>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</si>
  <si>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</si>
  <si>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</si>
  <si>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</si>
  <si>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</si>
  <si>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</si>
  <si>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</si>
  <si>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</si>
  <si>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</si>
  <si>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</si>
  <si>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</si>
  <si>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</si>
  <si>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</si>
  <si>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</si>
  <si>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</si>
  <si>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</si>
  <si>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</si>
  <si>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</si>
  <si>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</si>
  <si>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</si>
  <si>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</si>
  <si>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</si>
  <si>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</si>
  <si>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</si>
  <si>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</si>
  <si>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</si>
  <si>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</si>
  <si>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</si>
  <si>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</si>
  <si>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</si>
  <si>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</si>
  <si>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</si>
  <si>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</si>
  <si>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</si>
  <si>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</si>
  <si>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</si>
  <si>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</si>
  <si>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</si>
  <si>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</si>
  <si>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</si>
  <si>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</si>
  <si>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</si>
  <si>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</si>
  <si>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</si>
  <si>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</si>
  <si>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</si>
  <si>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</si>
  <si>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</si>
  <si>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</si>
  <si>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</si>
  <si>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</si>
  <si>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</si>
  <si>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</si>
  <si>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</si>
  <si>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</si>
  <si>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</si>
  <si>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</si>
  <si>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</si>
  <si>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</si>
  <si>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</si>
  <si>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</si>
  <si>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</si>
  <si>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</si>
  <si>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</si>
  <si>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</si>
  <si>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</si>
  <si>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</si>
  <si>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</si>
  <si>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</si>
  <si>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</si>
  <si>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</si>
  <si>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</si>
  <si>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</si>
  <si>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</si>
  <si>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</si>
  <si>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</si>
  <si>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</si>
  <si>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</si>
  <si>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</si>
  <si>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</si>
  <si>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</si>
  <si>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</si>
  <si>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</si>
  <si>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</si>
  <si>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</si>
  <si>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</si>
  <si>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</si>
  <si>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</si>
  <si>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</si>
  <si>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</si>
  <si>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</si>
  <si>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</si>
  <si>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</si>
  <si>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</si>
  <si>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</si>
  <si>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</si>
  <si>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</si>
  <si>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</si>
  <si>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</si>
  <si>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</si>
  <si>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</si>
  <si>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</si>
  <si>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</si>
  <si>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</si>
  <si>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</si>
  <si>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</si>
  <si>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</si>
  <si>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</si>
  <si>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</si>
  <si>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</si>
  <si>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</si>
  <si>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</si>
  <si>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</si>
  <si>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</si>
  <si>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</si>
  <si>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</si>
  <si>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</si>
  <si>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</si>
  <si>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</si>
  <si>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</si>
  <si>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</si>
  <si>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</si>
  <si>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</si>
  <si>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</si>
  <si>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</si>
  <si>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</si>
  <si>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</si>
  <si>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</si>
  <si>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</si>
  <si>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</si>
  <si>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</si>
  <si>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</si>
  <si>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</si>
  <si>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</si>
  <si>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</si>
  <si>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</si>
  <si>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</si>
  <si>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</si>
  <si>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</si>
  <si>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</si>
  <si>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</si>
  <si>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</si>
  <si>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</si>
  <si>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</si>
  <si>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</si>
  <si>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</si>
  <si>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</si>
  <si>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</si>
  <si>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</si>
  <si>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</si>
  <si>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</si>
  <si>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</si>
  <si>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</si>
  <si>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</si>
  <si>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</si>
  <si>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</si>
  <si>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</si>
  <si>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</si>
  <si>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</si>
  <si>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</si>
  <si>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</si>
  <si>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</si>
  <si>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</si>
  <si>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</si>
  <si>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</si>
  <si>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</si>
  <si>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</si>
  <si>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</si>
  <si>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</si>
  <si>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</si>
  <si>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</si>
  <si>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</si>
  <si>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</si>
  <si>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</si>
  <si>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</si>
  <si>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</si>
  <si>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</si>
  <si>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</si>
  <si>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</si>
  <si>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</si>
  <si>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</si>
  <si>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</si>
  <si>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</si>
  <si>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</si>
  <si>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</si>
  <si>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</si>
  <si>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</si>
  <si>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</si>
  <si>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</si>
  <si>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</si>
  <si>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</si>
  <si>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</si>
  <si>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</si>
  <si>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</si>
  <si>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</si>
  <si>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</si>
  <si>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</si>
  <si>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</si>
  <si>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</si>
  <si>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</si>
  <si>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</si>
  <si>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</si>
  <si>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</si>
  <si>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</si>
  <si>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</si>
  <si>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</si>
  <si>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</si>
  <si>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</si>
  <si>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</si>
  <si>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</si>
  <si>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</si>
  <si>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</si>
  <si>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</si>
  <si>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</si>
  <si>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</si>
  <si>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</si>
  <si>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</si>
  <si>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</si>
  <si>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</si>
  <si>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</si>
  <si>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</si>
  <si>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</si>
  <si>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</si>
  <si>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</si>
  <si>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</si>
  <si>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</si>
  <si>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</si>
  <si>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</si>
  <si>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</si>
  <si>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</si>
  <si>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</si>
  <si>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</si>
  <si>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</si>
  <si>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</si>
  <si>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</si>
  <si>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</si>
  <si>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</si>
  <si>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</si>
  <si>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</si>
  <si>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</si>
  <si>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</si>
  <si>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</si>
  <si>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</si>
  <si>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</si>
  <si>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</si>
  <si>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</si>
  <si>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</si>
  <si>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</si>
  <si>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</si>
  <si>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</si>
  <si>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</si>
  <si>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</si>
  <si>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</si>
  <si>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</si>
  <si>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</si>
  <si>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</si>
  <si>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</si>
  <si>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</si>
  <si>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</si>
  <si>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</si>
  <si>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</si>
  <si>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</si>
  <si>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</si>
  <si>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</si>
  <si>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</si>
  <si>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</si>
  <si>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</si>
  <si>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</si>
  <si>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</si>
  <si>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</si>
  <si>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</si>
  <si>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</si>
  <si>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</si>
  <si>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</si>
  <si>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</si>
  <si>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</si>
  <si>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</si>
  <si>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</si>
  <si>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</si>
  <si>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</si>
  <si>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</si>
  <si>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</si>
  <si>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</si>
  <si>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</si>
  <si>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</si>
  <si>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</si>
  <si>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</si>
  <si>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</si>
  <si>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</si>
  <si>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</si>
  <si>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</si>
  <si>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</si>
  <si>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</si>
  <si>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</si>
  <si>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</si>
  <si>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</si>
  <si>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</si>
  <si>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</si>
  <si>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</si>
  <si>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</si>
  <si>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</si>
  <si>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</si>
  <si>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</si>
  <si>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</si>
  <si>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</si>
  <si>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</si>
  <si>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</si>
  <si>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</si>
  <si>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</si>
  <si>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</si>
  <si>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</si>
  <si>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</si>
  <si>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</si>
  <si>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</si>
  <si>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</si>
  <si>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</si>
  <si>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</si>
  <si>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</si>
  <si>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</si>
  <si>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</si>
  <si>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</si>
  <si>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</si>
  <si>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</si>
  <si>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</si>
  <si>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</si>
  <si>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</si>
  <si>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</si>
  <si>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</si>
  <si>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</si>
  <si>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</si>
  <si>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</si>
  <si>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</si>
  <si>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</si>
  <si>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</si>
  <si>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</si>
  <si>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</si>
  <si>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</si>
  <si>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</si>
  <si>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</si>
  <si>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</si>
  <si>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</si>
  <si>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</si>
  <si>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</si>
  <si>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</si>
  <si>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</si>
  <si>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</si>
  <si>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</si>
  <si>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</si>
  <si>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</si>
  <si>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</si>
  <si>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</si>
  <si>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</si>
  <si>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</si>
  <si>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</si>
  <si>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</si>
  <si>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</si>
  <si>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</si>
  <si>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</si>
  <si>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</si>
  <si>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</si>
  <si>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</si>
  <si>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</si>
  <si>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</si>
  <si>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</si>
  <si>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</si>
  <si>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</si>
  <si>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</si>
  <si>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</si>
  <si>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</si>
  <si>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</si>
  <si>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</si>
  <si>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</si>
  <si>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</si>
  <si>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</si>
  <si>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</si>
  <si>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</si>
  <si>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</si>
  <si>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</si>
  <si>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</si>
  <si>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</si>
  <si>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</si>
  <si>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</si>
  <si>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</si>
  <si>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</si>
  <si>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</si>
  <si>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</si>
  <si>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</si>
  <si>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</si>
  <si>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</si>
  <si>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</si>
  <si>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</si>
  <si>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</si>
  <si>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</si>
  <si>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</si>
  <si>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</si>
  <si>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</si>
  <si>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</si>
  <si>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</si>
  <si>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</si>
  <si>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</si>
  <si>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</si>
  <si>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</si>
  <si>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</si>
  <si>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</si>
  <si>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</si>
  <si>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</si>
  <si>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</si>
  <si>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</si>
  <si>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</si>
  <si>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</si>
  <si>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</si>
  <si>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</si>
  <si>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</si>
  <si>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</si>
  <si>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</si>
  <si>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</si>
  <si>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</si>
  <si>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</si>
  <si>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</si>
  <si>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</si>
  <si>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</si>
  <si>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</si>
  <si>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</si>
  <si>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</si>
  <si>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</si>
  <si>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</si>
  <si>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</si>
  <si>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</si>
  <si>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</si>
  <si>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</si>
  <si>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</si>
  <si>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</si>
  <si>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</si>
  <si>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</si>
  <si>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</si>
  <si>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</si>
  <si>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</si>
  <si>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</si>
  <si>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</si>
  <si>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</si>
  <si>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</si>
  <si>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</si>
  <si>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</si>
  <si>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</si>
  <si>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</si>
  <si>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</si>
  <si>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</si>
  <si>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</si>
  <si>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</si>
  <si>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</si>
  <si>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</si>
  <si>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</si>
  <si>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</si>
  <si>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</si>
  <si>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</si>
  <si>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</si>
  <si>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</si>
  <si>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</si>
  <si>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</si>
  <si>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</si>
  <si>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</si>
  <si>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</si>
  <si>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</si>
  <si>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</si>
  <si>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</si>
  <si>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</si>
  <si>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</si>
  <si>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</si>
  <si>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</si>
  <si>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</si>
  <si>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</si>
  <si>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</si>
  <si>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</si>
  <si>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</si>
  <si>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</si>
  <si>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</si>
  <si>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</si>
  <si>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</si>
  <si>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</si>
  <si>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</si>
  <si>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</si>
  <si>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</si>
  <si>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</si>
  <si>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</si>
  <si>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</si>
  <si>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</si>
  <si>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</si>
  <si>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</si>
  <si>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</si>
  <si>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</si>
  <si>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</si>
  <si>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</si>
  <si>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</si>
  <si>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</si>
  <si>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</si>
  <si>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</si>
  <si>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</si>
  <si>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</si>
  <si>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</si>
  <si>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</si>
  <si>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</si>
  <si>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</si>
  <si>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</si>
  <si>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</si>
  <si>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</si>
  <si>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</si>
  <si>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</si>
  <si>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</si>
  <si>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</si>
  <si>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</si>
  <si>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</si>
  <si>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</si>
  <si>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</si>
  <si>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</si>
  <si>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</si>
  <si>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</si>
  <si>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</si>
  <si>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</si>
  <si>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</si>
  <si>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</si>
  <si>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</si>
  <si>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</si>
  <si>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</si>
  <si>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</si>
  <si>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</si>
  <si>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</si>
  <si>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</si>
  <si>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</si>
  <si>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</si>
  <si>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</si>
  <si>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</si>
  <si>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</si>
  <si>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</si>
  <si>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</si>
  <si>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</si>
  <si>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</si>
  <si>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</si>
  <si>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</si>
  <si>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</si>
  <si>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</si>
  <si>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</si>
  <si>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</si>
  <si>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</si>
  <si>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</si>
  <si>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</si>
  <si>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</si>
  <si>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</si>
  <si>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</si>
  <si>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</si>
  <si>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</si>
  <si>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</si>
  <si>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</si>
  <si>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</si>
  <si>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</si>
  <si>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</si>
  <si>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</si>
  <si>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</si>
  <si>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</si>
  <si>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</si>
  <si>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</si>
  <si>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</si>
  <si>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</si>
  <si>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</si>
  <si>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</si>
  <si>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</si>
  <si>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</si>
  <si>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</si>
  <si>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</si>
  <si>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</si>
  <si>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</si>
  <si>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</si>
  <si>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</si>
  <si>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</si>
  <si>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</si>
  <si>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</si>
  <si>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</si>
  <si>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</si>
  <si>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</si>
  <si>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</si>
  <si>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</si>
  <si>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</si>
  <si>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</si>
  <si>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</si>
  <si>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</si>
  <si>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</si>
  <si>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</si>
  <si>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</si>
  <si>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</si>
  <si>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</si>
  <si>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</si>
  <si>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</si>
  <si>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</si>
  <si>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</si>
  <si>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</si>
  <si>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</si>
  <si>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</si>
  <si>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</si>
  <si>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</si>
  <si>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</si>
  <si>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</si>
  <si>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</si>
  <si>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</si>
  <si>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</si>
  <si>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</si>
  <si>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</si>
  <si>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</si>
  <si>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</si>
  <si>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</si>
  <si>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</si>
  <si>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</si>
  <si>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</si>
  <si>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</si>
  <si>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</si>
  <si>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</si>
  <si>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</si>
  <si>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</si>
  <si>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</si>
  <si>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</si>
  <si>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</si>
  <si>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</si>
  <si>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</si>
  <si>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</si>
  <si>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</si>
  <si>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</si>
  <si>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</si>
  <si>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</si>
  <si>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</si>
  <si>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</si>
  <si>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</si>
  <si>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</si>
  <si>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</si>
  <si>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</si>
  <si>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</si>
  <si>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</si>
  <si>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</si>
  <si>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</si>
  <si>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</si>
  <si>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</si>
  <si>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</si>
  <si>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</si>
  <si>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</si>
  <si>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</si>
  <si>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</si>
  <si>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</si>
  <si>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</si>
  <si>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</si>
  <si>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</si>
  <si>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</si>
  <si>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</si>
  <si>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</si>
  <si>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</si>
  <si>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</si>
  <si>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</si>
  <si>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</si>
  <si>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</si>
  <si>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</si>
  <si>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</si>
  <si>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</si>
  <si>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</si>
  <si>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</si>
  <si>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</si>
  <si>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</si>
  <si>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</si>
  <si>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</si>
  <si>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</si>
  <si>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</si>
  <si>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</si>
  <si>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</si>
  <si>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</si>
  <si>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</si>
  <si>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</si>
  <si>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</si>
  <si>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</si>
  <si>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</si>
  <si>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</si>
  <si>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</si>
  <si>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</si>
  <si>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</si>
  <si>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</si>
  <si>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</si>
  <si>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</si>
  <si>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</si>
  <si>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</si>
  <si>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</si>
  <si>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</si>
  <si>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</si>
  <si>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</si>
  <si>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</si>
  <si>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</si>
  <si>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</si>
  <si>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</si>
  <si>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</si>
  <si>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</si>
  <si>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</si>
  <si>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</si>
  <si>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</si>
  <si>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</si>
  <si>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</si>
  <si>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</si>
  <si>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</si>
  <si>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</si>
  <si>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</si>
  <si>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</si>
  <si>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</si>
  <si>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</si>
  <si>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</si>
  <si>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</si>
  <si>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</si>
  <si>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</si>
  <si>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</si>
  <si>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</si>
  <si>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</si>
  <si>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</si>
  <si>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</si>
  <si>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</si>
  <si>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</si>
  <si>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</si>
  <si>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</si>
  <si>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</si>
  <si>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</si>
  <si>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</si>
  <si>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</si>
  <si>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</si>
  <si>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</si>
  <si>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</si>
  <si>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</si>
  <si>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</si>
  <si>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</si>
  <si>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</si>
  <si>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</si>
  <si>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</si>
  <si>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</si>
  <si>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</si>
  <si>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</si>
  <si>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</si>
  <si>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</si>
  <si>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</si>
  <si>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</si>
  <si>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</si>
  <si>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</si>
  <si>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</si>
  <si>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</si>
  <si>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</si>
  <si>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</si>
  <si>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</si>
  <si>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</si>
  <si>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</si>
  <si>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</si>
  <si>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</si>
  <si>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</si>
  <si>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</si>
  <si>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</si>
  <si>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</si>
  <si>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</si>
  <si>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</si>
  <si>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</si>
  <si>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</si>
  <si>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</si>
  <si>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</si>
  <si>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</si>
  <si>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</si>
  <si>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</si>
  <si>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</si>
  <si>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</si>
  <si>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</si>
  <si>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</si>
  <si>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</si>
  <si>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</si>
  <si>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</si>
  <si>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</si>
  <si>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</si>
  <si>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</si>
  <si>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</si>
  <si>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</si>
  <si>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</si>
  <si>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</si>
  <si>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</si>
  <si>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</si>
  <si>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</si>
  <si>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</si>
  <si>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</si>
  <si>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</si>
  <si>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</si>
  <si>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</si>
  <si>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</si>
  <si>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</si>
  <si>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</si>
  <si>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</si>
  <si>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</si>
  <si>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</si>
  <si>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</si>
  <si>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</si>
  <si>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</si>
  <si>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</si>
  <si>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</si>
  <si>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</si>
  <si>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</si>
  <si>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</si>
  <si>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</si>
  <si>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</si>
  <si>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</si>
  <si>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</si>
  <si>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</si>
  <si>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</si>
  <si>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</si>
  <si>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</si>
  <si>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</si>
  <si>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</si>
  <si>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</si>
  <si>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</si>
  <si>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</si>
  <si>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</si>
  <si>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</si>
  <si>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</si>
  <si>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</si>
  <si>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</si>
  <si>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</si>
  <si>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</si>
  <si>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</si>
  <si>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</si>
  <si>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</si>
  <si>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</si>
  <si>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</si>
  <si>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</si>
  <si>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</si>
  <si>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</si>
  <si>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</si>
  <si>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</si>
  <si>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</si>
  <si>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</si>
  <si>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</si>
  <si>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</si>
  <si>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</si>
  <si>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</si>
  <si>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</si>
  <si>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</si>
  <si>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</si>
  <si>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</si>
  <si>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</si>
  <si>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</si>
  <si>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</si>
  <si>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</si>
  <si>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</si>
  <si>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</si>
  <si>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</si>
  <si>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</si>
  <si>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</si>
  <si>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</si>
  <si>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</si>
  <si>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</si>
  <si>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</si>
  <si>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</si>
  <si>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</si>
  <si>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</si>
  <si>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</si>
  <si>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</si>
  <si>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</si>
  <si>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</si>
  <si>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</si>
  <si>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</si>
  <si>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</si>
  <si>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</si>
  <si>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of latrines in TLS/CFS</t>
  </si>
  <si>
    <r>
      <t xml:space="preserve"># of households receiving </t>
    </r>
    <r>
      <rPr>
        <b/>
        <u/>
        <sz val="10"/>
        <rFont val="Corbel"/>
        <family val="2"/>
      </rPr>
      <t>household water storage items</t>
    </r>
  </si>
  <si>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</si>
  <si>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</si>
  <si>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</si>
  <si>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</si>
  <si>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</si>
  <si>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</si>
  <si>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</si>
  <si>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</si>
  <si>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</si>
  <si>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</si>
  <si>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</si>
  <si>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</si>
  <si>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</si>
  <si>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</si>
  <si>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</si>
  <si>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</si>
  <si>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</si>
  <si>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</si>
  <si>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</si>
  <si>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</si>
  <si>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</si>
  <si>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</si>
  <si>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</si>
  <si>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</si>
  <si>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</si>
  <si>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</si>
  <si>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</si>
  <si>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</si>
  <si>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</si>
  <si>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</si>
  <si>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</si>
  <si>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</si>
  <si>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</si>
  <si>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</si>
  <si>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</si>
  <si>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</si>
  <si>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</si>
  <si>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</si>
  <si>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</si>
  <si>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</si>
  <si>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</si>
  <si>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</si>
  <si>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</si>
  <si>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</si>
  <si>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</si>
  <si>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</si>
  <si>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</si>
  <si>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</si>
  <si>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</si>
  <si>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</si>
  <si>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</si>
  <si>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</si>
  <si>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</si>
  <si>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</si>
  <si>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</si>
  <si>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</si>
  <si>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</si>
  <si>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</si>
  <si>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</si>
  <si>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</si>
  <si>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</si>
  <si>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</si>
  <si>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</si>
  <si>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</si>
  <si>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</si>
  <si>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</si>
  <si>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</si>
  <si>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</si>
  <si>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</si>
  <si>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</si>
  <si>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</si>
  <si>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</si>
  <si>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</si>
  <si>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</si>
  <si>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</si>
  <si>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</si>
  <si>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</si>
  <si>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</si>
  <si>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</si>
  <si>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</si>
  <si>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</si>
  <si>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</si>
  <si>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</si>
  <si>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</si>
  <si>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</si>
  <si>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</si>
  <si>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</si>
  <si>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</si>
  <si>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</si>
  <si>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</si>
  <si>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</si>
  <si>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</si>
  <si>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</si>
  <si>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</si>
  <si>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</si>
  <si>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</si>
  <si>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</si>
  <si>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</si>
  <si>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</si>
  <si>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</si>
  <si>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</si>
  <si>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</si>
  <si>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</si>
  <si>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</si>
  <si>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</si>
  <si>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</si>
  <si>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</si>
  <si>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</si>
  <si>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</si>
  <si>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</si>
  <si>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</si>
  <si>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</si>
  <si>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</si>
  <si>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</si>
  <si>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</si>
  <si>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</si>
  <si>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</si>
  <si>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</si>
  <si>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</si>
  <si>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</si>
  <si>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</si>
  <si>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</si>
  <si>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</si>
  <si>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</si>
  <si>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</si>
  <si>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</si>
  <si>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</si>
  <si>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</si>
  <si>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</si>
  <si>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</si>
  <si>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</si>
  <si>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</si>
  <si>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</si>
  <si>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</si>
  <si>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</si>
  <si>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</si>
  <si>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</si>
  <si>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</si>
  <si>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</si>
  <si>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</si>
  <si>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</si>
  <si>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</si>
  <si>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</si>
  <si>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</si>
  <si>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</si>
  <si>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</si>
  <si>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</si>
  <si>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</si>
  <si>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</si>
  <si>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</si>
  <si>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</si>
  <si>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</si>
  <si>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</si>
  <si>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</si>
  <si>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</si>
  <si>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</si>
  <si>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</si>
  <si>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</si>
  <si>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</si>
  <si>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</si>
  <si>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</si>
  <si>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</si>
  <si>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</si>
  <si>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</si>
  <si>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</si>
  <si>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</si>
  <si>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</si>
  <si>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</si>
  <si>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</si>
  <si>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</si>
  <si>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</si>
  <si>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</si>
  <si>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</si>
  <si>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</si>
  <si>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</si>
  <si>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</si>
  <si>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</si>
  <si>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</si>
  <si>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 Population reached by regular dedicated hygiene promotion</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</si>
  <si>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</si>
  <si>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</si>
  <si>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</si>
  <si>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</si>
  <si>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</si>
  <si>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</si>
  <si>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</si>
  <si>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</si>
  <si>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</si>
  <si>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</si>
  <si>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</si>
  <si>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</si>
  <si>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</si>
  <si>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</si>
  <si>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</si>
  <si>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</si>
  <si>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</si>
  <si>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</si>
  <si>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</si>
  <si>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</si>
  <si>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</si>
  <si>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</si>
  <si>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</si>
  <si>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</si>
  <si>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</si>
  <si>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</si>
  <si>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</si>
  <si>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</si>
  <si>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</si>
  <si>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</si>
  <si>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</si>
  <si>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</si>
  <si>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</si>
  <si>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</si>
  <si>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</si>
  <si>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</si>
  <si>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</si>
  <si>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10/1/2020, 3/1/2019</t>
  </si>
  <si>
    <t>12/31/2020, 2/28/2022</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</si>
  <si>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</si>
  <si>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</si>
  <si>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</si>
  <si>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</si>
  <si>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</si>
  <si>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</si>
  <si>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</si>
  <si>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</si>
  <si>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</si>
  <si>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</si>
  <si>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</si>
  <si>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</si>
  <si>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</si>
  <si>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 HH with access to soap</t>
  </si>
  <si>
    <t>Sum of #_of_affected_households_receiving_a_sufficient_quantity_of_soap</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</si>
  <si>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</si>
  <si>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</si>
  <si>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</si>
  <si>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</si>
  <si>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</si>
  <si>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</si>
  <si>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</si>
  <si>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</si>
  <si>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</si>
  <si>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</si>
  <si>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</si>
  <si>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</si>
  <si>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</si>
  <si>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</si>
  <si>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</si>
  <si>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</si>
  <si>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r>
      <t># of litres of water supplied by water boating/trucking during water scarcity to total</t>
    </r>
    <r>
      <rPr>
        <b/>
        <sz val="10"/>
        <rFont val="Corbel"/>
        <family val="2"/>
      </rPr>
      <t xml:space="preserve"> population</t>
    </r>
    <r>
      <rPr>
        <sz val="10"/>
        <rFont val="Corbel"/>
        <family val="2"/>
      </rPr>
      <t xml:space="preserve"> in the site </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</si>
  <si>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</si>
  <si>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</si>
  <si>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</si>
  <si>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</si>
  <si>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</si>
  <si>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</si>
  <si>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</si>
  <si>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</si>
  <si>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</si>
  <si>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</si>
  <si>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</si>
  <si>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</si>
  <si>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</si>
  <si>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</si>
  <si>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</si>
  <si>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</si>
  <si>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</si>
  <si>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</si>
  <si>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</si>
  <si>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</si>
  <si>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</si>
  <si>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</si>
  <si>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</si>
  <si>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</si>
  <si>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</si>
  <si>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</si>
  <si>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</si>
  <si>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</si>
  <si>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</si>
  <si>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</si>
  <si>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</si>
  <si>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</si>
  <si>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</si>
  <si>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</si>
  <si>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</si>
  <si>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</si>
  <si>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 xml:space="preserve"># of functional </t>
    </r>
    <r>
      <rPr>
        <b/>
        <u/>
        <sz val="10"/>
        <color rgb="FFFF0000"/>
        <rFont val="Corbel"/>
        <family val="2"/>
      </rPr>
      <t>children latrines</t>
    </r>
    <r>
      <rPr>
        <sz val="10"/>
        <color rgb="FFFF0000"/>
        <rFont val="Corbel"/>
        <family val="2"/>
      </rPr>
      <t xml:space="preserve"> that meet design requirements in the site operating during reporting period</t>
    </r>
  </si>
  <si>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</si>
  <si>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</si>
  <si>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</si>
  <si>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</si>
  <si>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</si>
  <si>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</si>
  <si>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</si>
  <si>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</si>
  <si>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</si>
  <si>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</si>
  <si>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</si>
  <si>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</si>
  <si>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</si>
  <si>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</si>
  <si>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</si>
  <si>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</si>
  <si>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</si>
  <si>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</si>
  <si>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</si>
  <si>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</si>
  <si>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</si>
  <si>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</si>
  <si>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</si>
  <si>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</si>
  <si>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</si>
  <si>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</si>
  <si>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</si>
  <si>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</si>
  <si>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</si>
  <si>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</si>
  <si>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</si>
  <si>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</si>
  <si>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</si>
  <si>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</si>
  <si>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</si>
  <si>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</si>
  <si>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</si>
  <si>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</si>
  <si>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</si>
  <si>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</si>
  <si>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</si>
  <si>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4W Activities (2022)</t>
  </si>
  <si>
    <t>Date</t>
  </si>
  <si>
    <t>amount_of_MMK/Voucher_or_Token_distributed_per_HH/Family</t>
  </si>
  <si>
    <t>#_of_Family/HH_Reached</t>
  </si>
  <si>
    <t>Date_of_Cash_distribution</t>
  </si>
  <si>
    <t>Cash_distributed_for_which_items</t>
  </si>
  <si>
    <t>2022_Q1</t>
  </si>
  <si>
    <t>2022_Q2</t>
  </si>
  <si>
    <t>2022_Q3</t>
  </si>
  <si>
    <t>2022_Q4</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</si>
  <si>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</si>
  <si>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</si>
  <si>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CDA provided 367 UNICEF Logo bucket (20 liter and 10 liters) to Kyauk Talone camp in March 2022.</t>
  </si>
  <si>
    <t>10% of women complained this PD sanitation pad because these pads are thin and not confortable  for day using but better using for night time.</t>
  </si>
  <si>
    <t>The result of percentage indicators were from the KAP survey conducted in Sep 2021. The next survey will be done in April 2022.</t>
  </si>
  <si>
    <t>Distribution done in March covering 3 months</t>
  </si>
  <si>
    <t>Distribution done in March covering 2 months</t>
  </si>
  <si>
    <t>Distribution done March covering 3 months</t>
  </si>
  <si>
    <t>water testing in STM- IDP, we distributed chlorination water and tested FRC result is 100&amp; good.</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</si>
  <si>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</si>
  <si>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</si>
  <si>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</si>
  <si>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</si>
  <si>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</si>
  <si>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</si>
  <si>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</si>
  <si>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</si>
  <si>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</si>
  <si>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</si>
  <si>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</si>
  <si>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</si>
  <si>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</si>
  <si>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</si>
  <si>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</si>
  <si>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</si>
  <si>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</si>
  <si>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</si>
  <si>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</si>
  <si>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</si>
  <si>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</si>
  <si>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 in active camps (20:1)</t>
  </si>
  <si>
    <t>Sum of # people access to functioning latrines in THF_HRP6</t>
  </si>
  <si>
    <t>nRS
(Stateless)</t>
  </si>
  <si>
    <t>nRS
(Others)</t>
  </si>
  <si>
    <t>WHO</t>
  </si>
  <si>
    <t>WHERE</t>
  </si>
  <si>
    <t>WHEN</t>
  </si>
  <si>
    <t>FCDO</t>
  </si>
  <si>
    <t>01 August 2022, 15 March 2022, 1 April 2022</t>
  </si>
  <si>
    <t>31 July 2023, 14 Dec 2022, 31 March 2023</t>
  </si>
  <si>
    <t>No new HH was registered during 2022</t>
  </si>
  <si>
    <t>The result of percentage indicators were from the KAP survey conducted in April 2022.</t>
  </si>
  <si>
    <t>Water Container (Gora -15 L, Plastic Container - 24L) were distributed to newly registered HH in Census data in 2022</t>
  </si>
  <si>
    <t xml:space="preserve">percentage indicator result is from the last Satisfaction Survey report conducted in Jan 2022. </t>
  </si>
  <si>
    <t>Q1</t>
  </si>
  <si>
    <t>Q2</t>
  </si>
  <si>
    <t>2022 HRP Calculation</t>
  </si>
  <si>
    <t xml:space="preserve">HRP 2022 Indicators </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</si>
  <si>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</si>
  <si>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</si>
  <si>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</si>
  <si>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</si>
  <si>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</si>
  <si>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</si>
  <si>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03 June 2020
01 April 2022
15 March 2022
04 August 2022</t>
  </si>
  <si>
    <t>30 September 2022
31 March 2023
14 December 2022
31 December 2022</t>
  </si>
  <si>
    <t xml:space="preserve"> Treated water distributed through gravity system and communal tapstands
Water testing was a challenges during QR3 due to limited access to camps. Few sample could be done with the support of MSF and UNICEF</t>
  </si>
  <si>
    <t>The result of percentage indicatort for safe Latrine usage is taken from KAP survey conducted in April 2022. The next update will be reported during the next quarter report.
No support to TLS latrines during QR3. SI is doing repair and desludging upon TLS request</t>
  </si>
  <si>
    <t xml:space="preserve">WASH in School assessment was conducted during September 2022 in OXSI intervention areas. </t>
  </si>
  <si>
    <t xml:space="preserve">OXSI conducted WASH in School Assessment in September 2022. </t>
  </si>
  <si>
    <t>WASH in School assessment was conducted during September 2022 in OXSI intervention areas.</t>
  </si>
  <si>
    <t>OXSI conducted WASH in School Assessment in September 2022.</t>
  </si>
  <si>
    <t>CDA cannot provide monthly Hygiene Kits activity because delay transportation from Sittwe to Kyaukpyu.</t>
  </si>
  <si>
    <t>Pond sand filters in place for safe water supply
Water testing was a challenges during QR3 due to limited access to camps. Few sample could be done with the support of MSF and UNICEF</t>
  </si>
  <si>
    <t>Sin Tet Maw IDP has not fecal coliform testing, we distributed chlorination water monthly.</t>
  </si>
  <si>
    <t xml:space="preserve">OXSI conducted WASH in School Assessment during September 2022. </t>
  </si>
  <si>
    <t>Q3</t>
  </si>
  <si>
    <t xml:space="preserve">  #_of_functional_children_latrines</t>
  </si>
  <si>
    <t xml:space="preserve">  #_of_latrines_desludged </t>
  </si>
  <si>
    <t xml:space="preserve">  #_latrines_repaired</t>
  </si>
  <si>
    <t>nRS
(IDPs)</t>
  </si>
  <si>
    <t>01 April 2022
4 August 2022
15 March 2022
3 October 2022</t>
  </si>
  <si>
    <t>31 March 2023
30 June 2023
28 February 2023
2 October 2023</t>
  </si>
  <si>
    <t>The percentage results are from the KAP survey conducted in Oct 2022</t>
  </si>
  <si>
    <t>The percentage results are from the KAP survey conducted in Oct 2022
SI faced lack of TA to access to the camps and to deliver materials as well starting from 22nd of  October to December. It resulted that the hygiene kits could not provide to the beneficiaries in Pauktaw to be benefitted. (For V45 and V46)</t>
  </si>
  <si>
    <t>FCDO/UNOPS</t>
  </si>
  <si>
    <t xml:space="preserve">The result of percentage indicators are from the Satisfaction Suvey conducted on July 2022. The next survey will be on Feb 2023 and WASH in School assessment is on-going process and the result will be reported in next quarter. </t>
  </si>
  <si>
    <t xml:space="preserve">The result of percentage indicators are from the Satisfaction Suvey conducted in July 2022. The next survey will be in Feb 2023 and WASH in School assessment is on-going process and the result will be reported in next quarter. </t>
  </si>
  <si>
    <t>The percentage results are from the KAP survey conducted in Oct 2022.
SI faced lack of TA to access to the camps and to deliver materials as well starting from 22nd of October to December. It resulted that the hygiene kits could not provide to the beneficiaries in Pauktaw to be benefitted. (For V45 and V46)</t>
  </si>
  <si>
    <t>The percentage results are from the KAP survey conducted in Oct 2022. 
The data under V47 is under review and it will be reported at the next quarter.SI faced lack of TA to access to the camps and to deliver materials as well starting from 22nd of  October to December. It resulted that the hygiene kits could not provide to the beneficiaries in Pauktaw to be benefitted. (For V45 and V46)</t>
  </si>
  <si>
    <t>The percentage results are from the KAP survey conducted in Oct 2022. 
SI faced lack of TA to access to the camps and to deliver materials as well starting from 22nd of October to December. It resulted that the hygiene kits could not provide to the beneficiaries in Pauktaw to be benefitted. (For V45 and V46)</t>
  </si>
  <si>
    <t>Q4</t>
  </si>
  <si>
    <t>RAKHINE STATE - IDP sites  (2022 - Qtr 4 - 4W Analysis, as of 31 December 2022)</t>
  </si>
  <si>
    <t># people reached by regular dedicated hygiene promotion_6</t>
  </si>
  <si>
    <t>2022-4th Qtr 4W Camp DASHBOARD</t>
  </si>
  <si>
    <t>Distinct Count of WASH implementing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</si>
</sst>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5">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sz val="10"/>
      <color rgb="FF2C2C2C"/>
      <name val="Corbel"/>
      <family val="2"/>
    </font>
    <font>
      <sz val="10"/>
      <color rgb="FF2C2C2C"/>
      <name val="Corbel"/>
      <family val="2"/>
    </font>
    <font>
      <sz val="10"/>
      <color rgb="FF2C2C2C"/>
      <name val="Corbel"/>
      <family val="2"/>
    </font>
  </fonts>
  <fills count="61">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s>
  <borders count="170">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s>
  <cellStyleXfs count="43">
    <xf numFmtId="0" fontId="0"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3" fillId="0" borderId="0" applyFont="0" applyFill="0" applyBorder="0" applyAlignment="0" applyProtection="0"/>
    <xf numFmtId="166" fontId="23" fillId="0" borderId="0"/>
    <xf numFmtId="0" fontId="49" fillId="0" borderId="0"/>
    <xf numFmtId="0" fontId="49" fillId="0" borderId="0"/>
    <xf numFmtId="0" fontId="21" fillId="0" borderId="0"/>
    <xf numFmtId="9" fontId="21" fillId="0" borderId="0" applyFont="0" applyFill="0" applyBorder="0" applyAlignment="0" applyProtection="0"/>
    <xf numFmtId="0" fontId="71" fillId="0" borderId="27" applyNumberFormat="0" applyFill="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20" fillId="0" borderId="0"/>
    <xf numFmtId="9" fontId="20" fillId="0" borderId="0" applyFont="0" applyFill="0" applyBorder="0" applyAlignment="0" applyProtection="0"/>
    <xf numFmtId="0" fontId="49" fillId="0" borderId="0"/>
    <xf numFmtId="0" fontId="22" fillId="0" borderId="0"/>
    <xf numFmtId="0" fontId="54" fillId="24" borderId="0" applyNumberFormat="0" applyBorder="0" applyAlignment="0" applyProtection="0"/>
    <xf numFmtId="0" fontId="55" fillId="25" borderId="0" applyNumberFormat="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cellStyleXfs>
  <cellXfs count="1062">
    <xf numFmtId="0" fontId="0" fillId="0" borderId="0" xfId="0"/>
    <xf numFmtId="0" fontId="26" fillId="2" borderId="1" xfId="0" applyFont="1" applyFill="1" applyBorder="1" applyAlignment="1">
      <alignment horizontal="left" vertical="center" readingOrder="1"/>
    </xf>
    <xf numFmtId="0" fontId="26" fillId="5" borderId="2" xfId="0" applyFont="1" applyFill="1" applyBorder="1" applyAlignment="1">
      <alignment horizontal="left" vertical="center" readingOrder="1"/>
    </xf>
    <xf numFmtId="0" fontId="26" fillId="8" borderId="2" xfId="0" applyFont="1" applyFill="1" applyBorder="1" applyAlignment="1">
      <alignment horizontal="left" vertical="center" readingOrder="1"/>
    </xf>
    <xf numFmtId="0" fontId="26" fillId="8" borderId="3" xfId="0" applyFont="1" applyFill="1" applyBorder="1" applyAlignment="1">
      <alignment horizontal="left" vertical="center" readingOrder="1"/>
    </xf>
    <xf numFmtId="0" fontId="26" fillId="9" borderId="2" xfId="0" applyFont="1" applyFill="1" applyBorder="1" applyAlignment="1">
      <alignment horizontal="left" vertical="center" readingOrder="1"/>
    </xf>
    <xf numFmtId="0" fontId="27" fillId="3" borderId="1" xfId="0" applyFont="1" applyFill="1" applyBorder="1" applyAlignment="1">
      <alignment horizontal="left" vertical="center" readingOrder="1"/>
    </xf>
    <xf numFmtId="0" fontId="27" fillId="4" borderId="2" xfId="0" applyFont="1" applyFill="1" applyBorder="1" applyAlignment="1">
      <alignment horizontal="left" vertical="center" readingOrder="1"/>
    </xf>
    <xf numFmtId="0" fontId="27" fillId="3" borderId="2" xfId="0" applyFont="1" applyFill="1" applyBorder="1" applyAlignment="1">
      <alignment horizontal="left" vertical="center" readingOrder="1"/>
    </xf>
    <xf numFmtId="0" fontId="27" fillId="3" borderId="3" xfId="0" applyFont="1" applyFill="1" applyBorder="1" applyAlignment="1">
      <alignment horizontal="left" vertical="center" readingOrder="1"/>
    </xf>
    <xf numFmtId="14" fontId="27" fillId="3" borderId="2" xfId="0" applyNumberFormat="1" applyFont="1" applyFill="1" applyBorder="1" applyAlignment="1">
      <alignment horizontal="left" vertical="center" readingOrder="1"/>
    </xf>
    <xf numFmtId="14" fontId="27" fillId="6" borderId="2" xfId="0" applyNumberFormat="1" applyFont="1" applyFill="1" applyBorder="1" applyAlignment="1">
      <alignment horizontal="left" vertical="center" readingOrder="1"/>
    </xf>
    <xf numFmtId="0" fontId="27" fillId="7" borderId="2" xfId="0" applyFont="1" applyFill="1" applyBorder="1" applyAlignment="1">
      <alignment horizontal="left" vertical="center" readingOrder="1"/>
    </xf>
    <xf numFmtId="0" fontId="30" fillId="7" borderId="2" xfId="0" applyFont="1" applyFill="1" applyBorder="1" applyAlignment="1">
      <alignment horizontal="left" vertical="top" wrapText="1" readingOrder="1"/>
    </xf>
    <xf numFmtId="14" fontId="30" fillId="6" borderId="1" xfId="0" applyNumberFormat="1" applyFont="1" applyFill="1" applyBorder="1" applyAlignment="1">
      <alignment horizontal="left" vertical="top" wrapText="1" readingOrder="1"/>
    </xf>
    <xf numFmtId="9" fontId="27" fillId="3" borderId="2" xfId="1" applyFont="1" applyFill="1" applyBorder="1" applyAlignment="1">
      <alignment horizontal="left" vertical="center" readingOrder="1"/>
    </xf>
    <xf numFmtId="9" fontId="27" fillId="6" borderId="1" xfId="1" applyFont="1" applyFill="1" applyBorder="1" applyAlignment="1">
      <alignment horizontal="left" vertical="top" wrapText="1" readingOrder="1"/>
    </xf>
    <xf numFmtId="0" fontId="35" fillId="0" borderId="0" xfId="0" applyFont="1"/>
    <xf numFmtId="0" fontId="33" fillId="0" borderId="0" xfId="0" applyFont="1"/>
    <xf numFmtId="0" fontId="38" fillId="0" borderId="0" xfId="0" applyFont="1" applyAlignment="1"/>
    <xf numFmtId="0" fontId="38" fillId="0" borderId="0" xfId="0" applyFont="1" applyFill="1" applyAlignment="1"/>
    <xf numFmtId="166" fontId="23" fillId="13" borderId="0" xfId="8" applyFill="1"/>
    <xf numFmtId="166" fontId="23" fillId="13" borderId="0" xfId="8" applyFill="1" applyAlignment="1">
      <alignment horizontal="center" vertical="center"/>
    </xf>
    <xf numFmtId="166" fontId="23" fillId="20" borderId="8" xfId="8" applyFill="1" applyBorder="1"/>
    <xf numFmtId="166" fontId="23" fillId="20" borderId="0" xfId="8" applyFill="1" applyBorder="1"/>
    <xf numFmtId="166" fontId="23" fillId="20" borderId="9" xfId="8" applyFill="1" applyBorder="1"/>
    <xf numFmtId="166" fontId="32" fillId="20" borderId="0" xfId="8" applyFont="1" applyFill="1" applyBorder="1"/>
    <xf numFmtId="166" fontId="23" fillId="20" borderId="10" xfId="8" applyFill="1" applyBorder="1"/>
    <xf numFmtId="166" fontId="23" fillId="20" borderId="11" xfId="8" applyFill="1" applyBorder="1"/>
    <xf numFmtId="166" fontId="23" fillId="20" borderId="12" xfId="8" applyFill="1" applyBorder="1"/>
    <xf numFmtId="0" fontId="27" fillId="0" borderId="0" xfId="0" applyFont="1" applyFill="1" applyBorder="1" applyAlignment="1">
      <alignment horizontal="left" vertical="center" readingOrder="1"/>
    </xf>
    <xf numFmtId="9" fontId="38" fillId="0" borderId="0" xfId="0" applyNumberFormat="1" applyFont="1" applyFill="1" applyAlignment="1"/>
    <xf numFmtId="9" fontId="38" fillId="0" borderId="0" xfId="1" applyFont="1" applyFill="1" applyAlignment="1"/>
    <xf numFmtId="1" fontId="38" fillId="0" borderId="0" xfId="0" applyNumberFormat="1" applyFont="1" applyFill="1" applyAlignment="1"/>
    <xf numFmtId="14" fontId="38" fillId="0" borderId="0" xfId="0" applyNumberFormat="1" applyFont="1" applyFill="1" applyAlignment="1"/>
    <xf numFmtId="1" fontId="38" fillId="0" borderId="0" xfId="1" applyNumberFormat="1" applyFont="1" applyFill="1" applyAlignment="1"/>
    <xf numFmtId="0" fontId="38" fillId="0" borderId="0" xfId="1" applyNumberFormat="1" applyFont="1" applyFill="1" applyAlignment="1"/>
    <xf numFmtId="0" fontId="38" fillId="0" borderId="0" xfId="0" applyNumberFormat="1" applyFont="1" applyFill="1" applyAlignment="1"/>
    <xf numFmtId="1" fontId="38" fillId="0" borderId="0" xfId="0" applyNumberFormat="1" applyFont="1" applyFill="1" applyAlignment="1">
      <alignment horizontal="left"/>
    </xf>
    <xf numFmtId="0" fontId="27" fillId="3" borderId="0" xfId="0" applyFont="1" applyFill="1" applyBorder="1" applyAlignment="1">
      <alignment horizontal="left" vertical="center" readingOrder="1"/>
    </xf>
    <xf numFmtId="0" fontId="27" fillId="0" borderId="1" xfId="0" applyFont="1" applyFill="1" applyBorder="1" applyAlignment="1">
      <alignment horizontal="left" vertical="center" readingOrder="1"/>
    </xf>
    <xf numFmtId="14" fontId="27" fillId="3" borderId="18" xfId="0" applyNumberFormat="1" applyFont="1" applyFill="1" applyBorder="1" applyAlignment="1">
      <alignment horizontal="left" vertical="center" readingOrder="1"/>
    </xf>
    <xf numFmtId="0" fontId="35" fillId="0" borderId="0" xfId="0" applyNumberFormat="1" applyFont="1"/>
    <xf numFmtId="1" fontId="35" fillId="0" borderId="0" xfId="0" applyNumberFormat="1" applyFont="1"/>
    <xf numFmtId="0" fontId="35" fillId="0" borderId="0" xfId="0" applyFont="1" applyAlignment="1">
      <alignment wrapText="1" readingOrder="1"/>
    </xf>
    <xf numFmtId="0" fontId="27" fillId="7" borderId="0" xfId="0" applyFont="1" applyFill="1" applyBorder="1" applyAlignment="1">
      <alignment horizontal="left" vertical="center" readingOrder="1"/>
    </xf>
    <xf numFmtId="0" fontId="26" fillId="9" borderId="15" xfId="0" applyFont="1" applyFill="1" applyBorder="1" applyAlignment="1">
      <alignment horizontal="left" vertical="center" readingOrder="1"/>
    </xf>
    <xf numFmtId="0" fontId="27" fillId="7" borderId="15" xfId="0" applyFont="1" applyFill="1" applyBorder="1" applyAlignment="1">
      <alignment horizontal="left" vertical="center" readingOrder="1"/>
    </xf>
    <xf numFmtId="0" fontId="52" fillId="2" borderId="1" xfId="0" applyFont="1" applyFill="1" applyBorder="1" applyAlignment="1">
      <alignment horizontal="left" vertical="center" readingOrder="1"/>
    </xf>
    <xf numFmtId="14" fontId="53" fillId="6" borderId="2" xfId="0" applyNumberFormat="1" applyFont="1" applyFill="1" applyBorder="1" applyAlignment="1">
      <alignment horizontal="left" vertical="center" readingOrder="1"/>
    </xf>
    <xf numFmtId="14" fontId="52" fillId="6" borderId="1" xfId="0" applyNumberFormat="1" applyFont="1" applyFill="1" applyBorder="1" applyAlignment="1">
      <alignment horizontal="left" vertical="top" wrapText="1" readingOrder="1"/>
    </xf>
    <xf numFmtId="0" fontId="53" fillId="3" borderId="2" xfId="0" applyFont="1" applyFill="1" applyBorder="1" applyAlignment="1">
      <alignment horizontal="left" vertical="center" readingOrder="1"/>
    </xf>
    <xf numFmtId="0" fontId="53" fillId="7" borderId="2" xfId="0" applyFont="1" applyFill="1" applyBorder="1" applyAlignment="1">
      <alignment horizontal="left" vertical="center" readingOrder="1"/>
    </xf>
    <xf numFmtId="0" fontId="53" fillId="7" borderId="2" xfId="0" applyFont="1" applyFill="1" applyBorder="1" applyAlignment="1">
      <alignment horizontal="left" vertical="top" wrapText="1" readingOrder="1"/>
    </xf>
    <xf numFmtId="0" fontId="27" fillId="3" borderId="16" xfId="0" applyFont="1" applyFill="1" applyBorder="1" applyAlignment="1">
      <alignment horizontal="left" vertical="center" readingOrder="1"/>
    </xf>
    <xf numFmtId="0" fontId="30" fillId="7" borderId="15" xfId="0" applyFont="1" applyFill="1" applyBorder="1" applyAlignment="1">
      <alignment horizontal="left" vertical="top" wrapText="1" readingOrder="1"/>
    </xf>
    <xf numFmtId="0" fontId="27" fillId="3" borderId="15" xfId="0" applyFont="1" applyFill="1" applyBorder="1" applyAlignment="1">
      <alignment horizontal="left" vertical="center" readingOrder="1"/>
    </xf>
    <xf numFmtId="0" fontId="69" fillId="0" borderId="0" xfId="0" applyFont="1"/>
    <xf numFmtId="0" fontId="69" fillId="0" borderId="0" xfId="0" applyFont="1" applyAlignment="1">
      <alignment wrapText="1"/>
    </xf>
    <xf numFmtId="164" fontId="69" fillId="0" borderId="0" xfId="0" applyNumberFormat="1" applyFont="1"/>
    <xf numFmtId="0" fontId="33" fillId="0" borderId="21" xfId="0" applyFont="1" applyFill="1" applyBorder="1"/>
    <xf numFmtId="0" fontId="33" fillId="0" borderId="26" xfId="0" applyFont="1" applyFill="1" applyBorder="1"/>
    <xf numFmtId="0" fontId="33" fillId="0" borderId="24" xfId="0" applyFont="1" applyFill="1" applyBorder="1"/>
    <xf numFmtId="0" fontId="33" fillId="0" borderId="0" xfId="0" applyFont="1" applyBorder="1"/>
    <xf numFmtId="0" fontId="53" fillId="0" borderId="0" xfId="0" applyFont="1"/>
    <xf numFmtId="0" fontId="53" fillId="0" borderId="0" xfId="0" applyFont="1" applyAlignment="1"/>
    <xf numFmtId="0" fontId="35" fillId="0" borderId="0" xfId="0" applyNumberFormat="1" applyFont="1" applyAlignment="1">
      <alignment wrapText="1"/>
    </xf>
    <xf numFmtId="0" fontId="35" fillId="0" borderId="0" xfId="0" applyFont="1" applyFill="1"/>
    <xf numFmtId="14" fontId="42" fillId="16" borderId="0" xfId="0" applyNumberFormat="1" applyFont="1" applyFill="1" applyBorder="1" applyAlignment="1">
      <alignment horizontal="left"/>
    </xf>
    <xf numFmtId="9" fontId="73" fillId="23" borderId="0" xfId="0" applyNumberFormat="1" applyFont="1" applyFill="1" applyBorder="1" applyAlignment="1">
      <alignment vertical="center"/>
    </xf>
    <xf numFmtId="0" fontId="35" fillId="0" borderId="0" xfId="0" applyFont="1" applyFill="1" applyBorder="1"/>
    <xf numFmtId="1" fontId="73" fillId="23" borderId="0" xfId="0" applyNumberFormat="1" applyFont="1" applyFill="1" applyBorder="1" applyAlignment="1">
      <alignment vertical="center"/>
    </xf>
    <xf numFmtId="0" fontId="70" fillId="0" borderId="30" xfId="0" applyFont="1" applyBorder="1" applyAlignment="1">
      <alignment horizontal="center" vertical="center"/>
    </xf>
    <xf numFmtId="0" fontId="77" fillId="13" borderId="32" xfId="0" applyFont="1" applyFill="1" applyBorder="1" applyAlignment="1">
      <alignment horizontal="center" vertical="center" wrapText="1"/>
    </xf>
    <xf numFmtId="0" fontId="75" fillId="8" borderId="23" xfId="0" applyFont="1" applyFill="1" applyBorder="1" applyAlignment="1">
      <alignment horizontal="center" vertical="center" wrapText="1"/>
    </xf>
    <xf numFmtId="0" fontId="75" fillId="36" borderId="23" xfId="0" applyFont="1" applyFill="1" applyBorder="1" applyAlignment="1">
      <alignment horizontal="center" vertical="center" wrapText="1"/>
    </xf>
    <xf numFmtId="0" fontId="0" fillId="0" borderId="23" xfId="0" applyBorder="1"/>
    <xf numFmtId="0" fontId="69" fillId="0" borderId="23" xfId="0" applyFont="1" applyBorder="1"/>
    <xf numFmtId="0" fontId="75" fillId="14" borderId="23" xfId="0" applyFont="1" applyFill="1" applyBorder="1" applyAlignment="1">
      <alignment horizontal="center" vertical="center" wrapText="1"/>
    </xf>
    <xf numFmtId="0" fontId="0" fillId="37" borderId="23" xfId="0" applyFill="1" applyBorder="1"/>
    <xf numFmtId="164" fontId="75" fillId="14" borderId="23" xfId="4" applyNumberFormat="1" applyFont="1" applyFill="1" applyBorder="1" applyAlignment="1">
      <alignment horizontal="right" vertical="center"/>
    </xf>
    <xf numFmtId="164" fontId="75" fillId="8" borderId="23" xfId="4" applyNumberFormat="1" applyFont="1" applyFill="1" applyBorder="1" applyAlignment="1">
      <alignment horizontal="right" vertical="center"/>
    </xf>
    <xf numFmtId="164" fontId="75" fillId="36" borderId="23" xfId="4" applyNumberFormat="1" applyFont="1" applyFill="1" applyBorder="1" applyAlignment="1">
      <alignment horizontal="right" vertical="center"/>
    </xf>
    <xf numFmtId="166" fontId="19" fillId="20" borderId="0" xfId="8" applyFont="1" applyFill="1" applyBorder="1"/>
    <xf numFmtId="0" fontId="69" fillId="0" borderId="0" xfId="0" applyFont="1" applyAlignment="1">
      <alignment horizontal="center" vertical="center" wrapText="1"/>
    </xf>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0" fillId="0" borderId="0" xfId="0" applyFill="1"/>
    <xf numFmtId="14" fontId="35" fillId="0" borderId="0" xfId="0" applyNumberFormat="1" applyFont="1"/>
    <xf numFmtId="165" fontId="35" fillId="0" borderId="0" xfId="0" applyNumberFormat="1" applyFont="1"/>
    <xf numFmtId="165" fontId="35" fillId="0" borderId="0" xfId="0" applyNumberFormat="1" applyFont="1" applyFill="1"/>
    <xf numFmtId="0" fontId="80" fillId="8" borderId="0" xfId="0" applyFont="1" applyFill="1"/>
    <xf numFmtId="0" fontId="80" fillId="38" borderId="0" xfId="0" applyFont="1" applyFill="1"/>
    <xf numFmtId="0" fontId="19" fillId="0" borderId="0" xfId="0" applyFont="1"/>
    <xf numFmtId="0" fontId="32" fillId="0" borderId="0" xfId="0" applyFont="1"/>
    <xf numFmtId="0" fontId="19" fillId="0" borderId="0" xfId="0" applyFont="1" applyAlignment="1">
      <alignment horizontal="left"/>
    </xf>
    <xf numFmtId="9" fontId="19" fillId="0" borderId="0" xfId="0" applyNumberFormat="1" applyFont="1"/>
    <xf numFmtId="0" fontId="19" fillId="0" borderId="0" xfId="0" applyNumberFormat="1" applyFont="1"/>
    <xf numFmtId="0" fontId="19" fillId="0" borderId="0" xfId="0" applyFont="1" applyAlignment="1">
      <alignment wrapText="1"/>
    </xf>
    <xf numFmtId="164" fontId="19" fillId="0" borderId="0" xfId="0" applyNumberFormat="1" applyFont="1"/>
    <xf numFmtId="0" fontId="82" fillId="0" borderId="0" xfId="0" applyFont="1"/>
    <xf numFmtId="0" fontId="81" fillId="14" borderId="0" xfId="0" applyFont="1" applyFill="1"/>
    <xf numFmtId="1" fontId="19" fillId="0" borderId="0" xfId="0" applyNumberFormat="1" applyFont="1"/>
    <xf numFmtId="0" fontId="32" fillId="0" borderId="30" xfId="0" applyFont="1" applyBorder="1" applyAlignment="1">
      <alignment wrapText="1"/>
    </xf>
    <xf numFmtId="0" fontId="83" fillId="0" borderId="33" xfId="0" applyFont="1" applyBorder="1" applyAlignment="1">
      <alignment horizontal="left"/>
    </xf>
    <xf numFmtId="0" fontId="83" fillId="0" borderId="35" xfId="0" applyFont="1" applyBorder="1" applyAlignment="1">
      <alignment horizontal="left"/>
    </xf>
    <xf numFmtId="0" fontId="32" fillId="0" borderId="31" xfId="0" applyFont="1" applyBorder="1"/>
    <xf numFmtId="0" fontId="32" fillId="0" borderId="32" xfId="0" applyFont="1" applyBorder="1"/>
    <xf numFmtId="0" fontId="83" fillId="0" borderId="29" xfId="0" applyNumberFormat="1" applyFont="1" applyBorder="1"/>
    <xf numFmtId="0" fontId="83" fillId="0" borderId="34" xfId="0" applyNumberFormat="1" applyFont="1" applyBorder="1"/>
    <xf numFmtId="0" fontId="83" fillId="0" borderId="36" xfId="0" applyNumberFormat="1" applyFont="1" applyBorder="1"/>
    <xf numFmtId="0" fontId="83" fillId="0" borderId="37" xfId="0" applyNumberFormat="1" applyFont="1" applyBorder="1"/>
    <xf numFmtId="0" fontId="19" fillId="0" borderId="0" xfId="0" applyFont="1" applyFill="1"/>
    <xf numFmtId="0" fontId="19" fillId="0" borderId="0" xfId="0" applyFont="1" applyFill="1" applyBorder="1" applyAlignment="1">
      <alignment horizontal="left"/>
    </xf>
    <xf numFmtId="0" fontId="19" fillId="0" borderId="0" xfId="0" applyNumberFormat="1" applyFont="1" applyFill="1" applyBorder="1"/>
    <xf numFmtId="9" fontId="19" fillId="0" borderId="0" xfId="0" applyNumberFormat="1" applyFont="1" applyFill="1"/>
    <xf numFmtId="0" fontId="19" fillId="0" borderId="0" xfId="0" applyNumberFormat="1" applyFont="1" applyFill="1"/>
    <xf numFmtId="0" fontId="19" fillId="19" borderId="0" xfId="0" applyFont="1" applyFill="1"/>
    <xf numFmtId="164" fontId="19" fillId="0" borderId="0" xfId="4" applyNumberFormat="1" applyFont="1"/>
    <xf numFmtId="0" fontId="19" fillId="34" borderId="0" xfId="0" applyFont="1" applyFill="1"/>
    <xf numFmtId="0" fontId="32" fillId="10" borderId="0" xfId="0" applyFont="1" applyFill="1"/>
    <xf numFmtId="0" fontId="83" fillId="0" borderId="41" xfId="0" applyFont="1" applyBorder="1" applyAlignment="1">
      <alignment horizontal="left"/>
    </xf>
    <xf numFmtId="0" fontId="80" fillId="8" borderId="0" xfId="0" applyFont="1" applyFill="1" applyAlignment="1">
      <alignment horizontal="left"/>
    </xf>
    <xf numFmtId="9" fontId="80" fillId="8" borderId="0" xfId="0" applyNumberFormat="1" applyFont="1" applyFill="1"/>
    <xf numFmtId="0" fontId="80" fillId="8" borderId="0" xfId="0" applyNumberFormat="1" applyFont="1" applyFill="1"/>
    <xf numFmtId="0" fontId="78" fillId="0" borderId="0" xfId="0" applyFont="1"/>
    <xf numFmtId="0" fontId="72" fillId="0" borderId="0" xfId="0" applyFont="1"/>
    <xf numFmtId="0" fontId="81" fillId="29" borderId="44" xfId="0" applyFont="1" applyFill="1" applyBorder="1"/>
    <xf numFmtId="164" fontId="32" fillId="0" borderId="45" xfId="4" applyNumberFormat="1" applyFont="1" applyBorder="1"/>
    <xf numFmtId="164" fontId="84" fillId="0" borderId="46" xfId="4" applyNumberFormat="1" applyFont="1" applyBorder="1" applyAlignment="1">
      <alignment horizontal="left" wrapText="1"/>
    </xf>
    <xf numFmtId="164" fontId="84" fillId="0" borderId="43" xfId="4" applyNumberFormat="1" applyFont="1" applyBorder="1" applyAlignment="1">
      <alignment horizontal="left" wrapText="1"/>
    </xf>
    <xf numFmtId="0" fontId="84" fillId="0" borderId="47" xfId="0" applyFont="1" applyBorder="1" applyAlignment="1">
      <alignment horizontal="left"/>
    </xf>
    <xf numFmtId="0" fontId="84" fillId="0" borderId="0" xfId="0" applyFont="1" applyBorder="1" applyAlignment="1">
      <alignment horizontal="left"/>
    </xf>
    <xf numFmtId="0" fontId="84" fillId="0" borderId="0" xfId="0" applyNumberFormat="1" applyFont="1" applyBorder="1"/>
    <xf numFmtId="0" fontId="19" fillId="0" borderId="50" xfId="0" applyFont="1" applyBorder="1" applyAlignment="1">
      <alignment horizontal="left"/>
    </xf>
    <xf numFmtId="0" fontId="19" fillId="0" borderId="50" xfId="0" applyNumberFormat="1" applyFont="1" applyBorder="1"/>
    <xf numFmtId="0" fontId="19" fillId="0" borderId="55" xfId="0" applyNumberFormat="1" applyFont="1" applyBorder="1"/>
    <xf numFmtId="0" fontId="85" fillId="39" borderId="51" xfId="0" applyFont="1" applyFill="1" applyBorder="1"/>
    <xf numFmtId="0" fontId="85" fillId="9" borderId="0" xfId="0" applyFont="1" applyFill="1"/>
    <xf numFmtId="0" fontId="81" fillId="32" borderId="0" xfId="0" applyFont="1" applyFill="1"/>
    <xf numFmtId="0" fontId="80" fillId="14" borderId="0" xfId="0" applyFont="1" applyFill="1"/>
    <xf numFmtId="0" fontId="80" fillId="9" borderId="0" xfId="0" applyFont="1" applyFill="1"/>
    <xf numFmtId="0" fontId="78" fillId="34" borderId="0" xfId="0" applyFont="1" applyFill="1"/>
    <xf numFmtId="0" fontId="80" fillId="32" borderId="0" xfId="0" applyFont="1" applyFill="1"/>
    <xf numFmtId="0" fontId="78" fillId="10" borderId="0" xfId="0" applyFont="1" applyFill="1"/>
    <xf numFmtId="0" fontId="86" fillId="0" borderId="0" xfId="0" applyFont="1"/>
    <xf numFmtId="0" fontId="42" fillId="21" borderId="0" xfId="1" applyNumberFormat="1" applyFont="1" applyFill="1" applyBorder="1" applyAlignment="1">
      <alignment horizontal="center"/>
    </xf>
    <xf numFmtId="0" fontId="42" fillId="21" borderId="0" xfId="0" applyNumberFormat="1" applyFont="1" applyFill="1" applyBorder="1" applyAlignment="1">
      <alignment horizontal="center"/>
    </xf>
    <xf numFmtId="0" fontId="69" fillId="0" borderId="0" xfId="0" applyFont="1" applyFill="1"/>
    <xf numFmtId="0" fontId="87" fillId="26" borderId="56" xfId="0" applyFont="1" applyFill="1" applyBorder="1"/>
    <xf numFmtId="0" fontId="80" fillId="41" borderId="0" xfId="0" applyFont="1" applyFill="1" applyAlignment="1">
      <alignment vertical="center"/>
    </xf>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0" fontId="88" fillId="0" borderId="24" xfId="0" applyNumberFormat="1" applyFont="1" applyFill="1" applyBorder="1"/>
    <xf numFmtId="1" fontId="88" fillId="0" borderId="25" xfId="0" applyNumberFormat="1" applyFont="1" applyFill="1" applyBorder="1"/>
    <xf numFmtId="0" fontId="92" fillId="0" borderId="0" xfId="0" applyFont="1"/>
    <xf numFmtId="0" fontId="95" fillId="0" borderId="0" xfId="0" applyFont="1"/>
    <xf numFmtId="1" fontId="96" fillId="0" borderId="0" xfId="0" applyNumberFormat="1" applyFont="1" applyFill="1"/>
    <xf numFmtId="0" fontId="96" fillId="0" borderId="0" xfId="0" applyFont="1" applyFill="1"/>
    <xf numFmtId="0" fontId="96" fillId="0" borderId="0" xfId="0" applyNumberFormat="1" applyFont="1" applyFill="1" applyAlignment="1">
      <alignment wrapText="1" readingOrder="1"/>
    </xf>
    <xf numFmtId="165" fontId="96" fillId="0" borderId="0" xfId="0" applyNumberFormat="1" applyFont="1" applyFill="1"/>
    <xf numFmtId="0" fontId="96" fillId="0" borderId="0" xfId="0" applyFont="1" applyFill="1" applyAlignment="1">
      <alignment wrapText="1" readingOrder="1"/>
    </xf>
    <xf numFmtId="0" fontId="96" fillId="0" borderId="0" xfId="0" applyNumberFormat="1" applyFont="1" applyFill="1" applyBorder="1"/>
    <xf numFmtId="1" fontId="96" fillId="0" borderId="0" xfId="0" applyNumberFormat="1" applyFont="1" applyFill="1" applyBorder="1"/>
    <xf numFmtId="49" fontId="94" fillId="0" borderId="0" xfId="21" applyNumberFormat="1" applyFont="1" applyFill="1" applyBorder="1" applyAlignment="1">
      <alignment horizontal="left" vertical="center" wrapText="1"/>
    </xf>
    <xf numFmtId="1" fontId="97" fillId="0" borderId="0" xfId="0" applyNumberFormat="1" applyFont="1" applyFill="1"/>
    <xf numFmtId="0" fontId="97" fillId="0" borderId="0" xfId="0" applyFont="1" applyFill="1"/>
    <xf numFmtId="0" fontId="97" fillId="0" borderId="0" xfId="0" applyNumberFormat="1" applyFont="1" applyFill="1" applyAlignment="1">
      <alignment wrapText="1" readingOrder="1"/>
    </xf>
    <xf numFmtId="165" fontId="97" fillId="0" borderId="0" xfId="0" applyNumberFormat="1" applyFont="1" applyFill="1"/>
    <xf numFmtId="0" fontId="97" fillId="0" borderId="0" xfId="0" applyFont="1" applyFill="1" applyAlignment="1">
      <alignment wrapText="1" readingOrder="1"/>
    </xf>
    <xf numFmtId="0" fontId="97" fillId="0" borderId="0" xfId="0" applyNumberFormat="1" applyFont="1" applyFill="1" applyBorder="1"/>
    <xf numFmtId="1" fontId="97" fillId="0" borderId="0" xfId="0" applyNumberFormat="1" applyFont="1" applyFill="1" applyBorder="1"/>
    <xf numFmtId="0" fontId="92" fillId="31" borderId="26" xfId="0" applyFont="1" applyFill="1" applyBorder="1"/>
    <xf numFmtId="0" fontId="20" fillId="0" borderId="0" xfId="19" applyFont="1" applyAlignment="1">
      <alignment horizontal="left" vertical="center"/>
    </xf>
    <xf numFmtId="0" fontId="33" fillId="0" borderId="0" xfId="22" applyFont="1" applyAlignment="1">
      <alignment horizontal="left" vertical="center"/>
    </xf>
    <xf numFmtId="0" fontId="20" fillId="0" borderId="0" xfId="19" applyAlignment="1">
      <alignment horizontal="left" vertical="center"/>
    </xf>
    <xf numFmtId="0" fontId="56" fillId="24" borderId="66" xfId="23" applyFont="1" applyBorder="1" applyAlignment="1">
      <alignment horizontal="center" vertical="center" wrapText="1"/>
    </xf>
    <xf numFmtId="0" fontId="57" fillId="25" borderId="66" xfId="24" applyFont="1" applyBorder="1" applyAlignment="1">
      <alignment horizontal="center" vertical="center" wrapText="1"/>
    </xf>
    <xf numFmtId="0" fontId="58" fillId="26" borderId="66" xfId="22" applyFont="1" applyFill="1" applyBorder="1" applyAlignment="1">
      <alignment horizontal="center" vertical="center"/>
    </xf>
    <xf numFmtId="0" fontId="54" fillId="24" borderId="66" xfId="23" applyBorder="1" applyAlignment="1">
      <alignment horizontal="left" vertical="center"/>
    </xf>
    <xf numFmtId="0" fontId="55" fillId="25" borderId="66" xfId="24" applyBorder="1" applyAlignment="1">
      <alignment horizontal="left" vertical="center"/>
    </xf>
    <xf numFmtId="0" fontId="33" fillId="43" borderId="66" xfId="22" applyFont="1" applyFill="1" applyBorder="1" applyAlignment="1">
      <alignment horizontal="left" vertical="center"/>
    </xf>
    <xf numFmtId="0" fontId="34" fillId="18" borderId="66" xfId="19" applyFont="1" applyFill="1" applyBorder="1" applyAlignment="1">
      <alignment horizontal="left" vertical="center" wrapText="1" readingOrder="1"/>
    </xf>
    <xf numFmtId="0" fontId="62" fillId="5" borderId="66" xfId="23" applyFont="1" applyFill="1" applyBorder="1" applyAlignment="1">
      <alignment horizontal="left" vertical="center"/>
    </xf>
    <xf numFmtId="0" fontId="62" fillId="5" borderId="66" xfId="24" applyFont="1" applyFill="1" applyBorder="1" applyAlignment="1">
      <alignment horizontal="left" vertical="center"/>
    </xf>
    <xf numFmtId="0" fontId="59" fillId="26" borderId="66" xfId="22" applyFont="1" applyFill="1" applyBorder="1" applyAlignment="1">
      <alignment horizontal="left" vertical="center" wrapText="1"/>
    </xf>
    <xf numFmtId="1" fontId="34" fillId="18" borderId="66" xfId="19" applyNumberFormat="1" applyFont="1" applyFill="1" applyBorder="1" applyAlignment="1">
      <alignment horizontal="left" vertical="center" wrapText="1" readingOrder="1"/>
    </xf>
    <xf numFmtId="0" fontId="54" fillId="24" borderId="69" xfId="23" applyBorder="1" applyAlignment="1">
      <alignment horizontal="left" vertical="center"/>
    </xf>
    <xf numFmtId="0" fontId="55" fillId="25" borderId="69" xfId="24" applyBorder="1" applyAlignment="1">
      <alignment horizontal="left" vertical="center"/>
    </xf>
    <xf numFmtId="9" fontId="34" fillId="18" borderId="66" xfId="19" applyNumberFormat="1" applyFont="1" applyFill="1" applyBorder="1" applyAlignment="1">
      <alignment horizontal="left" vertical="center" wrapText="1" readingOrder="1"/>
    </xf>
    <xf numFmtId="9" fontId="34" fillId="18" borderId="66" xfId="20" applyNumberFormat="1" applyFont="1" applyFill="1" applyBorder="1" applyAlignment="1">
      <alignment horizontal="left" vertical="center" wrapText="1" readingOrder="1"/>
    </xf>
    <xf numFmtId="0" fontId="64" fillId="8" borderId="66" xfId="23" applyFont="1" applyFill="1" applyBorder="1" applyAlignment="1">
      <alignment horizontal="left" vertical="center"/>
    </xf>
    <xf numFmtId="0" fontId="64" fillId="8" borderId="66" xfId="24" applyFont="1" applyFill="1" applyBorder="1" applyAlignment="1">
      <alignment horizontal="left" vertical="center"/>
    </xf>
    <xf numFmtId="0" fontId="60" fillId="26" borderId="66" xfId="22" applyFont="1" applyFill="1" applyBorder="1" applyAlignment="1">
      <alignment horizontal="left" vertical="center" wrapText="1"/>
    </xf>
    <xf numFmtId="1" fontId="34" fillId="7" borderId="66" xfId="19" applyNumberFormat="1" applyFont="1" applyFill="1" applyBorder="1" applyAlignment="1">
      <alignment horizontal="left" vertical="center" wrapText="1" readingOrder="1"/>
    </xf>
    <xf numFmtId="0" fontId="65" fillId="36" borderId="66" xfId="23" applyFont="1" applyFill="1" applyBorder="1" applyAlignment="1">
      <alignment horizontal="left" vertical="center"/>
    </xf>
    <xf numFmtId="0" fontId="65" fillId="36" borderId="66" xfId="24" applyFont="1" applyFill="1" applyBorder="1" applyAlignment="1">
      <alignment horizontal="left" vertical="center"/>
    </xf>
    <xf numFmtId="0" fontId="61" fillId="26" borderId="66" xfId="22" applyFont="1" applyFill="1" applyBorder="1" applyAlignment="1">
      <alignment horizontal="left" vertical="center" wrapText="1"/>
    </xf>
    <xf numFmtId="0" fontId="85" fillId="36" borderId="66" xfId="23" applyFont="1" applyFill="1" applyBorder="1" applyAlignment="1">
      <alignment horizontal="left" vertical="center" wrapText="1"/>
    </xf>
    <xf numFmtId="0" fontId="33" fillId="43" borderId="69" xfId="22" applyFont="1" applyFill="1" applyBorder="1" applyAlignment="1">
      <alignment horizontal="left" vertical="center"/>
    </xf>
    <xf numFmtId="0" fontId="22" fillId="0" borderId="0" xfId="22" applyAlignment="1">
      <alignment vertical="top" wrapText="1"/>
    </xf>
    <xf numFmtId="0" fontId="47" fillId="0" borderId="0" xfId="22" applyFont="1" applyAlignment="1">
      <alignment vertical="top" wrapText="1"/>
    </xf>
    <xf numFmtId="0" fontId="22" fillId="0" borderId="0" xfId="22" applyAlignment="1">
      <alignment wrapText="1"/>
    </xf>
    <xf numFmtId="0" fontId="28" fillId="12" borderId="4" xfId="22" applyFont="1" applyFill="1" applyBorder="1" applyAlignment="1">
      <alignment vertical="top" wrapText="1"/>
    </xf>
    <xf numFmtId="0" fontId="31" fillId="10" borderId="4" xfId="22" applyFont="1" applyFill="1" applyBorder="1" applyAlignment="1">
      <alignment horizontal="left" vertical="top" wrapText="1"/>
    </xf>
    <xf numFmtId="0" fontId="31" fillId="10" borderId="4" xfId="22" applyFont="1" applyFill="1" applyBorder="1" applyAlignment="1">
      <alignment horizontal="left" vertical="center" wrapText="1"/>
    </xf>
    <xf numFmtId="0" fontId="29" fillId="7" borderId="4" xfId="22" applyFont="1" applyFill="1" applyBorder="1" applyAlignment="1">
      <alignment vertical="top" wrapText="1"/>
    </xf>
    <xf numFmtId="0" fontId="29" fillId="11" borderId="4" xfId="22" applyFont="1" applyFill="1" applyBorder="1" applyAlignment="1">
      <alignment vertical="top" wrapText="1"/>
    </xf>
    <xf numFmtId="0" fontId="26" fillId="44" borderId="66" xfId="22" applyNumberFormat="1" applyFont="1" applyFill="1" applyBorder="1" applyAlignment="1">
      <alignment horizontal="center" vertical="center"/>
    </xf>
    <xf numFmtId="0" fontId="26" fillId="2" borderId="66" xfId="22" applyNumberFormat="1" applyFont="1" applyFill="1" applyBorder="1" applyAlignment="1">
      <alignment horizontal="center" vertical="center"/>
    </xf>
    <xf numFmtId="0" fontId="26" fillId="37" borderId="66" xfId="22" applyNumberFormat="1" applyFont="1" applyFill="1" applyBorder="1" applyAlignment="1">
      <alignment horizontal="center" vertical="center"/>
    </xf>
    <xf numFmtId="1" fontId="68" fillId="18" borderId="14" xfId="0" applyNumberFormat="1" applyFont="1" applyFill="1" applyBorder="1" applyAlignment="1">
      <alignment horizontal="left" vertical="top" wrapText="1" readingOrder="1"/>
    </xf>
    <xf numFmtId="0" fontId="68" fillId="27" borderId="66" xfId="22" applyNumberFormat="1" applyFont="1" applyFill="1" applyBorder="1" applyAlignment="1">
      <alignment horizontal="center" vertical="center" wrapText="1"/>
    </xf>
    <xf numFmtId="14" fontId="67" fillId="12" borderId="66" xfId="19" applyNumberFormat="1" applyFont="1" applyFill="1" applyBorder="1" applyAlignment="1">
      <alignment horizontal="center" vertical="center" wrapText="1"/>
    </xf>
    <xf numFmtId="14" fontId="67" fillId="22" borderId="66" xfId="19" applyNumberFormat="1" applyFont="1" applyFill="1" applyBorder="1" applyAlignment="1">
      <alignment horizontal="center" vertical="center" wrapText="1"/>
    </xf>
    <xf numFmtId="14" fontId="27" fillId="17" borderId="66" xfId="19" applyNumberFormat="1" applyFont="1" applyFill="1" applyBorder="1" applyAlignment="1">
      <alignment horizontal="center" vertical="center" wrapText="1" readingOrder="1"/>
    </xf>
    <xf numFmtId="0" fontId="42" fillId="14" borderId="0" xfId="0" applyFont="1" applyFill="1" applyBorder="1" applyAlignment="1"/>
    <xf numFmtId="1" fontId="42" fillId="8" borderId="0" xfId="0" applyNumberFormat="1" applyFont="1" applyFill="1" applyBorder="1" applyAlignment="1"/>
    <xf numFmtId="0" fontId="26" fillId="9" borderId="70" xfId="22" applyNumberFormat="1" applyFont="1" applyFill="1" applyBorder="1" applyAlignment="1">
      <alignment horizontal="center" vertical="center"/>
    </xf>
    <xf numFmtId="0" fontId="26" fillId="6" borderId="66" xfId="22" applyNumberFormat="1" applyFont="1" applyFill="1" applyBorder="1" applyAlignment="1">
      <alignment horizontal="center" vertical="center"/>
    </xf>
    <xf numFmtId="14" fontId="67" fillId="17" borderId="14" xfId="0" applyNumberFormat="1" applyFont="1" applyFill="1" applyBorder="1" applyAlignment="1">
      <alignment horizontal="left" vertical="top" wrapText="1" readingOrder="1"/>
    </xf>
    <xf numFmtId="0" fontId="68" fillId="18" borderId="14" xfId="0" applyFont="1" applyFill="1" applyBorder="1" applyAlignment="1">
      <alignment horizontal="left" vertical="top" wrapText="1" readingOrder="1"/>
    </xf>
    <xf numFmtId="0" fontId="68" fillId="22" borderId="19" xfId="0" applyNumberFormat="1" applyFont="1" applyFill="1" applyBorder="1" applyAlignment="1">
      <alignment horizontal="left" vertical="top" wrapText="1" readingOrder="1"/>
    </xf>
    <xf numFmtId="0" fontId="68" fillId="22" borderId="20" xfId="0" applyNumberFormat="1" applyFont="1" applyFill="1" applyBorder="1" applyAlignment="1">
      <alignment horizontal="left" vertical="top" wrapText="1" readingOrder="1"/>
    </xf>
    <xf numFmtId="0" fontId="68" fillId="22" borderId="2" xfId="0" applyNumberFormat="1" applyFont="1" applyFill="1" applyBorder="1" applyAlignment="1">
      <alignment horizontal="left" vertical="center" wrapText="1" readingOrder="1"/>
    </xf>
    <xf numFmtId="0" fontId="66" fillId="0" borderId="0" xfId="0" applyFont="1" applyAlignment="1">
      <alignment vertical="top" wrapText="1"/>
    </xf>
    <xf numFmtId="0" fontId="103" fillId="18" borderId="66" xfId="19" applyFont="1" applyFill="1" applyBorder="1" applyAlignment="1">
      <alignment horizontal="left" vertical="center" wrapText="1" readingOrder="1"/>
    </xf>
    <xf numFmtId="1" fontId="103" fillId="18" borderId="66" xfId="19" applyNumberFormat="1" applyFont="1" applyFill="1" applyBorder="1" applyAlignment="1">
      <alignment horizontal="left" vertical="center" wrapText="1" readingOrder="1"/>
    </xf>
    <xf numFmtId="0" fontId="104" fillId="18" borderId="66" xfId="19" applyFont="1" applyFill="1" applyBorder="1" applyAlignment="1">
      <alignment horizontal="left" vertical="center" wrapText="1" readingOrder="1"/>
    </xf>
    <xf numFmtId="0" fontId="103" fillId="18" borderId="66" xfId="19" applyFont="1" applyFill="1" applyBorder="1" applyAlignment="1">
      <alignment horizontal="left" vertical="center" wrapText="1"/>
    </xf>
    <xf numFmtId="1" fontId="104" fillId="18" borderId="66" xfId="19" applyNumberFormat="1" applyFont="1" applyFill="1" applyBorder="1" applyAlignment="1">
      <alignment horizontal="left" vertical="center" wrapText="1" readingOrder="1"/>
    </xf>
    <xf numFmtId="1" fontId="104" fillId="7" borderId="66" xfId="19" applyNumberFormat="1" applyFont="1" applyFill="1" applyBorder="1" applyAlignment="1">
      <alignment horizontal="left" vertical="center" wrapText="1" readingOrder="1"/>
    </xf>
    <xf numFmtId="0" fontId="103" fillId="28" borderId="66" xfId="19" applyFont="1" applyFill="1" applyBorder="1" applyAlignment="1">
      <alignment horizontal="left" vertical="center" wrapText="1"/>
    </xf>
    <xf numFmtId="14" fontId="104" fillId="7" borderId="66" xfId="19" applyNumberFormat="1" applyFont="1" applyFill="1" applyBorder="1" applyAlignment="1">
      <alignment horizontal="left" vertical="center" wrapText="1" readingOrder="1"/>
    </xf>
    <xf numFmtId="0" fontId="104" fillId="11" borderId="66" xfId="20" applyNumberFormat="1" applyFont="1" applyFill="1" applyBorder="1" applyAlignment="1">
      <alignment horizontal="left" vertical="center" wrapText="1" readingOrder="1"/>
    </xf>
    <xf numFmtId="1" fontId="104" fillId="11" borderId="66" xfId="19" applyNumberFormat="1" applyFont="1" applyFill="1" applyBorder="1" applyAlignment="1">
      <alignment horizontal="left" vertical="center" wrapText="1" readingOrder="1"/>
    </xf>
    <xf numFmtId="0" fontId="103" fillId="0" borderId="66" xfId="19" applyFont="1" applyFill="1" applyBorder="1" applyAlignment="1">
      <alignment horizontal="left" vertical="center" wrapText="1"/>
    </xf>
    <xf numFmtId="0" fontId="103" fillId="30" borderId="66" xfId="20" applyNumberFormat="1" applyFont="1" applyFill="1" applyBorder="1" applyAlignment="1">
      <alignment horizontal="left" vertical="center" wrapText="1" readingOrder="1"/>
    </xf>
    <xf numFmtId="14" fontId="104" fillId="17" borderId="66" xfId="19" applyNumberFormat="1" applyFont="1" applyFill="1" applyBorder="1" applyAlignment="1">
      <alignment horizontal="left" vertical="center" wrapText="1" readingOrder="1"/>
    </xf>
    <xf numFmtId="0" fontId="106" fillId="16" borderId="66" xfId="19" applyFont="1" applyFill="1" applyBorder="1" applyAlignment="1">
      <alignment horizontal="center" vertical="center" wrapText="1"/>
    </xf>
    <xf numFmtId="0" fontId="109" fillId="22" borderId="13" xfId="0" applyNumberFormat="1" applyFont="1" applyFill="1" applyBorder="1" applyAlignment="1">
      <alignment horizontal="left" vertical="center" wrapText="1" readingOrder="1"/>
    </xf>
    <xf numFmtId="0" fontId="109" fillId="22" borderId="2" xfId="0" applyNumberFormat="1" applyFont="1" applyFill="1" applyBorder="1" applyAlignment="1">
      <alignment horizontal="left" vertical="center" wrapText="1" readingOrder="1"/>
    </xf>
    <xf numFmtId="0" fontId="107" fillId="0" borderId="0" xfId="0" applyFont="1" applyAlignment="1"/>
    <xf numFmtId="0" fontId="55" fillId="25" borderId="67" xfId="24" applyBorder="1" applyAlignment="1">
      <alignment horizontal="left" vertical="center"/>
    </xf>
    <xf numFmtId="0" fontId="33" fillId="43" borderId="67" xfId="22" applyFont="1" applyFill="1" applyBorder="1" applyAlignment="1">
      <alignment horizontal="left" vertical="center"/>
    </xf>
    <xf numFmtId="0" fontId="62" fillId="5" borderId="0" xfId="23" applyFont="1" applyFill="1" applyBorder="1" applyAlignment="1">
      <alignment horizontal="left" vertical="center"/>
    </xf>
    <xf numFmtId="0" fontId="62" fillId="5" borderId="0" xfId="24" applyFont="1" applyFill="1" applyBorder="1" applyAlignment="1">
      <alignment horizontal="left" vertical="center"/>
    </xf>
    <xf numFmtId="0" fontId="59" fillId="26" borderId="0" xfId="22" applyFont="1" applyFill="1" applyBorder="1" applyAlignment="1">
      <alignment horizontal="left" vertical="center" wrapText="1"/>
    </xf>
    <xf numFmtId="14" fontId="34" fillId="18" borderId="66" xfId="19" applyNumberFormat="1" applyFont="1" applyFill="1" applyBorder="1" applyAlignment="1">
      <alignment horizontal="left" vertical="center" wrapText="1" readingOrder="1"/>
    </xf>
    <xf numFmtId="0" fontId="34" fillId="10" borderId="66" xfId="19" applyFont="1" applyFill="1" applyBorder="1" applyAlignment="1">
      <alignment horizontal="left" vertical="center" wrapText="1"/>
    </xf>
    <xf numFmtId="14" fontId="103" fillId="18" borderId="66" xfId="19" applyNumberFormat="1" applyFont="1" applyFill="1" applyBorder="1" applyAlignment="1">
      <alignment horizontal="left" vertical="center" wrapText="1" readingOrder="1"/>
    </xf>
    <xf numFmtId="9" fontId="34" fillId="11" borderId="66" xfId="19" applyNumberFormat="1" applyFont="1" applyFill="1" applyBorder="1" applyAlignment="1">
      <alignment horizontal="left" vertical="center" wrapText="1" readingOrder="1"/>
    </xf>
    <xf numFmtId="0" fontId="54" fillId="24" borderId="68" xfId="23" applyBorder="1" applyAlignment="1">
      <alignment horizontal="left" vertical="center"/>
    </xf>
    <xf numFmtId="0" fontId="54" fillId="24" borderId="72" xfId="23" applyBorder="1" applyAlignment="1">
      <alignment horizontal="left" vertical="center"/>
    </xf>
    <xf numFmtId="1" fontId="34" fillId="18" borderId="66" xfId="20" applyNumberFormat="1" applyFont="1" applyFill="1" applyBorder="1" applyAlignment="1">
      <alignment horizontal="left" vertical="center" wrapText="1" readingOrder="1"/>
    </xf>
    <xf numFmtId="0" fontId="26" fillId="2" borderId="66" xfId="22" applyNumberFormat="1" applyFont="1" applyFill="1" applyBorder="1" applyAlignment="1">
      <alignment horizontal="center" vertical="center" wrapText="1"/>
    </xf>
    <xf numFmtId="0" fontId="26" fillId="6" borderId="66" xfId="22" applyNumberFormat="1" applyFont="1" applyFill="1" applyBorder="1" applyAlignment="1">
      <alignment horizontal="center" vertical="center" wrapText="1"/>
    </xf>
    <xf numFmtId="0" fontId="26" fillId="37" borderId="66" xfId="22" applyNumberFormat="1" applyFont="1" applyFill="1" applyBorder="1" applyAlignment="1">
      <alignment horizontal="center" vertical="center" wrapText="1"/>
    </xf>
    <xf numFmtId="0" fontId="26" fillId="44" borderId="66" xfId="22" applyNumberFormat="1" applyFont="1" applyFill="1" applyBorder="1" applyAlignment="1">
      <alignment horizontal="center" vertical="center" wrapText="1"/>
    </xf>
    <xf numFmtId="0" fontId="36" fillId="22" borderId="13" xfId="0" applyNumberFormat="1" applyFont="1" applyFill="1" applyBorder="1" applyAlignment="1">
      <alignment horizontal="left" vertical="center" wrapText="1" readingOrder="1"/>
    </xf>
    <xf numFmtId="0" fontId="36" fillId="22" borderId="2" xfId="0" applyNumberFormat="1" applyFont="1" applyFill="1" applyBorder="1" applyAlignment="1">
      <alignment horizontal="left" vertical="center" wrapText="1" readingOrder="1"/>
    </xf>
    <xf numFmtId="0" fontId="38" fillId="0" borderId="0" xfId="0" applyFont="1" applyAlignment="1">
      <alignment wrapText="1"/>
    </xf>
    <xf numFmtId="0" fontId="111" fillId="0" borderId="0" xfId="19" applyFont="1" applyAlignment="1">
      <alignment horizontal="left" vertical="center"/>
    </xf>
    <xf numFmtId="0" fontId="34" fillId="0" borderId="0" xfId="22" applyFont="1" applyAlignment="1">
      <alignment horizontal="left" vertical="center"/>
    </xf>
    <xf numFmtId="0" fontId="36" fillId="16" borderId="66" xfId="22" applyFont="1" applyFill="1" applyBorder="1" applyAlignment="1">
      <alignment horizontal="center" vertical="center" wrapText="1"/>
    </xf>
    <xf numFmtId="0" fontId="36" fillId="16" borderId="66" xfId="19" applyFont="1" applyFill="1" applyBorder="1" applyAlignment="1">
      <alignment horizontal="center" vertical="center" wrapText="1"/>
    </xf>
    <xf numFmtId="0" fontId="111" fillId="0" borderId="0" xfId="19" applyFont="1" applyAlignment="1">
      <alignment horizontal="center" vertical="center"/>
    </xf>
    <xf numFmtId="0" fontId="36" fillId="2" borderId="66" xfId="22" applyNumberFormat="1" applyFont="1" applyFill="1" applyBorder="1" applyAlignment="1">
      <alignment horizontal="left" vertical="center" indent="1" readingOrder="1"/>
    </xf>
    <xf numFmtId="14" fontId="34" fillId="17" borderId="66" xfId="19" applyNumberFormat="1" applyFont="1" applyFill="1" applyBorder="1" applyAlignment="1">
      <alignment horizontal="left" vertical="center" wrapText="1" readingOrder="1"/>
    </xf>
    <xf numFmtId="0" fontId="36" fillId="14" borderId="66" xfId="22" applyNumberFormat="1" applyFont="1" applyFill="1" applyBorder="1" applyAlignment="1">
      <alignment horizontal="left" vertical="center" indent="1" readingOrder="1"/>
    </xf>
    <xf numFmtId="1" fontId="34" fillId="18" borderId="69" xfId="20" applyNumberFormat="1" applyFont="1" applyFill="1" applyBorder="1" applyAlignment="1">
      <alignment horizontal="left" vertical="center" wrapText="1" readingOrder="1"/>
    </xf>
    <xf numFmtId="0" fontId="34" fillId="18" borderId="69" xfId="19" applyFont="1" applyFill="1" applyBorder="1" applyAlignment="1">
      <alignment horizontal="left" vertical="center" wrapText="1" readingOrder="1"/>
    </xf>
    <xf numFmtId="1" fontId="34" fillId="18" borderId="69" xfId="19" applyNumberFormat="1" applyFont="1" applyFill="1" applyBorder="1" applyAlignment="1">
      <alignment horizontal="left" vertical="center" wrapText="1" readingOrder="1"/>
    </xf>
    <xf numFmtId="0" fontId="36" fillId="38" borderId="66" xfId="22" applyNumberFormat="1" applyFont="1" applyFill="1" applyBorder="1" applyAlignment="1">
      <alignment horizontal="left" vertical="center" indent="1" readingOrder="1"/>
    </xf>
    <xf numFmtId="0" fontId="34" fillId="28" borderId="66" xfId="19" applyFont="1" applyFill="1" applyBorder="1" applyAlignment="1">
      <alignment horizontal="left" vertical="center" wrapText="1"/>
    </xf>
    <xf numFmtId="1" fontId="34" fillId="7" borderId="66" xfId="20" applyNumberFormat="1" applyFont="1" applyFill="1" applyBorder="1" applyAlignment="1">
      <alignment horizontal="left" vertical="center" wrapText="1" readingOrder="1"/>
    </xf>
    <xf numFmtId="14" fontId="34" fillId="7" borderId="66" xfId="19" applyNumberFormat="1" applyFont="1" applyFill="1" applyBorder="1" applyAlignment="1">
      <alignment horizontal="left" vertical="center" wrapText="1" readingOrder="1"/>
    </xf>
    <xf numFmtId="0" fontId="34" fillId="7" borderId="66" xfId="19" applyFont="1" applyFill="1" applyBorder="1" applyAlignment="1">
      <alignment horizontal="left" vertical="center" wrapText="1" readingOrder="1"/>
    </xf>
    <xf numFmtId="0" fontId="36" fillId="9" borderId="66" xfId="22" applyNumberFormat="1" applyFont="1" applyFill="1" applyBorder="1" applyAlignment="1">
      <alignment horizontal="left" vertical="center" indent="1" readingOrder="1"/>
    </xf>
    <xf numFmtId="0" fontId="34" fillId="11" borderId="66" xfId="20" applyNumberFormat="1" applyFont="1" applyFill="1" applyBorder="1" applyAlignment="1">
      <alignment horizontal="left" vertical="center" wrapText="1" readingOrder="1"/>
    </xf>
    <xf numFmtId="1" fontId="34" fillId="11" borderId="66" xfId="19" applyNumberFormat="1" applyFont="1" applyFill="1" applyBorder="1" applyAlignment="1">
      <alignment horizontal="left" vertical="center" wrapText="1" readingOrder="1"/>
    </xf>
    <xf numFmtId="0" fontId="34" fillId="30" borderId="66" xfId="19" applyFont="1" applyFill="1" applyBorder="1" applyAlignment="1">
      <alignment horizontal="left" vertical="center" wrapText="1"/>
    </xf>
    <xf numFmtId="9" fontId="34" fillId="11" borderId="69" xfId="19" applyNumberFormat="1" applyFont="1" applyFill="1" applyBorder="1" applyAlignment="1">
      <alignment horizontal="left" vertical="center" wrapText="1" readingOrder="1"/>
    </xf>
    <xf numFmtId="0" fontId="34" fillId="30" borderId="69" xfId="19" applyFont="1" applyFill="1" applyBorder="1" applyAlignment="1">
      <alignment horizontal="left" vertical="center" wrapText="1"/>
    </xf>
    <xf numFmtId="0" fontId="34" fillId="0" borderId="0" xfId="19" applyFont="1" applyAlignment="1">
      <alignment horizontal="left" vertical="center"/>
    </xf>
    <xf numFmtId="0" fontId="113" fillId="0" borderId="0" xfId="19" applyFont="1" applyAlignment="1">
      <alignment horizontal="left" vertical="center"/>
    </xf>
    <xf numFmtId="0" fontId="113" fillId="0" borderId="0" xfId="19" applyFont="1" applyAlignment="1">
      <alignment horizontal="center" vertical="center"/>
    </xf>
    <xf numFmtId="0" fontId="36" fillId="14" borderId="68" xfId="22" applyNumberFormat="1" applyFont="1" applyFill="1" applyBorder="1" applyAlignment="1">
      <alignment horizontal="left" vertical="center" indent="1" readingOrder="1"/>
    </xf>
    <xf numFmtId="0" fontId="113" fillId="0" borderId="0" xfId="19" applyFont="1" applyBorder="1" applyAlignment="1">
      <alignment horizontal="left" vertical="center"/>
    </xf>
    <xf numFmtId="0" fontId="105" fillId="0" borderId="0" xfId="19" applyFont="1" applyAlignment="1">
      <alignment horizontal="left" vertical="center"/>
    </xf>
    <xf numFmtId="0" fontId="103" fillId="0" borderId="0" xfId="19" applyFont="1" applyAlignment="1">
      <alignment horizontal="left" vertical="center"/>
    </xf>
    <xf numFmtId="0" fontId="104" fillId="0" borderId="0" xfId="19" applyFont="1" applyAlignment="1">
      <alignment horizontal="left" vertical="center"/>
    </xf>
    <xf numFmtId="14" fontId="27" fillId="17" borderId="66" xfId="19" applyNumberFormat="1" applyFont="1" applyFill="1" applyBorder="1" applyAlignment="1">
      <alignment horizontal="center" vertical="center" wrapText="1"/>
    </xf>
    <xf numFmtId="14" fontId="27" fillId="7" borderId="66" xfId="19" applyNumberFormat="1" applyFont="1" applyFill="1" applyBorder="1" applyAlignment="1">
      <alignment horizontal="center" vertical="center" wrapText="1"/>
    </xf>
    <xf numFmtId="14" fontId="27" fillId="27" borderId="66" xfId="19" applyNumberFormat="1" applyFont="1" applyFill="1" applyBorder="1" applyAlignment="1">
      <alignment horizontal="center" vertical="center" wrapText="1"/>
    </xf>
    <xf numFmtId="14" fontId="27" fillId="22" borderId="66" xfId="19" applyNumberFormat="1" applyFont="1" applyFill="1" applyBorder="1" applyAlignment="1">
      <alignment horizontal="center" vertical="center" wrapText="1"/>
    </xf>
    <xf numFmtId="14" fontId="114" fillId="17" borderId="66" xfId="19" applyNumberFormat="1" applyFont="1" applyFill="1" applyBorder="1" applyAlignment="1">
      <alignment horizontal="center" vertical="center" wrapText="1"/>
    </xf>
    <xf numFmtId="14" fontId="114" fillId="7" borderId="66" xfId="19" applyNumberFormat="1" applyFont="1" applyFill="1" applyBorder="1" applyAlignment="1">
      <alignment horizontal="center" vertical="center" wrapText="1"/>
    </xf>
    <xf numFmtId="14" fontId="114" fillId="27" borderId="66" xfId="19" applyNumberFormat="1" applyFont="1" applyFill="1" applyBorder="1" applyAlignment="1">
      <alignment horizontal="center" vertical="center" wrapText="1"/>
    </xf>
    <xf numFmtId="14" fontId="114" fillId="22" borderId="66" xfId="19" applyNumberFormat="1" applyFont="1" applyFill="1" applyBorder="1" applyAlignment="1">
      <alignment horizontal="center" vertical="center" wrapText="1"/>
    </xf>
    <xf numFmtId="0" fontId="115" fillId="5" borderId="73" xfId="0" applyFont="1" applyFill="1" applyBorder="1" applyAlignment="1">
      <alignment horizontal="center" vertical="center" wrapText="1"/>
    </xf>
    <xf numFmtId="0" fontId="101" fillId="18" borderId="77" xfId="0" applyFont="1" applyFill="1" applyBorder="1" applyAlignment="1">
      <alignment vertical="top" wrapText="1"/>
    </xf>
    <xf numFmtId="0" fontId="101" fillId="18" borderId="78" xfId="0" applyFont="1" applyFill="1" applyBorder="1" applyAlignment="1">
      <alignment vertical="top" wrapText="1"/>
    </xf>
    <xf numFmtId="1" fontId="101" fillId="18" borderId="79" xfId="0" applyNumberFormat="1" applyFont="1" applyFill="1" applyBorder="1" applyAlignment="1">
      <alignment vertical="top" wrapText="1"/>
    </xf>
    <xf numFmtId="0" fontId="115" fillId="5" borderId="80" xfId="0" applyFont="1" applyFill="1" applyBorder="1" applyAlignment="1">
      <alignment horizontal="center" vertical="center" wrapText="1"/>
    </xf>
    <xf numFmtId="9" fontId="101" fillId="18" borderId="73" xfId="0" applyNumberFormat="1" applyFont="1" applyFill="1" applyBorder="1" applyAlignment="1">
      <alignment vertical="top" wrapText="1"/>
    </xf>
    <xf numFmtId="0" fontId="37" fillId="5" borderId="80" xfId="0" applyFont="1" applyFill="1" applyBorder="1" applyAlignment="1">
      <alignment vertical="center" wrapText="1"/>
    </xf>
    <xf numFmtId="1" fontId="101" fillId="18" borderId="80" xfId="0" applyNumberFormat="1" applyFont="1" applyFill="1" applyBorder="1" applyAlignment="1">
      <alignment vertical="top" wrapText="1"/>
    </xf>
    <xf numFmtId="1" fontId="101" fillId="6" borderId="80" xfId="0" applyNumberFormat="1" applyFont="1" applyFill="1" applyBorder="1" applyAlignment="1">
      <alignment vertical="top" wrapText="1"/>
    </xf>
    <xf numFmtId="0" fontId="37" fillId="8" borderId="74" xfId="0" applyFont="1" applyFill="1" applyBorder="1" applyAlignment="1">
      <alignment vertical="center" wrapText="1"/>
    </xf>
    <xf numFmtId="0" fontId="101" fillId="6" borderId="74" xfId="0" applyFont="1" applyFill="1" applyBorder="1" applyAlignment="1">
      <alignment vertical="top" wrapText="1"/>
    </xf>
    <xf numFmtId="1" fontId="101" fillId="6" borderId="77" xfId="0" applyNumberFormat="1" applyFont="1" applyFill="1" applyBorder="1" applyAlignment="1">
      <alignment vertical="top" wrapText="1"/>
    </xf>
    <xf numFmtId="0" fontId="101" fillId="6" borderId="79" xfId="0" applyFont="1" applyFill="1" applyBorder="1" applyAlignment="1">
      <alignment vertical="top" wrapText="1"/>
    </xf>
    <xf numFmtId="1" fontId="108" fillId="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1" fontId="43" fillId="9" borderId="73" xfId="1" applyNumberFormat="1" applyFont="1" applyFill="1" applyBorder="1" applyAlignment="1">
      <alignment vertical="center" wrapText="1"/>
    </xf>
    <xf numFmtId="1" fontId="45" fillId="9" borderId="73" xfId="0" applyNumberFormat="1" applyFont="1" applyFill="1" applyBorder="1" applyAlignment="1">
      <alignment horizontal="center" vertical="center" wrapText="1"/>
    </xf>
    <xf numFmtId="1" fontId="101" fillId="9" borderId="73" xfId="0" applyNumberFormat="1" applyFont="1" applyFill="1" applyBorder="1" applyAlignment="1">
      <alignment vertical="top" wrapText="1"/>
    </xf>
    <xf numFmtId="1" fontId="101" fillId="19" borderId="73" xfId="0" applyNumberFormat="1" applyFont="1" applyFill="1" applyBorder="1" applyAlignment="1">
      <alignment vertical="top" wrapText="1"/>
    </xf>
    <xf numFmtId="1" fontId="117" fillId="9" borderId="73" xfId="0" applyNumberFormat="1" applyFont="1" applyFill="1" applyBorder="1" applyAlignment="1">
      <alignment horizontal="center" vertical="center"/>
    </xf>
    <xf numFmtId="9" fontId="108" fillId="9" borderId="80" xfId="1" applyNumberFormat="1" applyFont="1" applyFill="1" applyBorder="1" applyAlignment="1">
      <alignment vertical="top" wrapText="1"/>
    </xf>
    <xf numFmtId="1" fontId="45" fillId="9" borderId="80" xfId="0" applyNumberFormat="1" applyFont="1" applyFill="1" applyBorder="1" applyAlignment="1">
      <alignment horizontal="center" vertical="center" wrapText="1"/>
    </xf>
    <xf numFmtId="1" fontId="101" fillId="19" borderId="80" xfId="0" applyNumberFormat="1" applyFont="1" applyFill="1" applyBorder="1" applyAlignment="1">
      <alignment vertical="top" wrapText="1"/>
    </xf>
    <xf numFmtId="1" fontId="108" fillId="9" borderId="74" xfId="0" applyNumberFormat="1" applyFont="1" applyFill="1" applyBorder="1" applyAlignment="1">
      <alignment vertical="top" wrapText="1"/>
    </xf>
    <xf numFmtId="1" fontId="45" fillId="9" borderId="74" xfId="0" applyNumberFormat="1" applyFont="1" applyFill="1" applyBorder="1" applyAlignment="1">
      <alignment horizontal="center" vertical="center" wrapText="1"/>
    </xf>
    <xf numFmtId="1" fontId="101" fillId="19" borderId="74" xfId="0" applyNumberFormat="1" applyFont="1" applyFill="1" applyBorder="1" applyAlignment="1">
      <alignment vertical="top" wrapText="1"/>
    </xf>
    <xf numFmtId="9" fontId="108" fillId="9" borderId="89" xfId="1" applyNumberFormat="1" applyFont="1" applyFill="1" applyBorder="1" applyAlignment="1">
      <alignment vertical="top" wrapText="1"/>
    </xf>
    <xf numFmtId="1" fontId="45" fillId="9" borderId="89" xfId="0" applyNumberFormat="1" applyFont="1" applyFill="1" applyBorder="1" applyAlignment="1">
      <alignment horizontal="center" vertical="center" wrapText="1"/>
    </xf>
    <xf numFmtId="9" fontId="101" fillId="9" borderId="90" xfId="0" applyNumberFormat="1" applyFont="1" applyFill="1" applyBorder="1" applyAlignment="1">
      <alignment vertical="top" wrapText="1"/>
    </xf>
    <xf numFmtId="1" fontId="101" fillId="5" borderId="73" xfId="0" applyNumberFormat="1" applyFont="1" applyFill="1" applyBorder="1" applyAlignment="1">
      <alignment horizontal="center" vertical="center" wrapText="1"/>
    </xf>
    <xf numFmtId="0" fontId="101" fillId="8" borderId="73" xfId="0" applyFont="1" applyFill="1" applyBorder="1" applyAlignment="1">
      <alignment horizontal="center" vertical="center" wrapText="1"/>
    </xf>
    <xf numFmtId="1" fontId="101" fillId="9" borderId="73" xfId="0" applyNumberFormat="1" applyFont="1" applyFill="1" applyBorder="1" applyAlignment="1">
      <alignment horizontal="center" vertical="center" wrapText="1"/>
    </xf>
    <xf numFmtId="0" fontId="69" fillId="45" borderId="0" xfId="0" applyFont="1" applyFill="1"/>
    <xf numFmtId="0" fontId="0" fillId="45" borderId="0" xfId="0" applyFill="1"/>
    <xf numFmtId="0" fontId="39" fillId="45" borderId="0" xfId="0" applyFont="1" applyFill="1"/>
    <xf numFmtId="0" fontId="35" fillId="0" borderId="0" xfId="0" applyFont="1" applyFill="1"/>
    <xf numFmtId="1" fontId="35" fillId="0" borderId="0" xfId="0" applyNumberFormat="1" applyFont="1" applyFill="1"/>
    <xf numFmtId="0" fontId="35" fillId="0" borderId="0" xfId="0" applyFont="1" applyFill="1" applyAlignment="1">
      <alignment wrapText="1" readingOrder="1"/>
    </xf>
    <xf numFmtId="165" fontId="35" fillId="0" borderId="0" xfId="0" applyNumberFormat="1" applyFont="1" applyFill="1"/>
    <xf numFmtId="1" fontId="35" fillId="0" borderId="0" xfId="0" applyNumberFormat="1" applyFont="1" applyFill="1" applyBorder="1" applyAlignment="1">
      <alignment wrapText="1"/>
    </xf>
    <xf numFmtId="0" fontId="35" fillId="0" borderId="0" xfId="0" applyFont="1" applyFill="1" applyAlignment="1">
      <alignment wrapText="1"/>
    </xf>
    <xf numFmtId="0" fontId="35" fillId="0" borderId="0" xfId="0" applyNumberFormat="1" applyFont="1" applyFill="1" applyAlignment="1">
      <alignment wrapText="1"/>
    </xf>
    <xf numFmtId="0" fontId="0" fillId="0" borderId="0" xfId="0"/>
    <xf numFmtId="14" fontId="27" fillId="3" borderId="2" xfId="0" applyNumberFormat="1" applyFont="1" applyFill="1" applyBorder="1" applyAlignment="1">
      <alignment horizontal="left" vertical="center" readingOrder="1"/>
    </xf>
    <xf numFmtId="0" fontId="51" fillId="0" borderId="0" xfId="9" applyFont="1" applyFill="1" applyBorder="1" applyAlignment="1">
      <alignment horizontal="right"/>
    </xf>
    <xf numFmtId="0" fontId="35" fillId="0" borderId="0" xfId="0" applyFont="1" applyFill="1"/>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51" fillId="0" borderId="0" xfId="0" applyNumberFormat="1" applyFont="1" applyFill="1" applyBorder="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165" fontId="35" fillId="0" borderId="0" xfId="0" applyNumberFormat="1" applyFont="1" applyFill="1"/>
    <xf numFmtId="165" fontId="35" fillId="0" borderId="0" xfId="0" applyNumberFormat="1" applyFont="1" applyFill="1" applyBorder="1"/>
    <xf numFmtId="0" fontId="35" fillId="0" borderId="49" xfId="0" applyFont="1" applyFill="1" applyBorder="1"/>
    <xf numFmtId="0" fontId="89" fillId="0" borderId="0" xfId="9" applyFont="1" applyFill="1" applyBorder="1" applyAlignment="1"/>
    <xf numFmtId="0" fontId="35" fillId="0" borderId="24" xfId="0" applyNumberFormat="1" applyFont="1" applyFill="1" applyBorder="1"/>
    <xf numFmtId="1" fontId="35" fillId="0" borderId="25" xfId="0" applyNumberFormat="1" applyFont="1" applyFill="1" applyBorder="1"/>
    <xf numFmtId="1" fontId="50" fillId="0" borderId="0" xfId="0" applyNumberFormat="1"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89" fillId="0" borderId="0" xfId="9" applyFont="1" applyFill="1" applyBorder="1" applyAlignment="1">
      <alignment horizontal="right"/>
    </xf>
    <xf numFmtId="1" fontId="35" fillId="0" borderId="22" xfId="0" applyNumberFormat="1" applyFont="1" applyFill="1" applyBorder="1"/>
    <xf numFmtId="0" fontId="0" fillId="0" borderId="0" xfId="0" applyFill="1" applyBorder="1"/>
    <xf numFmtId="0" fontId="69" fillId="0" borderId="0" xfId="0" pivotButton="1" applyFont="1"/>
    <xf numFmtId="0" fontId="81" fillId="40" borderId="0" xfId="0" applyFont="1" applyFill="1" applyAlignment="1">
      <alignment wrapText="1"/>
    </xf>
    <xf numFmtId="0" fontId="118" fillId="26" borderId="0" xfId="0" applyFont="1" applyFill="1"/>
    <xf numFmtId="164" fontId="119" fillId="0" borderId="0" xfId="0" applyNumberFormat="1" applyFont="1" applyFill="1"/>
    <xf numFmtId="164" fontId="69" fillId="0" borderId="0" xfId="0" applyNumberFormat="1" applyFont="1" applyFill="1"/>
    <xf numFmtId="1" fontId="101" fillId="19" borderId="0" xfId="0" applyNumberFormat="1" applyFont="1" applyFill="1" applyBorder="1" applyAlignment="1">
      <alignment vertical="top" wrapText="1"/>
    </xf>
    <xf numFmtId="0" fontId="19" fillId="0" borderId="0" xfId="0" pivotButton="1" applyFont="1"/>
    <xf numFmtId="0" fontId="120" fillId="40" borderId="0" xfId="0" applyFont="1" applyFill="1" applyAlignment="1"/>
    <xf numFmtId="0" fontId="85" fillId="0" borderId="0" xfId="0" applyFont="1"/>
    <xf numFmtId="0" fontId="37" fillId="8" borderId="73" xfId="0" applyFont="1" applyFill="1" applyBorder="1" applyAlignment="1">
      <alignment horizontal="center" vertical="center" wrapText="1"/>
    </xf>
    <xf numFmtId="164" fontId="84" fillId="0" borderId="48" xfId="4" applyNumberFormat="1" applyFont="1" applyBorder="1"/>
    <xf numFmtId="0" fontId="35" fillId="0" borderId="25" xfId="0" applyFont="1" applyFill="1" applyBorder="1" applyAlignment="1">
      <alignment wrapText="1"/>
    </xf>
    <xf numFmtId="0" fontId="121" fillId="39" borderId="52" xfId="0" applyFont="1" applyFill="1" applyBorder="1"/>
    <xf numFmtId="0" fontId="94" fillId="0" borderId="0" xfId="0" applyFont="1" applyFill="1" applyAlignment="1">
      <alignment vertical="center"/>
    </xf>
    <xf numFmtId="0" fontId="35" fillId="9" borderId="0" xfId="0" applyFont="1" applyFill="1"/>
    <xf numFmtId="0" fontId="74" fillId="0" borderId="0" xfId="0" applyFont="1" applyFill="1"/>
    <xf numFmtId="0" fontId="74" fillId="0" borderId="0" xfId="0" applyNumberFormat="1" applyFont="1" applyFill="1" applyBorder="1"/>
    <xf numFmtId="0" fontId="74" fillId="0" borderId="0" xfId="0" applyFont="1" applyFill="1" applyBorder="1"/>
    <xf numFmtId="1" fontId="88" fillId="0" borderId="0" xfId="0" applyNumberFormat="1" applyFont="1" applyFill="1" applyBorder="1"/>
    <xf numFmtId="0" fontId="88" fillId="0" borderId="0" xfId="0" applyNumberFormat="1" applyFont="1" applyFill="1" applyBorder="1" applyAlignment="1">
      <alignment wrapText="1" readingOrder="1"/>
    </xf>
    <xf numFmtId="0" fontId="19" fillId="0" borderId="0" xfId="0" applyFont="1" applyAlignment="1">
      <alignment horizontal="center" vertical="center" wrapText="1"/>
    </xf>
    <xf numFmtId="0" fontId="82" fillId="0" borderId="0" xfId="0" applyFont="1" applyAlignment="1">
      <alignment horizontal="center" vertical="center" wrapText="1"/>
    </xf>
    <xf numFmtId="1" fontId="122" fillId="0" borderId="0" xfId="0" applyNumberFormat="1" applyFont="1" applyFill="1"/>
    <xf numFmtId="0" fontId="122" fillId="0" borderId="24" xfId="0" applyNumberFormat="1" applyFont="1" applyFill="1" applyBorder="1"/>
    <xf numFmtId="0" fontId="122" fillId="0" borderId="0" xfId="0" applyFont="1" applyFill="1"/>
    <xf numFmtId="0" fontId="122" fillId="0" borderId="0" xfId="0" applyNumberFormat="1" applyFont="1" applyFill="1" applyAlignment="1">
      <alignment wrapText="1" readingOrder="1"/>
    </xf>
    <xf numFmtId="165" fontId="122" fillId="0" borderId="0" xfId="0" applyNumberFormat="1" applyFont="1" applyFill="1"/>
    <xf numFmtId="165" fontId="122" fillId="0" borderId="0" xfId="0" applyNumberFormat="1" applyFont="1" applyFill="1" applyAlignment="1">
      <alignment wrapText="1" readingOrder="1"/>
    </xf>
    <xf numFmtId="0" fontId="122" fillId="0" borderId="0" xfId="0" applyFont="1" applyFill="1" applyAlignment="1">
      <alignment wrapText="1" readingOrder="1"/>
    </xf>
    <xf numFmtId="14" fontId="27" fillId="3" borderId="0" xfId="0" applyNumberFormat="1" applyFont="1" applyFill="1" applyBorder="1" applyAlignment="1">
      <alignment horizontal="left" vertical="center" readingOrder="1"/>
    </xf>
    <xf numFmtId="0" fontId="122" fillId="0" borderId="0" xfId="0" applyNumberFormat="1" applyFont="1" applyFill="1" applyBorder="1"/>
    <xf numFmtId="0" fontId="122" fillId="0" borderId="21" xfId="0" applyNumberFormat="1" applyFont="1" applyFill="1" applyBorder="1"/>
    <xf numFmtId="1" fontId="122" fillId="0" borderId="25" xfId="0" applyNumberFormat="1" applyFont="1" applyFill="1" applyBorder="1"/>
    <xf numFmtId="1" fontId="35" fillId="0" borderId="24" xfId="0" applyNumberFormat="1" applyFont="1" applyFill="1" applyBorder="1"/>
    <xf numFmtId="1" fontId="122" fillId="0" borderId="0" xfId="0" applyNumberFormat="1" applyFont="1" applyFill="1" applyBorder="1"/>
    <xf numFmtId="1" fontId="122" fillId="0" borderId="22" xfId="0" applyNumberFormat="1" applyFont="1" applyFill="1" applyBorder="1"/>
    <xf numFmtId="0" fontId="122" fillId="0" borderId="0" xfId="0" applyFont="1" applyFill="1" applyBorder="1"/>
    <xf numFmtId="0" fontId="122" fillId="0" borderId="0" xfId="0" applyNumberFormat="1" applyFont="1" applyFill="1" applyBorder="1" applyAlignment="1">
      <alignment wrapText="1" readingOrder="1"/>
    </xf>
    <xf numFmtId="1" fontId="45" fillId="9" borderId="0" xfId="0" applyNumberFormat="1" applyFont="1" applyFill="1" applyBorder="1" applyAlignment="1">
      <alignment horizontal="center" vertical="center" wrapText="1"/>
    </xf>
    <xf numFmtId="166" fontId="17" fillId="20" borderId="0" xfId="8" applyFont="1" applyFill="1" applyBorder="1"/>
    <xf numFmtId="0" fontId="80" fillId="0" borderId="0" xfId="0" applyFont="1" applyFill="1" applyAlignment="1">
      <alignment vertical="center"/>
    </xf>
    <xf numFmtId="0" fontId="123" fillId="0" borderId="0" xfId="0" applyFont="1" applyAlignment="1">
      <alignment horizontal="left"/>
    </xf>
    <xf numFmtId="9" fontId="123" fillId="0" borderId="0" xfId="0" applyNumberFormat="1" applyFont="1"/>
    <xf numFmtId="0" fontId="16" fillId="0" borderId="0" xfId="0" applyFont="1"/>
    <xf numFmtId="0" fontId="16" fillId="0" borderId="0" xfId="0" applyNumberFormat="1" applyFont="1"/>
    <xf numFmtId="164" fontId="16" fillId="0" borderId="0" xfId="0" applyNumberFormat="1" applyFont="1"/>
    <xf numFmtId="9" fontId="16" fillId="0" borderId="0" xfId="0" applyNumberFormat="1" applyFont="1"/>
    <xf numFmtId="0" fontId="97" fillId="0" borderId="21" xfId="0" applyNumberFormat="1" applyFont="1" applyFill="1" applyBorder="1"/>
    <xf numFmtId="1" fontId="122" fillId="0" borderId="49" xfId="0" applyNumberFormat="1" applyFont="1" applyFill="1" applyBorder="1"/>
    <xf numFmtId="1" fontId="97" fillId="0" borderId="22" xfId="0" applyNumberFormat="1" applyFont="1" applyFill="1" applyBorder="1"/>
    <xf numFmtId="0" fontId="89" fillId="0" borderId="17" xfId="9" applyFont="1" applyFill="1" applyBorder="1" applyAlignment="1"/>
    <xf numFmtId="0" fontId="32" fillId="0" borderId="39" xfId="0" applyFont="1" applyBorder="1" applyAlignment="1">
      <alignment wrapText="1"/>
    </xf>
    <xf numFmtId="0" fontId="32" fillId="0" borderId="39" xfId="0" applyFont="1" applyBorder="1"/>
    <xf numFmtId="0" fontId="32" fillId="0" borderId="40" xfId="0" applyFont="1" applyBorder="1"/>
    <xf numFmtId="0" fontId="83" fillId="0" borderId="42" xfId="0" applyNumberFormat="1" applyFont="1" applyBorder="1"/>
    <xf numFmtId="0" fontId="15" fillId="14" borderId="0" xfId="0" applyFont="1" applyFill="1" applyAlignment="1">
      <alignment horizontal="left"/>
    </xf>
    <xf numFmtId="164" fontId="15" fillId="14" borderId="0" xfId="0" applyNumberFormat="1" applyFont="1" applyFill="1"/>
    <xf numFmtId="9" fontId="15" fillId="14" borderId="0" xfId="0" applyNumberFormat="1" applyFont="1" applyFill="1"/>
    <xf numFmtId="0" fontId="80" fillId="0" borderId="0" xfId="0" applyFont="1" applyFill="1"/>
    <xf numFmtId="0" fontId="81" fillId="0" borderId="0" xfId="0" applyFont="1" applyFill="1"/>
    <xf numFmtId="0" fontId="15" fillId="0" borderId="0" xfId="0" applyFont="1" applyFill="1" applyAlignment="1">
      <alignment horizontal="left"/>
    </xf>
    <xf numFmtId="164" fontId="15" fillId="0" borderId="0" xfId="0" applyNumberFormat="1" applyFont="1" applyFill="1"/>
    <xf numFmtId="9" fontId="15" fillId="0" borderId="0" xfId="0" applyNumberFormat="1" applyFont="1" applyFill="1"/>
    <xf numFmtId="0" fontId="0" fillId="0" borderId="0" xfId="0" applyNumberFormat="1"/>
    <xf numFmtId="0" fontId="0" fillId="0" borderId="0" xfId="0"/>
    <xf numFmtId="14" fontId="27" fillId="3" borderId="2" xfId="0" applyNumberFormat="1" applyFont="1" applyFill="1" applyBorder="1" applyAlignment="1">
      <alignment horizontal="left" vertical="center" readingOrder="1"/>
    </xf>
    <xf numFmtId="9" fontId="27" fillId="0" borderId="0" xfId="1" applyFont="1" applyFill="1" applyAlignment="1">
      <alignment horizontal="left" vertical="center" readingOrder="1"/>
    </xf>
    <xf numFmtId="1" fontId="27" fillId="0" borderId="0" xfId="1" applyNumberFormat="1" applyFont="1" applyFill="1" applyAlignment="1">
      <alignment horizontal="left" vertical="center" readingOrder="1"/>
    </xf>
    <xf numFmtId="9" fontId="27" fillId="0" borderId="0" xfId="1" applyNumberFormat="1" applyFont="1" applyFill="1" applyAlignment="1">
      <alignment horizontal="left" vertical="center" readingOrder="1"/>
    </xf>
    <xf numFmtId="0" fontId="0" fillId="0" borderId="0" xfId="0" pivotButton="1"/>
    <xf numFmtId="0" fontId="35" fillId="0" borderId="0" xfId="0" applyFont="1" applyFill="1"/>
    <xf numFmtId="1" fontId="27" fillId="0" borderId="0" xfId="0" applyNumberFormat="1" applyFont="1" applyFill="1" applyAlignment="1">
      <alignment horizontal="left" vertical="center" readingOrder="1"/>
    </xf>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0" fontId="27" fillId="0" borderId="0" xfId="0" applyNumberFormat="1" applyFont="1" applyFill="1" applyAlignment="1">
      <alignment horizontal="left" vertical="center" readingOrder="1"/>
    </xf>
    <xf numFmtId="165" fontId="35" fillId="0" borderId="0" xfId="0" applyNumberFormat="1" applyFont="1" applyFill="1"/>
    <xf numFmtId="165" fontId="35" fillId="0" borderId="0" xfId="0" applyNumberFormat="1" applyFont="1" applyFill="1" applyBorder="1"/>
    <xf numFmtId="165" fontId="50" fillId="0" borderId="0" xfId="0" applyNumberFormat="1" applyFont="1" applyFill="1" applyBorder="1" applyAlignment="1">
      <alignment horizontal="left" vertical="center" wrapText="1" readingOrder="1"/>
    </xf>
    <xf numFmtId="0" fontId="35" fillId="0" borderId="49" xfId="0" applyFont="1" applyFill="1" applyBorder="1"/>
    <xf numFmtId="0" fontId="89" fillId="0" borderId="0" xfId="9" applyFont="1" applyAlignment="1"/>
    <xf numFmtId="0" fontId="50" fillId="0" borderId="24" xfId="0" applyFont="1" applyFill="1" applyBorder="1" applyAlignment="1">
      <alignment horizontal="left" vertical="center" readingOrder="1"/>
    </xf>
    <xf numFmtId="0" fontId="89" fillId="0" borderId="0" xfId="9" applyFont="1" applyFill="1" applyBorder="1" applyAlignment="1"/>
    <xf numFmtId="0" fontId="35" fillId="0" borderId="0" xfId="0" applyFont="1" applyBorder="1"/>
    <xf numFmtId="0" fontId="35" fillId="0" borderId="24" xfId="0" applyNumberFormat="1" applyFont="1" applyFill="1" applyBorder="1"/>
    <xf numFmtId="1" fontId="35" fillId="0" borderId="25" xfId="0" applyNumberFormat="1" applyFont="1" applyFill="1" applyBorder="1"/>
    <xf numFmtId="0" fontId="50" fillId="0" borderId="25" xfId="0"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94" fillId="0" borderId="0" xfId="0" applyFont="1" applyFill="1" applyBorder="1" applyAlignment="1">
      <alignment horizontal="left" vertical="center"/>
    </xf>
    <xf numFmtId="49" fontId="94" fillId="0" borderId="0" xfId="21" applyNumberFormat="1" applyFont="1" applyFill="1" applyBorder="1" applyAlignment="1">
      <alignment horizontal="left" vertical="center"/>
    </xf>
    <xf numFmtId="0" fontId="35" fillId="0" borderId="24" xfId="0" applyFont="1" applyFill="1" applyBorder="1" applyAlignment="1"/>
    <xf numFmtId="0" fontId="35" fillId="0" borderId="0" xfId="0" applyFont="1" applyFill="1" applyAlignment="1"/>
    <xf numFmtId="165" fontId="35" fillId="0" borderId="0" xfId="0" applyNumberFormat="1" applyFont="1" applyFill="1" applyAlignment="1"/>
    <xf numFmtId="0" fontId="35" fillId="0" borderId="0" xfId="0" applyFont="1" applyFill="1" applyAlignment="1">
      <alignment readingOrder="1"/>
    </xf>
    <xf numFmtId="49" fontId="74" fillId="42" borderId="25" xfId="0" applyNumberFormat="1" applyFont="1" applyFill="1" applyBorder="1" applyAlignment="1">
      <alignment horizontal="left" vertical="center"/>
    </xf>
    <xf numFmtId="0" fontId="94" fillId="42" borderId="25" xfId="0" applyFont="1" applyFill="1" applyBorder="1" applyAlignment="1">
      <alignment horizontal="left" vertical="center"/>
    </xf>
    <xf numFmtId="1" fontId="35" fillId="0" borderId="49" xfId="0" applyNumberFormat="1" applyFont="1" applyFill="1" applyBorder="1"/>
    <xf numFmtId="0" fontId="89" fillId="0" borderId="0" xfId="9" applyFont="1" applyFill="1" applyBorder="1" applyAlignment="1">
      <alignment horizontal="right"/>
    </xf>
    <xf numFmtId="164" fontId="27" fillId="0" borderId="0" xfId="4" applyNumberFormat="1" applyFont="1" applyFill="1" applyAlignment="1">
      <alignment horizontal="left" vertical="center" readingOrder="1"/>
    </xf>
    <xf numFmtId="0" fontId="88" fillId="0" borderId="17" xfId="0" applyFont="1" applyFill="1" applyBorder="1"/>
    <xf numFmtId="165" fontId="35" fillId="0" borderId="0" xfId="0" applyNumberFormat="1" applyFont="1" applyFill="1" applyAlignment="1">
      <alignment wrapText="1" readingOrder="1"/>
    </xf>
    <xf numFmtId="0" fontId="32" fillId="0" borderId="38" xfId="0" applyFont="1" applyBorder="1" applyAlignment="1">
      <alignment wrapText="1"/>
    </xf>
    <xf numFmtId="1" fontId="19" fillId="0" borderId="0" xfId="1" applyNumberFormat="1" applyFont="1"/>
    <xf numFmtId="0" fontId="37" fillId="8" borderId="73" xfId="0" applyFont="1" applyFill="1" applyBorder="1" applyAlignment="1">
      <alignment horizontal="center" vertical="center" wrapText="1"/>
    </xf>
    <xf numFmtId="1" fontId="124" fillId="0" borderId="0" xfId="0" applyNumberFormat="1" applyFont="1" applyFill="1"/>
    <xf numFmtId="0" fontId="124" fillId="0" borderId="24" xfId="0" applyNumberFormat="1" applyFont="1" applyFill="1" applyBorder="1"/>
    <xf numFmtId="1" fontId="124" fillId="0" borderId="24" xfId="0" applyNumberFormat="1" applyFont="1" applyFill="1" applyBorder="1"/>
    <xf numFmtId="0" fontId="124" fillId="0" borderId="0" xfId="0" applyFont="1" applyFill="1"/>
    <xf numFmtId="0" fontId="124" fillId="0" borderId="0" xfId="0" applyNumberFormat="1" applyFont="1" applyFill="1" applyAlignment="1">
      <alignment wrapText="1" readingOrder="1"/>
    </xf>
    <xf numFmtId="165" fontId="124" fillId="0" borderId="0" xfId="0" applyNumberFormat="1" applyFont="1" applyFill="1"/>
    <xf numFmtId="0" fontId="34" fillId="18" borderId="66" xfId="19" applyFont="1" applyFill="1" applyBorder="1" applyAlignment="1">
      <alignment horizontal="left" vertical="center" wrapText="1"/>
    </xf>
    <xf numFmtId="0" fontId="34" fillId="11" borderId="66" xfId="19" applyFont="1" applyFill="1" applyBorder="1" applyAlignment="1">
      <alignment horizontal="left" vertical="center" wrapText="1"/>
    </xf>
    <xf numFmtId="9" fontId="34" fillId="46" borderId="69" xfId="19" applyNumberFormat="1" applyFont="1" applyFill="1" applyBorder="1" applyAlignment="1">
      <alignment horizontal="left" vertical="center" wrapText="1" readingOrder="1"/>
    </xf>
    <xf numFmtId="9" fontId="34" fillId="34" borderId="69" xfId="19" applyNumberFormat="1" applyFont="1" applyFill="1" applyBorder="1" applyAlignment="1">
      <alignment horizontal="left" vertical="center" wrapText="1" readingOrder="1"/>
    </xf>
    <xf numFmtId="9" fontId="126" fillId="37" borderId="0" xfId="19" applyNumberFormat="1" applyFont="1" applyFill="1" applyBorder="1" applyAlignment="1">
      <alignment horizontal="center" vertical="center" wrapText="1" readingOrder="1"/>
    </xf>
    <xf numFmtId="0" fontId="115" fillId="38" borderId="66" xfId="22" applyNumberFormat="1" applyFont="1" applyFill="1" applyBorder="1" applyAlignment="1">
      <alignment horizontal="center" vertical="center" readingOrder="1"/>
    </xf>
    <xf numFmtId="0" fontId="115" fillId="9" borderId="66" xfId="22" applyNumberFormat="1" applyFont="1" applyFill="1" applyBorder="1" applyAlignment="1">
      <alignment horizontal="center" vertical="center" readingOrder="1"/>
    </xf>
    <xf numFmtId="0" fontId="115" fillId="16" borderId="66" xfId="22" applyNumberFormat="1" applyFont="1" applyFill="1" applyBorder="1" applyAlignment="1">
      <alignment horizontal="center" vertical="center" readingOrder="1"/>
    </xf>
    <xf numFmtId="0" fontId="115" fillId="45" borderId="0" xfId="22" applyNumberFormat="1" applyFont="1" applyFill="1" applyBorder="1" applyAlignment="1">
      <alignment horizontal="center" vertical="center" readingOrder="1"/>
    </xf>
    <xf numFmtId="0" fontId="115" fillId="14" borderId="66" xfId="22" applyNumberFormat="1" applyFont="1" applyFill="1" applyBorder="1" applyAlignment="1">
      <alignment horizontal="center" vertical="center" readingOrder="1"/>
    </xf>
    <xf numFmtId="1" fontId="37" fillId="9" borderId="73" xfId="0" applyNumberFormat="1" applyFont="1" applyFill="1" applyBorder="1" applyAlignment="1">
      <alignment horizontal="center" vertical="center" wrapText="1"/>
    </xf>
    <xf numFmtId="9" fontId="37" fillId="9" borderId="80" xfId="1" applyFont="1" applyFill="1" applyBorder="1" applyAlignment="1">
      <alignment horizontal="center" vertical="center" wrapText="1"/>
    </xf>
    <xf numFmtId="9" fontId="37" fillId="9" borderId="89" xfId="1" applyFont="1" applyFill="1" applyBorder="1" applyAlignment="1">
      <alignment horizontal="center" vertical="center" wrapText="1"/>
    </xf>
    <xf numFmtId="1" fontId="37" fillId="9" borderId="74" xfId="0" applyNumberFormat="1" applyFont="1" applyFill="1" applyBorder="1" applyAlignment="1">
      <alignment horizontal="center" vertical="center" wrapText="1"/>
    </xf>
    <xf numFmtId="0" fontId="36" fillId="22" borderId="13" xfId="0" applyNumberFormat="1" applyFont="1" applyFill="1" applyBorder="1" applyAlignment="1">
      <alignment horizontal="center" vertical="center" readingOrder="1"/>
    </xf>
    <xf numFmtId="0" fontId="36" fillId="22" borderId="2" xfId="0" applyNumberFormat="1" applyFont="1" applyFill="1" applyBorder="1" applyAlignment="1">
      <alignment horizontal="center" vertical="center" readingOrder="1"/>
    </xf>
    <xf numFmtId="0" fontId="38" fillId="0" borderId="0" xfId="0" applyFont="1" applyAlignment="1">
      <alignment horizontal="center"/>
    </xf>
    <xf numFmtId="0" fontId="26" fillId="14" borderId="91" xfId="22" applyNumberFormat="1" applyFont="1" applyFill="1" applyBorder="1" applyAlignment="1">
      <alignment horizontal="center" vertical="center" wrapText="1"/>
    </xf>
    <xf numFmtId="0" fontId="26" fillId="38" borderId="67" xfId="22" applyNumberFormat="1" applyFont="1" applyFill="1" applyBorder="1" applyAlignment="1">
      <alignment horizontal="center" vertical="center"/>
    </xf>
    <xf numFmtId="0" fontId="26" fillId="9" borderId="67" xfId="22" applyNumberFormat="1" applyFont="1" applyFill="1" applyBorder="1" applyAlignment="1">
      <alignment horizontal="center" vertical="center" wrapText="1"/>
    </xf>
    <xf numFmtId="9" fontId="126" fillId="16" borderId="91" xfId="19" applyNumberFormat="1" applyFont="1" applyFill="1" applyBorder="1" applyAlignment="1">
      <alignment horizontal="center" vertical="center" wrapText="1" readingOrder="1"/>
    </xf>
    <xf numFmtId="1" fontId="68" fillId="7" borderId="14" xfId="19" applyNumberFormat="1" applyFont="1" applyFill="1" applyBorder="1" applyAlignment="1">
      <alignment horizontal="left" vertical="center" wrapText="1" readingOrder="1"/>
    </xf>
    <xf numFmtId="0" fontId="68" fillId="7" borderId="14" xfId="19" applyFont="1" applyFill="1" applyBorder="1" applyAlignment="1">
      <alignment horizontal="left" vertical="center" wrapText="1" readingOrder="1"/>
    </xf>
    <xf numFmtId="9" fontId="68" fillId="11" borderId="14" xfId="19" applyNumberFormat="1" applyFont="1" applyFill="1" applyBorder="1" applyAlignment="1">
      <alignment horizontal="center" vertical="center" wrapText="1"/>
    </xf>
    <xf numFmtId="9" fontId="68" fillId="34" borderId="14" xfId="19" applyNumberFormat="1" applyFont="1" applyFill="1" applyBorder="1" applyAlignment="1">
      <alignment horizontal="left" vertical="center" wrapText="1" readingOrder="1"/>
    </xf>
    <xf numFmtId="9" fontId="68" fillId="27" borderId="14" xfId="19" applyNumberFormat="1" applyFont="1" applyFill="1" applyBorder="1" applyAlignment="1">
      <alignment horizontal="left" vertical="center" wrapText="1" readingOrder="1"/>
    </xf>
    <xf numFmtId="49" fontId="27" fillId="0" borderId="0" xfId="1" applyNumberFormat="1" applyFont="1" applyFill="1" applyAlignment="1">
      <alignment horizontal="left" vertical="center" readingOrder="1"/>
    </xf>
    <xf numFmtId="0" fontId="115" fillId="18" borderId="75" xfId="0" applyFont="1" applyFill="1" applyBorder="1" applyAlignment="1">
      <alignment vertical="top" wrapText="1"/>
    </xf>
    <xf numFmtId="0" fontId="115" fillId="18" borderId="73" xfId="0" applyFont="1" applyFill="1" applyBorder="1" applyAlignment="1">
      <alignment vertical="top" wrapText="1"/>
    </xf>
    <xf numFmtId="1" fontId="115" fillId="18" borderId="76" xfId="0" applyNumberFormat="1" applyFont="1" applyFill="1" applyBorder="1" applyAlignment="1">
      <alignment vertical="top" wrapText="1"/>
    </xf>
    <xf numFmtId="1" fontId="128" fillId="18" borderId="80" xfId="0" applyNumberFormat="1" applyFont="1" applyFill="1" applyBorder="1" applyAlignment="1">
      <alignment vertical="top" wrapText="1"/>
    </xf>
    <xf numFmtId="1" fontId="115" fillId="18" borderId="80" xfId="0" applyNumberFormat="1" applyFont="1" applyFill="1" applyBorder="1" applyAlignment="1">
      <alignment vertical="top" wrapText="1"/>
    </xf>
    <xf numFmtId="0" fontId="115" fillId="18" borderId="76" xfId="0" applyFont="1" applyFill="1" applyBorder="1" applyAlignment="1">
      <alignment vertical="top" wrapText="1"/>
    </xf>
    <xf numFmtId="1" fontId="129" fillId="6" borderId="73" xfId="0" applyNumberFormat="1" applyFont="1" applyFill="1" applyBorder="1" applyAlignment="1">
      <alignment vertical="top" wrapText="1"/>
    </xf>
    <xf numFmtId="1" fontId="115" fillId="6" borderId="73" xfId="0" applyNumberFormat="1" applyFont="1" applyFill="1" applyBorder="1" applyAlignment="1">
      <alignment vertical="top" wrapText="1"/>
    </xf>
    <xf numFmtId="1" fontId="115" fillId="6" borderId="80" xfId="0" applyNumberFormat="1" applyFont="1" applyFill="1" applyBorder="1" applyAlignment="1">
      <alignment vertical="top" wrapText="1"/>
    </xf>
    <xf numFmtId="1" fontId="115" fillId="6" borderId="75" xfId="0" applyNumberFormat="1" applyFont="1" applyFill="1" applyBorder="1" applyAlignment="1">
      <alignment vertical="top" wrapText="1"/>
    </xf>
    <xf numFmtId="0" fontId="115" fillId="6" borderId="76" xfId="0" applyFont="1" applyFill="1" applyBorder="1" applyAlignment="1">
      <alignment vertical="top" wrapText="1"/>
    </xf>
    <xf numFmtId="0" fontId="115" fillId="6" borderId="74" xfId="0" applyFont="1" applyFill="1" applyBorder="1" applyAlignment="1">
      <alignment vertical="top" wrapText="1"/>
    </xf>
    <xf numFmtId="1" fontId="115" fillId="9" borderId="73" xfId="0" applyNumberFormat="1" applyFont="1" applyFill="1" applyBorder="1" applyAlignment="1">
      <alignment vertical="top" wrapText="1"/>
    </xf>
    <xf numFmtId="1" fontId="132" fillId="9" borderId="73" xfId="0" applyNumberFormat="1" applyFont="1" applyFill="1" applyBorder="1" applyAlignment="1">
      <alignment vertical="top" wrapText="1"/>
    </xf>
    <xf numFmtId="9" fontId="115" fillId="9" borderId="80" xfId="1" applyNumberFormat="1" applyFont="1" applyFill="1" applyBorder="1" applyAlignment="1">
      <alignment vertical="top" wrapText="1"/>
    </xf>
    <xf numFmtId="9" fontId="115" fillId="9" borderId="89" xfId="1" applyNumberFormat="1" applyFont="1" applyFill="1" applyBorder="1" applyAlignment="1">
      <alignment vertical="top" wrapText="1"/>
    </xf>
    <xf numFmtId="1" fontId="115" fillId="9" borderId="74" xfId="0" applyNumberFormat="1" applyFont="1" applyFill="1" applyBorder="1" applyAlignment="1">
      <alignment vertical="top" wrapText="1"/>
    </xf>
    <xf numFmtId="0" fontId="33" fillId="0" borderId="0" xfId="0" applyFont="1" applyAlignment="1"/>
    <xf numFmtId="0" fontId="37" fillId="8" borderId="80" xfId="0" applyFont="1" applyFill="1" applyBorder="1" applyAlignment="1">
      <alignment horizontal="center" vertical="center" wrapText="1"/>
    </xf>
    <xf numFmtId="0" fontId="37" fillId="8" borderId="73" xfId="0" applyFont="1" applyFill="1" applyBorder="1" applyAlignment="1">
      <alignment horizontal="center" vertical="center" wrapText="1"/>
    </xf>
    <xf numFmtId="0" fontId="34" fillId="18" borderId="66" xfId="19" applyFont="1" applyFill="1" applyBorder="1" applyAlignment="1">
      <alignment horizontal="center" vertical="center" wrapText="1"/>
    </xf>
    <xf numFmtId="0" fontId="34" fillId="18" borderId="66" xfId="19" applyFont="1" applyFill="1" applyBorder="1" applyAlignment="1">
      <alignment horizontal="center" vertical="center" wrapText="1" readingOrder="1"/>
    </xf>
    <xf numFmtId="14" fontId="34" fillId="18" borderId="66" xfId="19" applyNumberFormat="1" applyFont="1" applyFill="1" applyBorder="1" applyAlignment="1">
      <alignment horizontal="center" vertical="center" wrapText="1" readingOrder="1"/>
    </xf>
    <xf numFmtId="1" fontId="34" fillId="7" borderId="66" xfId="19" applyNumberFormat="1" applyFont="1" applyFill="1" applyBorder="1" applyAlignment="1">
      <alignment horizontal="center" vertical="center" wrapText="1" readingOrder="1"/>
    </xf>
    <xf numFmtId="0" fontId="34" fillId="7" borderId="66" xfId="19" applyFont="1" applyFill="1" applyBorder="1" applyAlignment="1">
      <alignment horizontal="center" vertical="center" wrapText="1" readingOrder="1"/>
    </xf>
    <xf numFmtId="0" fontId="34" fillId="11" borderId="66" xfId="20" applyNumberFormat="1" applyFont="1" applyFill="1" applyBorder="1" applyAlignment="1">
      <alignment horizontal="center" vertical="center" wrapText="1" readingOrder="1"/>
    </xf>
    <xf numFmtId="0" fontId="34" fillId="11" borderId="66" xfId="19" applyFont="1" applyFill="1" applyBorder="1" applyAlignment="1">
      <alignment horizontal="center" vertical="center" wrapText="1"/>
    </xf>
    <xf numFmtId="9" fontId="34" fillId="11" borderId="69" xfId="19" applyNumberFormat="1" applyFont="1" applyFill="1" applyBorder="1" applyAlignment="1">
      <alignment horizontal="center" vertical="center" wrapText="1" readingOrder="1"/>
    </xf>
    <xf numFmtId="9" fontId="34" fillId="34" borderId="69"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5" borderId="85" xfId="0" applyFont="1" applyFill="1" applyBorder="1" applyAlignment="1">
      <alignment vertical="center"/>
    </xf>
    <xf numFmtId="0" fontId="37" fillId="5" borderId="94" xfId="0" applyFont="1" applyFill="1" applyBorder="1" applyAlignment="1">
      <alignment vertical="center"/>
    </xf>
    <xf numFmtId="1" fontId="101" fillId="18" borderId="96" xfId="0" applyNumberFormat="1" applyFont="1" applyFill="1" applyBorder="1" applyAlignment="1">
      <alignment vertical="top" wrapText="1"/>
    </xf>
    <xf numFmtId="1" fontId="101" fillId="18" borderId="98" xfId="0" applyNumberFormat="1" applyFont="1" applyFill="1" applyBorder="1" applyAlignment="1">
      <alignment vertical="top" wrapText="1"/>
    </xf>
    <xf numFmtId="0" fontId="37" fillId="5" borderId="95" xfId="0" applyFont="1" applyFill="1" applyBorder="1" applyAlignment="1">
      <alignment horizontal="center" vertical="center" wrapText="1"/>
    </xf>
    <xf numFmtId="0" fontId="37" fillId="5" borderId="97" xfId="0" applyFont="1" applyFill="1" applyBorder="1" applyAlignment="1">
      <alignment horizontal="center" vertical="center" wrapText="1"/>
    </xf>
    <xf numFmtId="1" fontId="37" fillId="8" borderId="73" xfId="0" applyNumberFormat="1" applyFont="1" applyFill="1" applyBorder="1" applyAlignment="1">
      <alignment horizontal="center" vertical="center" wrapText="1"/>
    </xf>
    <xf numFmtId="1" fontId="42" fillId="8" borderId="73" xfId="0" applyNumberFormat="1" applyFont="1" applyFill="1" applyBorder="1" applyAlignment="1">
      <alignment horizontal="center" vertical="center" wrapText="1"/>
    </xf>
    <xf numFmtId="0" fontId="37" fillId="8" borderId="75" xfId="0" applyFont="1" applyFill="1" applyBorder="1" applyAlignment="1">
      <alignment horizontal="center" vertical="center" wrapText="1"/>
    </xf>
    <xf numFmtId="0" fontId="37" fillId="8" borderId="76" xfId="0" applyFont="1" applyFill="1" applyBorder="1" applyAlignment="1">
      <alignment horizontal="center" vertical="center" wrapText="1"/>
    </xf>
    <xf numFmtId="164" fontId="119" fillId="12" borderId="29" xfId="4" applyNumberFormat="1" applyFont="1" applyFill="1" applyBorder="1" applyAlignment="1">
      <alignment horizontal="center" vertical="center"/>
    </xf>
    <xf numFmtId="164" fontId="119" fillId="12" borderId="34" xfId="4" applyNumberFormat="1" applyFont="1" applyFill="1" applyBorder="1" applyAlignment="1">
      <alignment horizontal="center" vertical="center"/>
    </xf>
    <xf numFmtId="9" fontId="119" fillId="12" borderId="34" xfId="1" applyFont="1" applyFill="1" applyBorder="1" applyAlignment="1">
      <alignment horizontal="center" vertical="center"/>
    </xf>
    <xf numFmtId="164" fontId="119" fillId="12" borderId="29" xfId="4" applyNumberFormat="1" applyFont="1" applyFill="1" applyBorder="1" applyAlignment="1">
      <alignment horizontal="left" vertical="center" wrapText="1"/>
    </xf>
    <xf numFmtId="0" fontId="76" fillId="0" borderId="31" xfId="0" applyFont="1" applyBorder="1" applyAlignment="1">
      <alignment horizontal="center" vertical="center" wrapText="1"/>
    </xf>
    <xf numFmtId="0" fontId="87" fillId="0" borderId="0" xfId="0" applyFont="1"/>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33" borderId="30" xfId="0" applyFont="1" applyFill="1" applyBorder="1" applyAlignment="1">
      <alignment horizontal="center" vertical="center" wrapText="1"/>
    </xf>
    <xf numFmtId="0" fontId="76" fillId="33" borderId="31" xfId="0" applyFont="1" applyFill="1" applyBorder="1" applyAlignment="1">
      <alignment horizontal="center" vertical="center" wrapText="1"/>
    </xf>
    <xf numFmtId="0" fontId="76" fillId="33" borderId="32" xfId="0" applyFont="1" applyFill="1" applyBorder="1" applyAlignment="1">
      <alignment horizontal="center" vertical="center" wrapText="1"/>
    </xf>
    <xf numFmtId="0" fontId="68" fillId="49" borderId="107" xfId="0" applyNumberFormat="1" applyFont="1" applyFill="1" applyBorder="1" applyAlignment="1">
      <alignment horizontal="center" vertical="center" wrapText="1" readingOrder="1"/>
    </xf>
    <xf numFmtId="0" fontId="85" fillId="39" borderId="108" xfId="0" applyFont="1" applyFill="1" applyBorder="1"/>
    <xf numFmtId="0" fontId="0" fillId="0" borderId="4" xfId="0" applyBorder="1"/>
    <xf numFmtId="0" fontId="14" fillId="0" borderId="4" xfId="0" applyFont="1" applyBorder="1"/>
    <xf numFmtId="0" fontId="82" fillId="0" borderId="4" xfId="0" applyFont="1" applyBorder="1"/>
    <xf numFmtId="0" fontId="84" fillId="0" borderId="4" xfId="0" applyFont="1" applyBorder="1" applyAlignment="1">
      <alignment horizontal="left"/>
    </xf>
    <xf numFmtId="9" fontId="19" fillId="0" borderId="4" xfId="1" applyFont="1" applyBorder="1"/>
    <xf numFmtId="0" fontId="14" fillId="0" borderId="54" xfId="0" applyNumberFormat="1" applyFont="1" applyBorder="1"/>
    <xf numFmtId="0" fontId="85" fillId="39" borderId="52" xfId="0" applyFont="1" applyFill="1" applyBorder="1"/>
    <xf numFmtId="0" fontId="14" fillId="0" borderId="53" xfId="0" applyNumberFormat="1" applyFont="1" applyBorder="1"/>
    <xf numFmtId="0" fontId="82" fillId="0" borderId="0" xfId="0" pivotButton="1" applyFont="1"/>
    <xf numFmtId="0" fontId="85" fillId="39" borderId="108" xfId="0" applyFont="1" applyFill="1" applyBorder="1" applyAlignment="1">
      <alignment vertical="top"/>
    </xf>
    <xf numFmtId="9" fontId="135" fillId="0" borderId="113" xfId="0" applyNumberFormat="1" applyFont="1" applyBorder="1"/>
    <xf numFmtId="0" fontId="118" fillId="9" borderId="109" xfId="0" applyFont="1" applyFill="1" applyBorder="1" applyAlignment="1">
      <alignment horizontal="center" vertical="center"/>
    </xf>
    <xf numFmtId="0" fontId="81" fillId="9" borderId="110" xfId="0" applyFont="1" applyFill="1" applyBorder="1" applyAlignment="1">
      <alignment horizontal="center" vertical="center"/>
    </xf>
    <xf numFmtId="0" fontId="81" fillId="9" borderId="111" xfId="0" applyFont="1" applyFill="1" applyBorder="1" applyAlignment="1">
      <alignment horizontal="center" vertical="center"/>
    </xf>
    <xf numFmtId="0" fontId="32" fillId="0" borderId="112" xfId="0" applyFont="1" applyBorder="1"/>
    <xf numFmtId="0" fontId="82" fillId="0" borderId="118" xfId="0" applyFont="1" applyBorder="1"/>
    <xf numFmtId="9" fontId="137" fillId="0" borderId="122" xfId="0" applyNumberFormat="1" applyFont="1" applyBorder="1"/>
    <xf numFmtId="9" fontId="137" fillId="0" borderId="123" xfId="0" applyNumberFormat="1" applyFont="1" applyBorder="1"/>
    <xf numFmtId="0" fontId="136" fillId="0" borderId="124" xfId="0" applyFont="1" applyBorder="1"/>
    <xf numFmtId="9" fontId="137" fillId="0" borderId="125" xfId="0" applyNumberFormat="1" applyFont="1" applyBorder="1"/>
    <xf numFmtId="9" fontId="137" fillId="0" borderId="126" xfId="0" applyNumberFormat="1" applyFont="1" applyBorder="1"/>
    <xf numFmtId="0" fontId="13" fillId="0" borderId="0" xfId="0" applyFont="1"/>
    <xf numFmtId="0" fontId="139" fillId="50" borderId="117" xfId="0" applyFont="1" applyFill="1" applyBorder="1"/>
    <xf numFmtId="0" fontId="139" fillId="50" borderId="81" xfId="0" applyFont="1" applyFill="1" applyBorder="1"/>
    <xf numFmtId="9" fontId="138" fillId="50" borderId="116" xfId="0" applyNumberFormat="1" applyFont="1" applyFill="1" applyBorder="1"/>
    <xf numFmtId="9" fontId="138" fillId="50" borderId="115" xfId="0" applyNumberFormat="1" applyFont="1" applyFill="1" applyBorder="1"/>
    <xf numFmtId="0" fontId="82" fillId="12" borderId="119" xfId="0" applyFont="1" applyFill="1" applyBorder="1"/>
    <xf numFmtId="0" fontId="82" fillId="12" borderId="120" xfId="0" applyFont="1" applyFill="1" applyBorder="1"/>
    <xf numFmtId="0" fontId="78" fillId="16" borderId="0" xfId="0" applyFont="1" applyFill="1"/>
    <xf numFmtId="0" fontId="32" fillId="16" borderId="0" xfId="0" applyFont="1" applyFill="1"/>
    <xf numFmtId="0" fontId="139" fillId="50" borderId="82" xfId="0" applyFont="1" applyFill="1" applyBorder="1"/>
    <xf numFmtId="9" fontId="138" fillId="50" borderId="114" xfId="0" applyNumberFormat="1" applyFont="1" applyFill="1" applyBorder="1"/>
    <xf numFmtId="0" fontId="135" fillId="0" borderId="130" xfId="0" applyFont="1" applyBorder="1" applyAlignment="1">
      <alignment horizontal="left"/>
    </xf>
    <xf numFmtId="0" fontId="69" fillId="0" borderId="60" xfId="0" applyFont="1" applyFill="1" applyBorder="1" applyAlignment="1">
      <alignment vertical="center"/>
    </xf>
    <xf numFmtId="0" fontId="69" fillId="0" borderId="23" xfId="0" applyFont="1" applyFill="1" applyBorder="1" applyAlignment="1">
      <alignment vertical="center"/>
    </xf>
    <xf numFmtId="164" fontId="69" fillId="0" borderId="23" xfId="4" applyNumberFormat="1" applyFont="1" applyFill="1" applyBorder="1" applyAlignment="1">
      <alignment vertical="center"/>
    </xf>
    <xf numFmtId="9" fontId="69" fillId="0" borderId="23" xfId="0" applyNumberFormat="1" applyFont="1" applyFill="1" applyBorder="1" applyAlignment="1">
      <alignment horizontal="center" vertical="center"/>
    </xf>
    <xf numFmtId="9" fontId="69" fillId="0" borderId="61" xfId="0" applyNumberFormat="1" applyFont="1" applyFill="1" applyBorder="1" applyAlignment="1">
      <alignment horizontal="center" vertical="center"/>
    </xf>
    <xf numFmtId="0" fontId="69" fillId="0" borderId="62" xfId="0" applyFont="1" applyFill="1" applyBorder="1" applyAlignment="1">
      <alignment vertical="center"/>
    </xf>
    <xf numFmtId="0" fontId="69" fillId="0" borderId="57" xfId="0" applyFont="1" applyFill="1" applyBorder="1" applyAlignment="1">
      <alignment vertical="center" wrapText="1"/>
    </xf>
    <xf numFmtId="164" fontId="69" fillId="0" borderId="57" xfId="4" applyNumberFormat="1" applyFont="1" applyFill="1" applyBorder="1" applyAlignment="1">
      <alignment vertical="center"/>
    </xf>
    <xf numFmtId="9" fontId="69" fillId="0" borderId="57" xfId="0" applyNumberFormat="1" applyFont="1" applyFill="1" applyBorder="1" applyAlignment="1">
      <alignment horizontal="center" vertical="center"/>
    </xf>
    <xf numFmtId="0" fontId="70" fillId="0" borderId="64" xfId="0" applyFont="1" applyFill="1" applyBorder="1" applyAlignment="1">
      <alignment horizontal="left" vertical="center"/>
    </xf>
    <xf numFmtId="0" fontId="70" fillId="0" borderId="65" xfId="0" applyFont="1" applyFill="1" applyBorder="1" applyAlignment="1">
      <alignment vertical="center"/>
    </xf>
    <xf numFmtId="164" fontId="70" fillId="0" borderId="65" xfId="0" applyNumberFormat="1" applyFont="1" applyFill="1" applyBorder="1" applyAlignment="1">
      <alignment vertical="center"/>
    </xf>
    <xf numFmtId="9" fontId="70" fillId="0" borderId="65" xfId="1" applyFont="1" applyFill="1" applyBorder="1" applyAlignment="1">
      <alignment horizontal="center" vertical="center"/>
    </xf>
    <xf numFmtId="0" fontId="12" fillId="0" borderId="0" xfId="0" applyFont="1"/>
    <xf numFmtId="0" fontId="81" fillId="35" borderId="56" xfId="0" applyFont="1" applyFill="1" applyBorder="1" applyAlignment="1">
      <alignment horizontal="center" vertical="center"/>
    </xf>
    <xf numFmtId="0" fontId="81" fillId="35" borderId="56" xfId="0" applyFont="1" applyFill="1" applyBorder="1" applyAlignment="1">
      <alignment horizontal="center" vertical="center" wrapText="1"/>
    </xf>
    <xf numFmtId="0" fontId="81" fillId="35" borderId="59" xfId="0" applyFont="1" applyFill="1" applyBorder="1" applyAlignment="1">
      <alignment horizontal="center" vertical="center" wrapText="1"/>
    </xf>
    <xf numFmtId="0" fontId="85"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5" fillId="51" borderId="133" xfId="0" applyFont="1" applyFill="1" applyBorder="1" applyAlignment="1">
      <alignment wrapText="1"/>
    </xf>
    <xf numFmtId="0" fontId="0" fillId="0" borderId="50" xfId="0" applyFont="1" applyBorder="1" applyAlignment="1">
      <alignment wrapText="1"/>
    </xf>
    <xf numFmtId="0" fontId="85" fillId="52" borderId="134" xfId="0" applyFont="1" applyFill="1" applyBorder="1" applyAlignment="1">
      <alignment wrapText="1"/>
    </xf>
    <xf numFmtId="0" fontId="85" fillId="54" borderId="132" xfId="0" applyFont="1" applyFill="1" applyBorder="1" applyAlignment="1">
      <alignment wrapText="1"/>
    </xf>
    <xf numFmtId="0" fontId="85" fillId="54" borderId="0" xfId="0" applyFont="1" applyFill="1" applyBorder="1" applyAlignment="1">
      <alignment wrapText="1"/>
    </xf>
    <xf numFmtId="0" fontId="85" fillId="55" borderId="138" xfId="0" applyFont="1" applyFill="1" applyBorder="1" applyAlignment="1">
      <alignment wrapText="1"/>
    </xf>
    <xf numFmtId="0" fontId="85" fillId="55" borderId="116" xfId="0" applyFont="1" applyFill="1" applyBorder="1" applyAlignment="1">
      <alignment wrapText="1"/>
    </xf>
    <xf numFmtId="0" fontId="85" fillId="53" borderId="135" xfId="0" applyFont="1" applyFill="1" applyBorder="1" applyAlignment="1">
      <alignment wrapText="1"/>
    </xf>
    <xf numFmtId="0" fontId="0" fillId="0" borderId="136" xfId="0" applyFont="1" applyBorder="1" applyAlignment="1">
      <alignment horizontal="left" vertical="center" wrapText="1"/>
    </xf>
    <xf numFmtId="0" fontId="85" fillId="53" borderId="137" xfId="0" applyFont="1" applyFill="1" applyBorder="1" applyAlignment="1">
      <alignment wrapText="1"/>
    </xf>
    <xf numFmtId="164" fontId="135" fillId="0" borderId="129" xfId="0" applyNumberFormat="1" applyFont="1" applyBorder="1"/>
    <xf numFmtId="164" fontId="135" fillId="0" borderId="128" xfId="0" applyNumberFormat="1" applyFont="1" applyBorder="1"/>
    <xf numFmtId="0" fontId="135" fillId="0" borderId="139" xfId="0" applyFont="1" applyBorder="1" applyAlignment="1">
      <alignment horizontal="left"/>
    </xf>
    <xf numFmtId="0" fontId="87" fillId="0" borderId="0" xfId="0" applyFont="1" applyFill="1"/>
    <xf numFmtId="0" fontId="0" fillId="0" borderId="0" xfId="0" applyAlignment="1">
      <alignment horizontal="center" vertical="center" wrapText="1"/>
    </xf>
    <xf numFmtId="169" fontId="82" fillId="0" borderId="0" xfId="1" applyNumberFormat="1" applyFont="1"/>
    <xf numFmtId="0" fontId="35" fillId="0" borderId="0" xfId="0" applyFont="1" applyAlignment="1">
      <alignment horizontal="center" vertical="center" wrapText="1"/>
    </xf>
    <xf numFmtId="0" fontId="81" fillId="0" borderId="82" xfId="0" applyFont="1" applyFill="1" applyBorder="1" applyAlignment="1">
      <alignment horizontal="center" vertical="center" wrapText="1"/>
    </xf>
    <xf numFmtId="0" fontId="81" fillId="0" borderId="117" xfId="0" applyFont="1" applyFill="1" applyBorder="1" applyAlignment="1">
      <alignment horizontal="center" vertical="center" wrapText="1"/>
    </xf>
    <xf numFmtId="1" fontId="81" fillId="0" borderId="117" xfId="0" applyNumberFormat="1" applyFont="1" applyFill="1" applyBorder="1" applyAlignment="1">
      <alignment horizontal="center" vertical="center" wrapText="1"/>
    </xf>
    <xf numFmtId="0" fontId="81" fillId="0" borderId="81" xfId="0" applyFont="1" applyFill="1" applyBorder="1" applyAlignment="1">
      <alignment horizontal="center" vertical="center" wrapText="1"/>
    </xf>
    <xf numFmtId="1" fontId="139" fillId="0" borderId="116" xfId="0" applyNumberFormat="1" applyFont="1" applyFill="1" applyBorder="1"/>
    <xf numFmtId="10" fontId="139" fillId="0" borderId="115" xfId="0" applyNumberFormat="1" applyFont="1" applyFill="1" applyBorder="1"/>
    <xf numFmtId="0" fontId="138" fillId="0" borderId="114" xfId="0" applyFont="1" applyFill="1" applyBorder="1" applyAlignment="1">
      <alignment horizontal="left"/>
    </xf>
    <xf numFmtId="9" fontId="140" fillId="0" borderId="0" xfId="0" applyNumberFormat="1" applyFont="1"/>
    <xf numFmtId="9" fontId="0" fillId="0" borderId="0" xfId="1" applyFont="1"/>
    <xf numFmtId="9" fontId="19" fillId="0" borderId="0" xfId="1" applyFont="1"/>
    <xf numFmtId="9" fontId="82" fillId="0" borderId="0" xfId="1" applyFont="1"/>
    <xf numFmtId="0" fontId="141" fillId="0" borderId="114" xfId="0" applyFont="1" applyFill="1" applyBorder="1" applyAlignment="1">
      <alignment horizontal="left"/>
    </xf>
    <xf numFmtId="164" fontId="139" fillId="0" borderId="116" xfId="0" applyNumberFormat="1" applyFont="1" applyFill="1" applyBorder="1"/>
    <xf numFmtId="1" fontId="142" fillId="0" borderId="116" xfId="0" applyNumberFormat="1" applyFont="1" applyFill="1" applyBorder="1" applyAlignment="1">
      <alignment horizontal="right" vertical="center" wrapText="1"/>
    </xf>
    <xf numFmtId="164" fontId="142" fillId="0" borderId="116" xfId="4" applyNumberFormat="1" applyFont="1" applyFill="1" applyBorder="1" applyAlignment="1">
      <alignment horizontal="right" vertical="center" wrapText="1"/>
    </xf>
    <xf numFmtId="10" fontId="142" fillId="0" borderId="115" xfId="0" applyNumberFormat="1" applyFont="1" applyFill="1" applyBorder="1" applyAlignment="1">
      <alignment horizontal="right" vertical="center" wrapText="1"/>
    </xf>
    <xf numFmtId="1" fontId="142" fillId="0" borderId="116" xfId="0" applyNumberFormat="1" applyFont="1" applyFill="1" applyBorder="1" applyAlignment="1">
      <alignment horizontal="right"/>
    </xf>
    <xf numFmtId="164" fontId="142" fillId="0" borderId="116" xfId="4" applyNumberFormat="1" applyFont="1" applyFill="1" applyBorder="1" applyAlignment="1">
      <alignment horizontal="right"/>
    </xf>
    <xf numFmtId="10" fontId="142" fillId="0" borderId="115" xfId="0" applyNumberFormat="1" applyFont="1" applyFill="1" applyBorder="1" applyAlignment="1">
      <alignment horizontal="right"/>
    </xf>
    <xf numFmtId="1" fontId="142" fillId="0" borderId="115" xfId="0" applyNumberFormat="1" applyFont="1" applyFill="1" applyBorder="1" applyAlignment="1">
      <alignment horizontal="right" vertical="center" wrapText="1"/>
    </xf>
    <xf numFmtId="1" fontId="142" fillId="0" borderId="115" xfId="0" applyNumberFormat="1" applyFont="1" applyFill="1" applyBorder="1" applyAlignment="1">
      <alignment horizontal="right"/>
    </xf>
    <xf numFmtId="1" fontId="139" fillId="0" borderId="115" xfId="0" applyNumberFormat="1" applyFont="1" applyFill="1" applyBorder="1"/>
    <xf numFmtId="164" fontId="143" fillId="0" borderId="0" xfId="4" applyNumberFormat="1" applyFont="1" applyFill="1" applyAlignment="1">
      <alignment horizontal="left" vertical="center" readingOrder="1"/>
    </xf>
    <xf numFmtId="1" fontId="37" fillId="9" borderId="0" xfId="0" applyNumberFormat="1" applyFont="1" applyFill="1" applyBorder="1" applyAlignment="1">
      <alignment horizontal="center" vertical="center" wrapText="1"/>
    </xf>
    <xf numFmtId="1" fontId="108" fillId="9" borderId="0" xfId="0" applyNumberFormat="1" applyFont="1" applyFill="1" applyBorder="1" applyAlignment="1">
      <alignment vertical="top" wrapText="1"/>
    </xf>
    <xf numFmtId="164" fontId="68" fillId="34" borderId="14" xfId="4" applyNumberFormat="1" applyFont="1" applyFill="1" applyBorder="1" applyAlignment="1">
      <alignment horizontal="left" vertical="center" wrapText="1" readingOrder="1"/>
    </xf>
    <xf numFmtId="0" fontId="144" fillId="0" borderId="0" xfId="0" applyFont="1"/>
    <xf numFmtId="0" fontId="145" fillId="0" borderId="0" xfId="0" applyFont="1"/>
    <xf numFmtId="0" fontId="85" fillId="51" borderId="142" xfId="0" applyFont="1" applyFill="1" applyBorder="1" applyAlignment="1">
      <alignment wrapText="1"/>
    </xf>
    <xf numFmtId="0" fontId="37" fillId="8" borderId="80" xfId="0" applyFont="1" applyFill="1" applyBorder="1" applyAlignment="1">
      <alignment horizontal="center" vertical="center" wrapText="1"/>
    </xf>
    <xf numFmtId="0" fontId="29" fillId="56" borderId="4" xfId="22" applyFont="1" applyFill="1" applyBorder="1" applyAlignment="1">
      <alignment vertical="top" wrapText="1"/>
    </xf>
    <xf numFmtId="0" fontId="29" fillId="34" borderId="4" xfId="22" applyFont="1" applyFill="1" applyBorder="1" applyAlignment="1">
      <alignment vertical="top" wrapText="1"/>
    </xf>
    <xf numFmtId="0" fontId="146" fillId="0" borderId="0" xfId="19" applyFont="1" applyAlignment="1">
      <alignment horizontal="left" vertical="center" textRotation="90"/>
    </xf>
    <xf numFmtId="0" fontId="147" fillId="16" borderId="66" xfId="22" applyFont="1" applyFill="1" applyBorder="1" applyAlignment="1">
      <alignment horizontal="center" vertical="center" textRotation="90" wrapText="1"/>
    </xf>
    <xf numFmtId="0" fontId="36" fillId="2" borderId="66" xfId="22" applyFont="1" applyFill="1" applyBorder="1" applyAlignment="1">
      <alignment horizontal="left" vertical="center" indent="1" readingOrder="1"/>
    </xf>
    <xf numFmtId="0" fontId="34" fillId="0" borderId="66" xfId="19" applyFont="1" applyBorder="1" applyAlignment="1">
      <alignment horizontal="left" vertical="center" wrapText="1"/>
    </xf>
    <xf numFmtId="0" fontId="36" fillId="14" borderId="66" xfId="22" applyFont="1" applyFill="1" applyBorder="1" applyAlignment="1">
      <alignment horizontal="left" vertical="center" indent="1" readingOrder="1"/>
    </xf>
    <xf numFmtId="0" fontId="36" fillId="38" borderId="66" xfId="22" applyFont="1" applyFill="1" applyBorder="1" applyAlignment="1">
      <alignment horizontal="left" vertical="center" indent="1" readingOrder="1"/>
    </xf>
    <xf numFmtId="0" fontId="36" fillId="9" borderId="66" xfId="22" applyFont="1" applyFill="1" applyBorder="1" applyAlignment="1">
      <alignment horizontal="left" vertical="center" indent="1" readingOrder="1"/>
    </xf>
    <xf numFmtId="0" fontId="36" fillId="16" borderId="66" xfId="22" applyFont="1" applyFill="1" applyBorder="1" applyAlignment="1">
      <alignment horizontal="left" vertical="center" indent="1" readingOrder="1"/>
    </xf>
    <xf numFmtId="0" fontId="147" fillId="45" borderId="0" xfId="22" applyFont="1" applyFill="1" applyAlignment="1">
      <alignment horizontal="left" vertical="center" textRotation="90" readingOrder="1"/>
    </xf>
    <xf numFmtId="0" fontId="36" fillId="45" borderId="0" xfId="22" applyFont="1" applyFill="1" applyAlignment="1">
      <alignment horizontal="left" vertical="center" indent="1" readingOrder="1"/>
    </xf>
    <xf numFmtId="9" fontId="34" fillId="27" borderId="0" xfId="19" applyNumberFormat="1" applyFont="1" applyFill="1" applyAlignment="1">
      <alignment horizontal="left" vertical="center" wrapText="1" readingOrder="1"/>
    </xf>
    <xf numFmtId="0" fontId="34" fillId="47" borderId="0" xfId="19" applyFont="1" applyFill="1" applyAlignment="1">
      <alignment horizontal="left" vertical="center" wrapText="1"/>
    </xf>
    <xf numFmtId="9" fontId="34" fillId="56" borderId="69" xfId="19" applyNumberFormat="1" applyFont="1" applyFill="1" applyBorder="1" applyAlignment="1">
      <alignment horizontal="center" vertical="center" wrapText="1" readingOrder="1"/>
    </xf>
    <xf numFmtId="0" fontId="34" fillId="17" borderId="0" xfId="19" applyFont="1" applyFill="1" applyAlignment="1">
      <alignment horizontal="left" vertical="center"/>
    </xf>
    <xf numFmtId="0" fontId="148" fillId="0" borderId="0" xfId="22" applyFont="1" applyAlignment="1">
      <alignment horizontal="left" vertical="center" textRotation="90"/>
    </xf>
    <xf numFmtId="9" fontId="34" fillId="27" borderId="0" xfId="19" applyNumberFormat="1" applyFont="1" applyFill="1" applyAlignment="1">
      <alignment horizontal="center" vertical="center" wrapText="1" readingOrder="1"/>
    </xf>
    <xf numFmtId="9" fontId="34" fillId="46" borderId="69" xfId="19" applyNumberFormat="1" applyFont="1" applyFill="1" applyBorder="1" applyAlignment="1">
      <alignment horizontal="center" vertical="center" wrapText="1" readingOrder="1"/>
    </xf>
    <xf numFmtId="9" fontId="34" fillId="46" borderId="0" xfId="19" applyNumberFormat="1" applyFont="1" applyFill="1" applyAlignment="1">
      <alignment horizontal="center" vertical="center" wrapText="1" readingOrder="1"/>
    </xf>
    <xf numFmtId="9" fontId="149" fillId="46" borderId="145" xfId="19" applyNumberFormat="1" applyFont="1" applyFill="1" applyBorder="1" applyAlignment="1">
      <alignment horizontal="center" vertical="center" wrapText="1" readingOrder="1"/>
    </xf>
    <xf numFmtId="9" fontId="149" fillId="46" borderId="144" xfId="19" applyNumberFormat="1" applyFont="1" applyFill="1" applyBorder="1" applyAlignment="1">
      <alignment horizontal="center" vertical="center" wrapText="1" readingOrder="1"/>
    </xf>
    <xf numFmtId="0" fontId="36" fillId="56" borderId="0" xfId="22" applyFont="1" applyFill="1" applyAlignment="1">
      <alignment horizontal="center" vertical="center" readingOrder="1"/>
    </xf>
    <xf numFmtId="0" fontId="115" fillId="45" borderId="0" xfId="22" applyFont="1" applyFill="1" applyAlignment="1">
      <alignment horizontal="center" vertical="center" readingOrder="1"/>
    </xf>
    <xf numFmtId="1" fontId="42" fillId="8" borderId="80" xfId="0" applyNumberFormat="1" applyFont="1" applyFill="1" applyBorder="1" applyAlignment="1">
      <alignment horizontal="center" vertical="center" wrapText="1"/>
    </xf>
    <xf numFmtId="0" fontId="115" fillId="18" borderId="80" xfId="0" applyFont="1" applyFill="1" applyBorder="1" applyAlignment="1">
      <alignment vertical="top" wrapText="1"/>
    </xf>
    <xf numFmtId="9" fontId="34" fillId="34" borderId="0" xfId="19" applyNumberFormat="1" applyFont="1" applyFill="1" applyBorder="1" applyAlignment="1">
      <alignment horizontal="center" vertical="center" wrapText="1" readingOrder="1"/>
    </xf>
    <xf numFmtId="9" fontId="126" fillId="16" borderId="0" xfId="19" applyNumberFormat="1" applyFont="1" applyFill="1" applyBorder="1" applyAlignment="1">
      <alignment horizontal="center" vertical="center" wrapText="1" readingOrder="1"/>
    </xf>
    <xf numFmtId="164" fontId="68" fillId="34" borderId="0" xfId="4" applyNumberFormat="1" applyFont="1" applyFill="1" applyBorder="1" applyAlignment="1">
      <alignment horizontal="center" vertical="center" wrapText="1" readingOrder="1"/>
    </xf>
    <xf numFmtId="164" fontId="69" fillId="17" borderId="29" xfId="4" applyNumberFormat="1" applyFont="1" applyFill="1" applyBorder="1" applyAlignment="1">
      <alignment vertical="center" wrapText="1"/>
    </xf>
    <xf numFmtId="0" fontId="119" fillId="56" borderId="23" xfId="0" applyFont="1" applyFill="1" applyBorder="1" applyAlignment="1">
      <alignment horizontal="center" vertical="center" wrapText="1"/>
    </xf>
    <xf numFmtId="0" fontId="119" fillId="2" borderId="23" xfId="0" applyFont="1" applyFill="1" applyBorder="1" applyAlignment="1">
      <alignment horizontal="center" vertical="center" wrapText="1"/>
    </xf>
    <xf numFmtId="164" fontId="69" fillId="2" borderId="23" xfId="0" applyNumberFormat="1" applyFont="1" applyFill="1" applyBorder="1" applyAlignment="1">
      <alignment vertical="center"/>
    </xf>
    <xf numFmtId="164" fontId="119" fillId="56" borderId="23" xfId="0" applyNumberFormat="1" applyFont="1" applyFill="1" applyBorder="1" applyAlignment="1">
      <alignment vertical="center"/>
    </xf>
    <xf numFmtId="164" fontId="151"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9" fillId="17" borderId="29" xfId="4" applyNumberFormat="1" applyFont="1" applyFill="1" applyBorder="1" applyAlignment="1">
      <alignment horizontal="center" vertical="center"/>
    </xf>
    <xf numFmtId="164" fontId="134" fillId="17" borderId="141" xfId="4" applyNumberFormat="1" applyFont="1" applyFill="1" applyBorder="1" applyAlignment="1">
      <alignment horizontal="center" vertical="center"/>
    </xf>
    <xf numFmtId="0" fontId="136" fillId="0" borderId="121" xfId="0" applyFont="1" applyBorder="1" applyAlignment="1"/>
    <xf numFmtId="164" fontId="83" fillId="0" borderId="42" xfId="4" applyNumberFormat="1" applyFont="1" applyBorder="1"/>
    <xf numFmtId="0" fontId="11" fillId="0" borderId="0" xfId="0" applyFont="1"/>
    <xf numFmtId="164" fontId="0" fillId="0" borderId="0" xfId="0" applyNumberFormat="1"/>
    <xf numFmtId="0" fontId="37" fillId="8" borderId="73" xfId="0" applyFont="1" applyFill="1" applyBorder="1" applyAlignment="1">
      <alignment horizontal="center" vertical="center" wrapText="1"/>
    </xf>
    <xf numFmtId="0" fontId="10" fillId="17" borderId="28" xfId="0" applyFont="1" applyFill="1" applyBorder="1"/>
    <xf numFmtId="0" fontId="0" fillId="0" borderId="0" xfId="0" applyAlignment="1">
      <alignment horizontal="left"/>
    </xf>
    <xf numFmtId="0" fontId="26" fillId="37" borderId="71" xfId="22" applyNumberFormat="1" applyFont="1" applyFill="1" applyBorder="1" applyAlignment="1">
      <alignment horizontal="center" vertical="center"/>
    </xf>
    <xf numFmtId="9" fontId="26" fillId="9" borderId="70" xfId="1" applyFont="1" applyFill="1" applyBorder="1" applyAlignment="1">
      <alignment horizontal="center" vertical="center"/>
    </xf>
    <xf numFmtId="9" fontId="34" fillId="11" borderId="66" xfId="1" applyFont="1" applyFill="1" applyBorder="1" applyAlignment="1">
      <alignment horizontal="center" vertical="center" wrapText="1" readingOrder="1"/>
    </xf>
    <xf numFmtId="9" fontId="26" fillId="9" borderId="67" xfId="1" applyFont="1" applyFill="1" applyBorder="1" applyAlignment="1">
      <alignment horizontal="center" vertical="center" wrapText="1"/>
    </xf>
    <xf numFmtId="9" fontId="68" fillId="11" borderId="14" xfId="1" applyFont="1" applyFill="1" applyBorder="1" applyAlignment="1">
      <alignment horizontal="center" vertical="center" wrapText="1"/>
    </xf>
    <xf numFmtId="0" fontId="152" fillId="0" borderId="0" xfId="0" pivotButton="1" applyFont="1"/>
    <xf numFmtId="0" fontId="152" fillId="0" borderId="0" xfId="0" applyFont="1"/>
    <xf numFmtId="0" fontId="152" fillId="0" borderId="0" xfId="0" applyNumberFormat="1" applyFont="1"/>
    <xf numFmtId="0" fontId="101" fillId="16" borderId="73" xfId="0" applyFont="1" applyFill="1" applyBorder="1" applyAlignment="1">
      <alignment vertical="top" wrapText="1"/>
    </xf>
    <xf numFmtId="164" fontId="68" fillId="34" borderId="14" xfId="4" applyNumberFormat="1" applyFont="1" applyFill="1" applyBorder="1" applyAlignment="1">
      <alignment horizontal="left" vertical="center" readingOrder="1"/>
    </xf>
    <xf numFmtId="164" fontId="0" fillId="0" borderId="0" xfId="4" applyNumberFormat="1" applyFont="1"/>
    <xf numFmtId="0" fontId="76" fillId="13" borderId="149" xfId="0" applyFont="1" applyFill="1" applyBorder="1" applyAlignment="1">
      <alignment horizontal="center" vertical="center" wrapText="1"/>
    </xf>
    <xf numFmtId="164" fontId="119" fillId="17" borderId="141" xfId="4" applyNumberFormat="1" applyFont="1" applyFill="1" applyBorder="1" applyAlignment="1">
      <alignment horizontal="center" vertical="center"/>
    </xf>
    <xf numFmtId="164" fontId="119" fillId="12" borderId="141" xfId="4" applyNumberFormat="1" applyFont="1" applyFill="1" applyBorder="1" applyAlignment="1">
      <alignment horizontal="center" vertical="center"/>
    </xf>
    <xf numFmtId="0" fontId="77" fillId="13" borderId="150" xfId="0" applyFont="1" applyFill="1" applyBorder="1" applyAlignment="1">
      <alignment horizontal="center" vertical="center" wrapText="1"/>
    </xf>
    <xf numFmtId="9" fontId="119" fillId="12" borderId="151" xfId="1" applyFont="1" applyFill="1" applyBorder="1" applyAlignment="1">
      <alignment horizontal="center" vertical="center"/>
    </xf>
    <xf numFmtId="9" fontId="70" fillId="0" borderId="65" xfId="1" applyNumberFormat="1" applyFont="1" applyFill="1" applyBorder="1" applyAlignment="1">
      <alignment horizontal="center" vertical="center"/>
    </xf>
    <xf numFmtId="0" fontId="153" fillId="0" borderId="0" xfId="0" applyFont="1"/>
    <xf numFmtId="0" fontId="44" fillId="18" borderId="75" xfId="0" applyFont="1" applyFill="1" applyBorder="1" applyAlignment="1">
      <alignment vertical="top" wrapText="1"/>
    </xf>
    <xf numFmtId="164" fontId="77" fillId="0" borderId="4" xfId="4" applyNumberFormat="1" applyFont="1" applyBorder="1"/>
    <xf numFmtId="0" fontId="154" fillId="0" borderId="0" xfId="0" applyFont="1"/>
    <xf numFmtId="164" fontId="69" fillId="57" borderId="29" xfId="4" applyNumberFormat="1" applyFont="1" applyFill="1" applyBorder="1" applyAlignment="1">
      <alignment vertical="center" wrapText="1"/>
    </xf>
    <xf numFmtId="9" fontId="69" fillId="57" borderId="29" xfId="1" applyFont="1" applyFill="1" applyBorder="1" applyAlignment="1">
      <alignment horizontal="center" vertical="center" wrapText="1"/>
    </xf>
    <xf numFmtId="164" fontId="69" fillId="11" borderId="29" xfId="4" applyNumberFormat="1" applyFont="1" applyFill="1" applyBorder="1" applyAlignment="1">
      <alignment vertical="center" wrapText="1"/>
    </xf>
    <xf numFmtId="9" fontId="69" fillId="11" borderId="29" xfId="1" applyFont="1" applyFill="1" applyBorder="1" applyAlignment="1">
      <alignment horizontal="center" vertical="center" wrapText="1"/>
    </xf>
    <xf numFmtId="164" fontId="69" fillId="7" borderId="29" xfId="4" applyNumberFormat="1" applyFont="1" applyFill="1" applyBorder="1" applyAlignment="1">
      <alignment vertical="center" wrapText="1"/>
    </xf>
    <xf numFmtId="9" fontId="69" fillId="7" borderId="29" xfId="1" applyFont="1" applyFill="1" applyBorder="1" applyAlignment="1">
      <alignment horizontal="center" vertical="center" wrapText="1"/>
    </xf>
    <xf numFmtId="164" fontId="69" fillId="10" borderId="29" xfId="4" applyNumberFormat="1" applyFont="1" applyFill="1" applyBorder="1" applyAlignment="1">
      <alignment vertical="center" wrapText="1"/>
    </xf>
    <xf numFmtId="0" fontId="75" fillId="14" borderId="23" xfId="0" applyFont="1" applyFill="1" applyBorder="1" applyAlignment="1">
      <alignment horizontal="center" vertical="center"/>
    </xf>
    <xf numFmtId="0" fontId="75" fillId="8" borderId="23" xfId="0" applyFont="1" applyFill="1" applyBorder="1" applyAlignment="1">
      <alignment horizontal="center" vertical="center"/>
    </xf>
    <xf numFmtId="0" fontId="75" fillId="9" borderId="23" xfId="0" applyFont="1" applyFill="1" applyBorder="1" applyAlignment="1">
      <alignment horizontal="center" vertical="center"/>
    </xf>
    <xf numFmtId="0" fontId="155" fillId="56" borderId="23" xfId="0" applyFont="1" applyFill="1" applyBorder="1" applyAlignment="1">
      <alignment horizontal="center" vertical="center"/>
    </xf>
    <xf numFmtId="0" fontId="155" fillId="16" borderId="23" xfId="0" applyFont="1" applyFill="1" applyBorder="1" applyAlignment="1">
      <alignment horizontal="center" vertical="center"/>
    </xf>
    <xf numFmtId="0" fontId="119" fillId="12" borderId="23" xfId="0" applyFont="1" applyFill="1" applyBorder="1" applyAlignment="1">
      <alignment horizontal="center" vertical="center" wrapText="1"/>
    </xf>
    <xf numFmtId="0" fontId="155" fillId="0" borderId="23" xfId="0" applyFont="1" applyBorder="1" applyAlignment="1">
      <alignment wrapText="1"/>
    </xf>
    <xf numFmtId="0" fontId="139" fillId="58" borderId="82" xfId="0" applyFont="1" applyFill="1" applyBorder="1"/>
    <xf numFmtId="0" fontId="139" fillId="58" borderId="114" xfId="0" applyFont="1" applyFill="1" applyBorder="1" applyAlignment="1">
      <alignment horizontal="left"/>
    </xf>
    <xf numFmtId="9" fontId="19" fillId="34" borderId="0" xfId="0" applyNumberFormat="1" applyFont="1" applyFill="1"/>
    <xf numFmtId="9" fontId="156" fillId="0" borderId="0" xfId="0" applyNumberFormat="1" applyFont="1"/>
    <xf numFmtId="0" fontId="156" fillId="0" borderId="0" xfId="0" applyFont="1"/>
    <xf numFmtId="0" fontId="9" fillId="0" borderId="0" xfId="0" applyFont="1"/>
    <xf numFmtId="0" fontId="8" fillId="0" borderId="0" xfId="0" applyFont="1"/>
    <xf numFmtId="0" fontId="7" fillId="17" borderId="28" xfId="0" applyFont="1" applyFill="1" applyBorder="1"/>
    <xf numFmtId="0" fontId="69" fillId="0" borderId="0" xfId="0" applyFont="1" applyFill="1" applyBorder="1" applyAlignment="1">
      <alignment horizontal="center" vertical="center"/>
    </xf>
    <xf numFmtId="0" fontId="75" fillId="14" borderId="102" xfId="0" applyFont="1" applyFill="1" applyBorder="1" applyAlignment="1">
      <alignment horizontal="center" vertical="center" wrapText="1"/>
    </xf>
    <xf numFmtId="0" fontId="119" fillId="12" borderId="102" xfId="0" applyFont="1" applyFill="1" applyBorder="1" applyAlignment="1">
      <alignment horizontal="center" vertical="top" wrapText="1"/>
    </xf>
    <xf numFmtId="0" fontId="75" fillId="36" borderId="102" xfId="0" applyFont="1" applyFill="1" applyBorder="1" applyAlignment="1">
      <alignment horizontal="center" vertical="top" wrapText="1"/>
    </xf>
    <xf numFmtId="0" fontId="75" fillId="8" borderId="102" xfId="0" applyFont="1" applyFill="1" applyBorder="1" applyAlignment="1">
      <alignment horizontal="center" vertical="top" wrapText="1"/>
    </xf>
    <xf numFmtId="0" fontId="29" fillId="16" borderId="4" xfId="22" applyFont="1" applyFill="1" applyBorder="1" applyAlignment="1">
      <alignment horizontal="center" vertical="center" wrapText="1"/>
    </xf>
    <xf numFmtId="0" fontId="29" fillId="56" borderId="147" xfId="22" applyFont="1" applyFill="1" applyBorder="1" applyAlignment="1">
      <alignment horizontal="center" vertical="top" wrapText="1"/>
    </xf>
    <xf numFmtId="164" fontId="69" fillId="0" borderId="0" xfId="0" applyNumberFormat="1" applyFont="1" applyAlignment="1">
      <alignment horizontal="center" vertical="center"/>
    </xf>
    <xf numFmtId="9" fontId="101" fillId="26" borderId="148" xfId="19" applyNumberFormat="1" applyFont="1" applyFill="1" applyBorder="1" applyAlignment="1">
      <alignment horizontal="center" vertical="center" wrapText="1" readingOrder="1"/>
    </xf>
    <xf numFmtId="9" fontId="68" fillId="46" borderId="145" xfId="19" applyNumberFormat="1" applyFont="1" applyFill="1" applyBorder="1" applyAlignment="1">
      <alignment horizontal="center" vertical="center" wrapText="1" readingOrder="1"/>
    </xf>
    <xf numFmtId="9" fontId="68" fillId="46" borderId="144" xfId="19" applyNumberFormat="1" applyFont="1" applyFill="1" applyBorder="1" applyAlignment="1">
      <alignment horizontal="center" vertical="center" wrapText="1" readingOrder="1"/>
    </xf>
    <xf numFmtId="0" fontId="84" fillId="0" borderId="154" xfId="0" applyFont="1" applyBorder="1"/>
    <xf numFmtId="0" fontId="84" fillId="0" borderId="155" xfId="0" applyFont="1" applyBorder="1" applyAlignment="1">
      <alignment horizontal="left"/>
    </xf>
    <xf numFmtId="0" fontId="84" fillId="0" borderId="153" xfId="0" applyFont="1" applyBorder="1" applyAlignment="1">
      <alignment horizontal="left"/>
    </xf>
    <xf numFmtId="164" fontId="84" fillId="0" borderId="155" xfId="0" applyNumberFormat="1" applyFont="1" applyBorder="1"/>
    <xf numFmtId="9" fontId="138" fillId="58" borderId="115" xfId="0" applyNumberFormat="1" applyFont="1" applyFill="1" applyBorder="1"/>
    <xf numFmtId="164" fontId="69" fillId="57" borderId="141" xfId="4" applyNumberFormat="1" applyFont="1" applyFill="1" applyBorder="1" applyAlignment="1">
      <alignment vertical="center" wrapText="1"/>
    </xf>
    <xf numFmtId="9" fontId="69" fillId="7" borderId="156" xfId="1" applyFont="1" applyFill="1" applyBorder="1" applyAlignment="1">
      <alignment horizontal="center" vertical="center" wrapText="1"/>
    </xf>
    <xf numFmtId="9" fontId="69" fillId="11" borderId="156" xfId="1" applyFont="1" applyFill="1" applyBorder="1" applyAlignment="1">
      <alignment horizontal="center" vertical="center" wrapText="1"/>
    </xf>
    <xf numFmtId="0" fontId="6" fillId="0" borderId="58" xfId="0" applyFont="1" applyBorder="1" applyAlignment="1">
      <alignment vertical="center" wrapText="1"/>
    </xf>
    <xf numFmtId="9" fontId="119" fillId="17" borderId="152" xfId="1" applyFont="1" applyFill="1" applyBorder="1" applyAlignment="1">
      <alignment horizontal="center" vertical="center"/>
    </xf>
    <xf numFmtId="9" fontId="119" fillId="17" borderId="141" xfId="1" applyFont="1" applyFill="1" applyBorder="1" applyAlignment="1">
      <alignment horizontal="center" vertical="center"/>
    </xf>
    <xf numFmtId="9" fontId="69" fillId="57" borderId="156" xfId="1" applyFont="1" applyFill="1" applyBorder="1" applyAlignment="1">
      <alignment vertical="center" wrapText="1"/>
    </xf>
    <xf numFmtId="0" fontId="157" fillId="0" borderId="0" xfId="0" applyFont="1"/>
    <xf numFmtId="164" fontId="158" fillId="0" borderId="155" xfId="0" applyNumberFormat="1" applyFont="1" applyBorder="1"/>
    <xf numFmtId="164" fontId="158" fillId="0" borderId="153" xfId="0" applyNumberFormat="1" applyFont="1" applyBorder="1"/>
    <xf numFmtId="0" fontId="36" fillId="56" borderId="0" xfId="22" applyFont="1" applyFill="1" applyAlignment="1">
      <alignment horizontal="center" vertical="center" readingOrder="1"/>
    </xf>
    <xf numFmtId="1" fontId="43" fillId="9" borderId="73" xfId="1" applyNumberFormat="1" applyFont="1" applyFill="1" applyBorder="1" applyAlignment="1">
      <alignment horizontal="left" vertical="top"/>
    </xf>
    <xf numFmtId="1" fontId="63" fillId="7" borderId="66" xfId="19" applyNumberFormat="1" applyFont="1" applyFill="1" applyBorder="1" applyAlignment="1">
      <alignment horizontal="left" vertical="center" wrapText="1" readingOrder="1"/>
    </xf>
    <xf numFmtId="0" fontId="63" fillId="28" borderId="66" xfId="19" applyFont="1" applyFill="1" applyBorder="1" applyAlignment="1">
      <alignment horizontal="left" vertical="center" wrapText="1"/>
    </xf>
    <xf numFmtId="0" fontId="63" fillId="11" borderId="66" xfId="20" applyNumberFormat="1" applyFont="1" applyFill="1" applyBorder="1" applyAlignment="1">
      <alignment horizontal="left" vertical="center" wrapText="1" readingOrder="1"/>
    </xf>
    <xf numFmtId="9" fontId="83" fillId="0" borderId="42" xfId="1" applyFont="1" applyBorder="1"/>
    <xf numFmtId="9" fontId="157" fillId="0" borderId="0" xfId="0" applyNumberFormat="1" applyFont="1"/>
    <xf numFmtId="9" fontId="69" fillId="0" borderId="0" xfId="1" applyFont="1"/>
    <xf numFmtId="0" fontId="19" fillId="0" borderId="0" xfId="0" pivotButton="1" applyFont="1" applyAlignment="1">
      <alignment wrapText="1"/>
    </xf>
    <xf numFmtId="167" fontId="159" fillId="0" borderId="0" xfId="0" applyNumberFormat="1" applyFont="1" applyFill="1" applyAlignment="1">
      <alignment horizontal="left" vertical="center" readingOrder="1"/>
    </xf>
    <xf numFmtId="0" fontId="159" fillId="0" borderId="0" xfId="0" applyFont="1" applyFill="1" applyAlignment="1">
      <alignment horizontal="left" vertical="center" readingOrder="1"/>
    </xf>
    <xf numFmtId="0" fontId="159" fillId="0" borderId="0" xfId="1" applyNumberFormat="1" applyFont="1" applyFill="1" applyAlignment="1">
      <alignment horizontal="left" vertical="center" readingOrder="1"/>
    </xf>
    <xf numFmtId="164" fontId="159" fillId="0" borderId="0" xfId="4" applyNumberFormat="1" applyFont="1" applyFill="1" applyAlignment="1">
      <alignment horizontal="left" vertical="center" readingOrder="1"/>
    </xf>
    <xf numFmtId="168" fontId="159" fillId="0" borderId="0" xfId="0" applyNumberFormat="1" applyFont="1" applyFill="1" applyAlignment="1">
      <alignment horizontal="left" vertical="center" readingOrder="1"/>
    </xf>
    <xf numFmtId="165" fontId="159" fillId="0" borderId="0" xfId="0" applyNumberFormat="1" applyFont="1" applyFill="1" applyAlignment="1">
      <alignment horizontal="left" vertical="center" readingOrder="1"/>
    </xf>
    <xf numFmtId="9" fontId="159" fillId="0" borderId="0" xfId="1" applyFont="1" applyFill="1" applyAlignment="1">
      <alignment horizontal="left" vertical="center" readingOrder="1"/>
    </xf>
    <xf numFmtId="49" fontId="159" fillId="0" borderId="0" xfId="4" applyNumberFormat="1" applyFont="1" applyFill="1" applyAlignment="1">
      <alignment horizontal="left" vertical="center" readingOrder="1"/>
    </xf>
    <xf numFmtId="49" fontId="159" fillId="0" borderId="0" xfId="1" applyNumberFormat="1" applyFont="1" applyFill="1" applyAlignment="1">
      <alignment horizontal="left" vertical="center" readingOrder="1"/>
    </xf>
    <xf numFmtId="49" fontId="159" fillId="0" borderId="0" xfId="0" applyNumberFormat="1" applyFont="1" applyFill="1" applyAlignment="1">
      <alignment horizontal="left" vertical="center" readingOrder="1"/>
    </xf>
    <xf numFmtId="9" fontId="159" fillId="0" borderId="0" xfId="1" applyNumberFormat="1" applyFont="1" applyFill="1" applyAlignment="1">
      <alignment horizontal="left" vertical="center" readingOrder="1"/>
    </xf>
    <xf numFmtId="1" fontId="159" fillId="0" borderId="0" xfId="1" applyNumberFormat="1" applyFont="1" applyFill="1" applyAlignment="1">
      <alignment horizontal="left" vertical="center" readingOrder="1"/>
    </xf>
    <xf numFmtId="164" fontId="159" fillId="0" borderId="0" xfId="0" applyNumberFormat="1" applyFont="1" applyFill="1" applyAlignment="1">
      <alignment horizontal="left" vertical="center" readingOrder="1"/>
    </xf>
    <xf numFmtId="1" fontId="159" fillId="0" borderId="0" xfId="0" applyNumberFormat="1" applyFont="1" applyFill="1" applyAlignment="1">
      <alignment horizontal="left" vertical="center" readingOrder="1"/>
    </xf>
    <xf numFmtId="9" fontId="159" fillId="0" borderId="0" xfId="0" applyNumberFormat="1" applyFont="1" applyFill="1" applyAlignment="1">
      <alignment horizontal="left" vertical="center" readingOrder="1"/>
    </xf>
    <xf numFmtId="0" fontId="159" fillId="0" borderId="0" xfId="0" applyNumberFormat="1" applyFont="1" applyFill="1" applyAlignment="1">
      <alignment horizontal="left" vertical="center" readingOrder="1"/>
    </xf>
    <xf numFmtId="49" fontId="159" fillId="0" borderId="0" xfId="0" applyNumberFormat="1" applyFont="1" applyAlignment="1">
      <alignment horizontal="left" vertical="center" readingOrder="1"/>
    </xf>
    <xf numFmtId="164" fontId="134" fillId="10" borderId="29" xfId="4" applyNumberFormat="1" applyFont="1" applyFill="1" applyBorder="1" applyAlignment="1">
      <alignment vertical="center" wrapText="1"/>
    </xf>
    <xf numFmtId="164" fontId="134" fillId="7" borderId="29" xfId="4" applyNumberFormat="1" applyFont="1" applyFill="1" applyBorder="1" applyAlignment="1">
      <alignment vertical="center" wrapText="1"/>
    </xf>
    <xf numFmtId="164" fontId="134" fillId="11" borderId="29" xfId="4" applyNumberFormat="1" applyFont="1" applyFill="1" applyBorder="1" applyAlignment="1">
      <alignment vertical="center" wrapText="1"/>
    </xf>
    <xf numFmtId="0" fontId="36" fillId="56" borderId="0" xfId="22" applyFont="1" applyFill="1" applyAlignment="1">
      <alignment horizontal="center" vertical="center" readingOrder="1"/>
    </xf>
    <xf numFmtId="0" fontId="34" fillId="38" borderId="158" xfId="0" applyFont="1" applyFill="1" applyBorder="1" applyAlignment="1">
      <alignment horizontal="center" vertical="center" wrapText="1"/>
    </xf>
    <xf numFmtId="168" fontId="27" fillId="0" borderId="0" xfId="4" applyNumberFormat="1" applyFont="1" applyFill="1" applyAlignment="1">
      <alignment horizontal="left" vertical="center" readingOrder="1"/>
    </xf>
    <xf numFmtId="0" fontId="36" fillId="60" borderId="158" xfId="0" applyFont="1" applyFill="1" applyBorder="1" applyAlignment="1">
      <alignment vertical="top" wrapText="1"/>
    </xf>
    <xf numFmtId="0" fontId="36" fillId="38" borderId="0" xfId="0" applyFont="1" applyFill="1" applyAlignment="1">
      <alignment horizontal="center" vertical="center" wrapText="1"/>
    </xf>
    <xf numFmtId="43" fontId="27" fillId="0" borderId="0" xfId="4" applyFont="1" applyFill="1" applyAlignment="1">
      <alignment horizontal="left" vertical="center" readingOrder="1"/>
    </xf>
    <xf numFmtId="0" fontId="149" fillId="60" borderId="158" xfId="0" applyFont="1" applyFill="1" applyBorder="1" applyAlignment="1">
      <alignment vertical="top" wrapText="1"/>
    </xf>
    <xf numFmtId="0" fontId="34" fillId="38" borderId="0" xfId="0" applyFont="1" applyFill="1" applyAlignment="1">
      <alignment horizontal="center" vertical="center" wrapText="1"/>
    </xf>
    <xf numFmtId="0" fontId="34" fillId="60" borderId="158" xfId="0" applyFont="1" applyFill="1" applyBorder="1" applyAlignment="1">
      <alignment vertical="top" wrapText="1"/>
    </xf>
    <xf numFmtId="167" fontId="160" fillId="0" borderId="0" xfId="0" applyNumberFormat="1" applyFont="1" applyFill="1" applyAlignment="1">
      <alignment horizontal="left" vertical="center" readingOrder="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168" fontId="160" fillId="0" borderId="0" xfId="0" applyNumberFormat="1" applyFont="1" applyFill="1" applyAlignment="1">
      <alignment horizontal="left" vertical="center" readingOrder="1"/>
    </xf>
    <xf numFmtId="165" fontId="160" fillId="0" borderId="0" xfId="0" applyNumberFormat="1" applyFont="1" applyFill="1" applyAlignment="1">
      <alignment horizontal="left" vertical="center" readingOrder="1"/>
    </xf>
    <xf numFmtId="9" fontId="160" fillId="0" borderId="0" xfId="1" applyFont="1" applyFill="1" applyAlignment="1">
      <alignment horizontal="left" vertical="center" readingOrder="1"/>
    </xf>
    <xf numFmtId="49" fontId="160" fillId="0" borderId="0" xfId="4" applyNumberFormat="1" applyFont="1" applyFill="1" applyAlignment="1">
      <alignment horizontal="left" vertical="center" readingOrder="1"/>
    </xf>
    <xf numFmtId="49" fontId="160" fillId="0" borderId="0" xfId="1" applyNumberFormat="1" applyFont="1" applyFill="1" applyAlignment="1">
      <alignment horizontal="left" vertical="center" readingOrder="1"/>
    </xf>
    <xf numFmtId="49" fontId="160" fillId="0" borderId="0" xfId="0" applyNumberFormat="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0" fontId="134" fillId="45" borderId="103" xfId="0" applyFont="1" applyFill="1" applyBorder="1" applyAlignment="1">
      <alignment vertical="center" wrapText="1"/>
    </xf>
    <xf numFmtId="0" fontId="134" fillId="45" borderId="0" xfId="0" applyFont="1" applyFill="1" applyBorder="1" applyAlignment="1">
      <alignment vertical="center" wrapText="1"/>
    </xf>
    <xf numFmtId="164" fontId="70" fillId="7" borderId="157" xfId="4" applyNumberFormat="1" applyFont="1" applyFill="1" applyBorder="1" applyAlignment="1">
      <alignment vertical="center" wrapText="1"/>
    </xf>
    <xf numFmtId="164" fontId="134" fillId="12" borderId="29" xfId="4" applyNumberFormat="1" applyFont="1" applyFill="1" applyBorder="1" applyAlignment="1">
      <alignment vertical="center"/>
    </xf>
    <xf numFmtId="164" fontId="70" fillId="11" borderId="157" xfId="4" applyNumberFormat="1" applyFont="1" applyFill="1" applyBorder="1" applyAlignment="1">
      <alignment vertical="center" wrapText="1"/>
    </xf>
    <xf numFmtId="164" fontId="70" fillId="57" borderId="157" xfId="4" applyNumberFormat="1" applyFont="1" applyFill="1" applyBorder="1" applyAlignment="1">
      <alignment vertical="center" wrapText="1"/>
    </xf>
    <xf numFmtId="164" fontId="70" fillId="57" borderId="29" xfId="4" applyNumberFormat="1" applyFont="1" applyFill="1" applyBorder="1" applyAlignment="1">
      <alignment vertical="center" wrapText="1"/>
    </xf>
    <xf numFmtId="164" fontId="69" fillId="10" borderId="141" xfId="4" applyNumberFormat="1" applyFont="1" applyFill="1" applyBorder="1" applyAlignment="1">
      <alignment vertical="center" wrapText="1"/>
    </xf>
    <xf numFmtId="164" fontId="134" fillId="10" borderId="157" xfId="4" applyNumberFormat="1" applyFont="1" applyFill="1" applyBorder="1" applyAlignment="1">
      <alignment vertical="center" wrapText="1"/>
    </xf>
    <xf numFmtId="0" fontId="5" fillId="0" borderId="0" xfId="0" applyFont="1"/>
    <xf numFmtId="9" fontId="0" fillId="0" borderId="0" xfId="0" applyNumberFormat="1"/>
    <xf numFmtId="169" fontId="69" fillId="10" borderId="156" xfId="1" applyNumberFormat="1" applyFont="1" applyFill="1" applyBorder="1" applyAlignment="1">
      <alignment horizontal="center" vertical="center" wrapText="1"/>
    </xf>
    <xf numFmtId="169" fontId="69" fillId="10" borderId="29" xfId="1" applyNumberFormat="1" applyFont="1" applyFill="1" applyBorder="1" applyAlignment="1">
      <alignment horizontal="center" vertical="center" wrapText="1"/>
    </xf>
    <xf numFmtId="167" fontId="161" fillId="0" borderId="0" xfId="0" applyNumberFormat="1" applyFont="1" applyFill="1" applyAlignment="1">
      <alignment horizontal="left" vertical="center" readingOrder="1"/>
    </xf>
    <xf numFmtId="0" fontId="161" fillId="0" borderId="0" xfId="0" applyFont="1" applyFill="1" applyAlignment="1">
      <alignment horizontal="left" vertical="center" readingOrder="1"/>
    </xf>
    <xf numFmtId="164" fontId="134" fillId="10" borderId="29" xfId="4" applyNumberFormat="1" applyFont="1" applyFill="1" applyBorder="1" applyAlignment="1">
      <alignment vertical="center"/>
    </xf>
    <xf numFmtId="164" fontId="134" fillId="7" borderId="29" xfId="4" applyNumberFormat="1" applyFont="1" applyFill="1" applyBorder="1" applyAlignment="1">
      <alignment vertical="center"/>
    </xf>
    <xf numFmtId="164" fontId="134" fillId="11" borderId="29" xfId="4" applyNumberFormat="1" applyFont="1" applyFill="1" applyBorder="1" applyAlignment="1">
      <alignment vertical="center"/>
    </xf>
    <xf numFmtId="167" fontId="162" fillId="0" borderId="0" xfId="0" applyNumberFormat="1" applyFont="1" applyFill="1" applyAlignment="1">
      <alignment horizontal="left" vertical="center" readingOrder="1"/>
    </xf>
    <xf numFmtId="0" fontId="162" fillId="0" borderId="0" xfId="0" applyFont="1" applyFill="1" applyAlignment="1">
      <alignment horizontal="left" vertical="center" readingOrder="1"/>
    </xf>
    <xf numFmtId="0" fontId="162" fillId="0" borderId="0" xfId="1" applyNumberFormat="1" applyFont="1" applyFill="1" applyAlignment="1">
      <alignment horizontal="left" vertical="center" readingOrder="1"/>
    </xf>
    <xf numFmtId="164" fontId="162" fillId="0" borderId="0" xfId="4" applyNumberFormat="1" applyFont="1" applyFill="1" applyAlignment="1">
      <alignment horizontal="left" vertical="center" readingOrder="1"/>
    </xf>
    <xf numFmtId="168" fontId="162" fillId="0" borderId="0" xfId="0" applyNumberFormat="1" applyFont="1" applyFill="1" applyAlignment="1">
      <alignment horizontal="left" vertical="center" readingOrder="1"/>
    </xf>
    <xf numFmtId="165" fontId="162" fillId="0" borderId="0" xfId="0" applyNumberFormat="1" applyFont="1" applyFill="1" applyAlignment="1">
      <alignment horizontal="left" vertical="center" readingOrder="1"/>
    </xf>
    <xf numFmtId="9" fontId="162" fillId="0" borderId="0" xfId="1" applyFont="1" applyFill="1" applyAlignment="1">
      <alignment horizontal="left" vertical="center" readingOrder="1"/>
    </xf>
    <xf numFmtId="49" fontId="162" fillId="0" borderId="0" xfId="4" applyNumberFormat="1" applyFont="1" applyFill="1" applyAlignment="1">
      <alignment horizontal="left" vertical="center" readingOrder="1"/>
    </xf>
    <xf numFmtId="49" fontId="162" fillId="0" borderId="0" xfId="1" applyNumberFormat="1" applyFont="1" applyFill="1" applyAlignment="1">
      <alignment horizontal="left" vertical="center" readingOrder="1"/>
    </xf>
    <xf numFmtId="49" fontId="162" fillId="0" borderId="0" xfId="0" applyNumberFormat="1" applyFont="1" applyFill="1" applyAlignment="1">
      <alignment horizontal="left" vertical="center" readingOrder="1"/>
    </xf>
    <xf numFmtId="9" fontId="162" fillId="0" borderId="0" xfId="1" applyNumberFormat="1" applyFont="1" applyFill="1" applyAlignment="1">
      <alignment horizontal="left" vertical="center" readingOrder="1"/>
    </xf>
    <xf numFmtId="1" fontId="162" fillId="0" borderId="0" xfId="1" applyNumberFormat="1" applyFont="1" applyFill="1" applyAlignment="1">
      <alignment horizontal="left" vertical="center" readingOrder="1"/>
    </xf>
    <xf numFmtId="164" fontId="162" fillId="0" borderId="0" xfId="0" applyNumberFormat="1" applyFont="1" applyFill="1" applyAlignment="1">
      <alignment horizontal="left" vertical="center" readingOrder="1"/>
    </xf>
    <xf numFmtId="1" fontId="162" fillId="0" borderId="0" xfId="0" applyNumberFormat="1" applyFont="1" applyFill="1" applyAlignment="1">
      <alignment horizontal="left" vertical="center" readingOrder="1"/>
    </xf>
    <xf numFmtId="9" fontId="162" fillId="0" borderId="0" xfId="0" applyNumberFormat="1" applyFont="1" applyFill="1" applyAlignment="1">
      <alignment horizontal="left" vertical="center" readingOrder="1"/>
    </xf>
    <xf numFmtId="0" fontId="162" fillId="0" borderId="0" xfId="0" applyNumberFormat="1" applyFont="1" applyFill="1" applyAlignment="1">
      <alignment horizontal="left" vertical="center" readingOrder="1"/>
    </xf>
    <xf numFmtId="0" fontId="4" fillId="0" borderId="0" xfId="0" applyFont="1" applyAlignment="1">
      <alignment horizontal="right"/>
    </xf>
    <xf numFmtId="164" fontId="27" fillId="0" borderId="0" xfId="1" applyNumberFormat="1" applyFont="1" applyFill="1" applyAlignment="1">
      <alignment horizontal="left" vertical="center" readingOrder="1"/>
    </xf>
    <xf numFmtId="167" fontId="163" fillId="0" borderId="0" xfId="0" applyNumberFormat="1" applyFont="1" applyFill="1" applyAlignment="1">
      <alignment horizontal="left" vertical="center" readingOrder="1"/>
    </xf>
    <xf numFmtId="0" fontId="163" fillId="0" borderId="0" xfId="0" applyFont="1" applyFill="1" applyAlignment="1">
      <alignment horizontal="left" vertical="center" readingOrder="1"/>
    </xf>
    <xf numFmtId="0" fontId="163" fillId="0" borderId="0" xfId="1" applyNumberFormat="1" applyFont="1" applyFill="1" applyAlignment="1">
      <alignment horizontal="left" vertical="center" readingOrder="1"/>
    </xf>
    <xf numFmtId="164" fontId="163" fillId="0" borderId="0" xfId="4" applyNumberFormat="1" applyFont="1" applyFill="1" applyAlignment="1">
      <alignment horizontal="left" vertical="center" readingOrder="1"/>
    </xf>
    <xf numFmtId="9" fontId="163" fillId="0" borderId="0" xfId="1" applyFont="1" applyFill="1" applyAlignment="1">
      <alignment horizontal="left" vertical="center" readingOrder="1"/>
    </xf>
    <xf numFmtId="9" fontId="163" fillId="0" borderId="0" xfId="1" applyNumberFormat="1" applyFont="1" applyFill="1" applyAlignment="1">
      <alignment horizontal="left" vertical="center" readingOrder="1"/>
    </xf>
    <xf numFmtId="1" fontId="163" fillId="0" borderId="0" xfId="1" applyNumberFormat="1" applyFont="1" applyFill="1" applyAlignment="1">
      <alignment horizontal="left" vertical="center" readingOrder="1"/>
    </xf>
    <xf numFmtId="164" fontId="163" fillId="0" borderId="0" xfId="0" applyNumberFormat="1" applyFont="1" applyFill="1" applyAlignment="1">
      <alignment horizontal="left" vertical="center" readingOrder="1"/>
    </xf>
    <xf numFmtId="1" fontId="163" fillId="0" borderId="0" xfId="0" applyNumberFormat="1" applyFont="1" applyFill="1" applyAlignment="1">
      <alignment horizontal="left" vertical="center" readingOrder="1"/>
    </xf>
    <xf numFmtId="9" fontId="163" fillId="0" borderId="0" xfId="0" applyNumberFormat="1" applyFont="1" applyFill="1" applyAlignment="1">
      <alignment horizontal="left" vertical="center" readingOrder="1"/>
    </xf>
    <xf numFmtId="0" fontId="163" fillId="0" borderId="0" xfId="0" applyNumberFormat="1" applyFont="1" applyFill="1" applyAlignment="1">
      <alignment horizontal="left" vertical="center" readingOrder="1"/>
    </xf>
    <xf numFmtId="168" fontId="27" fillId="0" borderId="0" xfId="0" applyNumberFormat="1" applyFont="1" applyAlignment="1">
      <alignment horizontal="left" vertical="center" readingOrder="1"/>
    </xf>
    <xf numFmtId="165" fontId="27" fillId="0" borderId="0" xfId="0" applyNumberFormat="1" applyFont="1" applyAlignment="1">
      <alignment horizontal="left" vertical="center" readingOrder="1"/>
    </xf>
    <xf numFmtId="49" fontId="27" fillId="0" borderId="0" xfId="4" applyNumberFormat="1" applyFont="1" applyFill="1" applyAlignment="1">
      <alignment horizontal="left" vertical="center" readingOrder="1"/>
    </xf>
    <xf numFmtId="49" fontId="27" fillId="0" borderId="0" xfId="0" applyNumberFormat="1" applyFont="1" applyAlignment="1">
      <alignment horizontal="left" vertical="center" readingOrder="1"/>
    </xf>
    <xf numFmtId="164" fontId="134" fillId="10" borderId="161" xfId="4" applyNumberFormat="1" applyFont="1" applyFill="1" applyBorder="1" applyAlignment="1">
      <alignment vertical="center"/>
    </xf>
    <xf numFmtId="164" fontId="134" fillId="7" borderId="161" xfId="4" applyNumberFormat="1" applyFont="1" applyFill="1" applyBorder="1" applyAlignment="1">
      <alignment vertical="center"/>
    </xf>
    <xf numFmtId="164" fontId="134" fillId="11" borderId="161" xfId="4" applyNumberFormat="1" applyFont="1" applyFill="1" applyBorder="1" applyAlignment="1">
      <alignment vertical="center"/>
    </xf>
    <xf numFmtId="164" fontId="70" fillId="57" borderId="161" xfId="4" applyNumberFormat="1" applyFont="1" applyFill="1" applyBorder="1" applyAlignment="1">
      <alignment vertical="center" wrapText="1"/>
    </xf>
    <xf numFmtId="164" fontId="134" fillId="12" borderId="161" xfId="4" applyNumberFormat="1" applyFont="1" applyFill="1" applyBorder="1" applyAlignment="1">
      <alignment vertical="center"/>
    </xf>
    <xf numFmtId="0" fontId="87" fillId="26" borderId="162" xfId="0" applyFont="1" applyFill="1" applyBorder="1" applyAlignment="1">
      <alignment horizontal="center" vertical="center" wrapText="1"/>
    </xf>
    <xf numFmtId="164" fontId="87" fillId="26" borderId="151" xfId="4" applyNumberFormat="1" applyFont="1" applyFill="1" applyBorder="1" applyAlignment="1">
      <alignment horizontal="center" vertical="center"/>
    </xf>
    <xf numFmtId="164" fontId="87" fillId="26" borderId="163" xfId="4" applyNumberFormat="1" applyFont="1" applyFill="1" applyBorder="1" applyAlignment="1">
      <alignment horizontal="center" vertical="center"/>
    </xf>
    <xf numFmtId="164" fontId="134" fillId="17" borderId="161" xfId="4" applyNumberFormat="1" applyFont="1" applyFill="1" applyBorder="1" applyAlignment="1">
      <alignment horizontal="center" vertical="center"/>
    </xf>
    <xf numFmtId="164" fontId="134" fillId="12" borderId="164" xfId="4" applyNumberFormat="1" applyFont="1" applyFill="1" applyBorder="1" applyAlignment="1">
      <alignment vertical="center"/>
    </xf>
    <xf numFmtId="164" fontId="134" fillId="12" borderId="165" xfId="4" applyNumberFormat="1" applyFont="1" applyFill="1" applyBorder="1" applyAlignment="1">
      <alignment vertical="center"/>
    </xf>
    <xf numFmtId="0" fontId="134" fillId="45" borderId="166" xfId="0" applyFont="1" applyFill="1" applyBorder="1" applyAlignment="1">
      <alignment horizontal="center" vertical="center" wrapText="1"/>
    </xf>
    <xf numFmtId="0" fontId="134" fillId="45" borderId="167" xfId="0" applyFont="1" applyFill="1" applyBorder="1" applyAlignment="1">
      <alignment horizontal="center" vertical="center" wrapText="1"/>
    </xf>
    <xf numFmtId="0" fontId="134" fillId="59" borderId="167" xfId="0" applyFont="1" applyFill="1" applyBorder="1" applyAlignment="1">
      <alignment horizontal="center" vertical="center" wrapText="1"/>
    </xf>
    <xf numFmtId="164" fontId="134" fillId="17" borderId="157" xfId="4" applyNumberFormat="1" applyFont="1" applyFill="1" applyBorder="1" applyAlignment="1">
      <alignment horizontal="center" vertical="center"/>
    </xf>
    <xf numFmtId="164" fontId="134" fillId="17" borderId="29" xfId="4" applyNumberFormat="1" applyFont="1" applyFill="1" applyBorder="1" applyAlignment="1">
      <alignment horizontal="center" vertical="center"/>
    </xf>
    <xf numFmtId="164" fontId="134" fillId="12" borderId="157" xfId="4" applyNumberFormat="1" applyFont="1" applyFill="1" applyBorder="1" applyAlignment="1">
      <alignment horizontal="center" vertical="center"/>
    </xf>
    <xf numFmtId="164" fontId="134" fillId="12" borderId="168" xfId="4" applyNumberFormat="1" applyFont="1" applyFill="1" applyBorder="1" applyAlignment="1">
      <alignment horizontal="center" vertical="center"/>
    </xf>
    <xf numFmtId="9" fontId="69" fillId="0" borderId="63" xfId="0" applyNumberFormat="1" applyFont="1" applyFill="1" applyBorder="1" applyAlignment="1">
      <alignment horizontal="center" vertical="center"/>
    </xf>
    <xf numFmtId="0" fontId="3" fillId="0" borderId="0" xfId="0" applyFont="1" applyAlignment="1">
      <alignment horizontal="right"/>
    </xf>
    <xf numFmtId="0" fontId="134" fillId="48" borderId="169" xfId="0" applyFont="1" applyFill="1" applyBorder="1" applyAlignment="1">
      <alignment horizontal="center" vertical="center" wrapText="1"/>
    </xf>
    <xf numFmtId="167" fontId="164" fillId="0" borderId="0" xfId="0" applyNumberFormat="1" applyFont="1" applyFill="1" applyAlignment="1">
      <alignment horizontal="left" vertical="center" readingOrder="1"/>
    </xf>
    <xf numFmtId="0" fontId="164" fillId="0" borderId="0" xfId="0" applyFont="1" applyFill="1" applyAlignment="1">
      <alignment horizontal="left" vertical="center" readingOrder="1"/>
    </xf>
    <xf numFmtId="0" fontId="164" fillId="0" borderId="0" xfId="1" applyNumberFormat="1" applyFont="1" applyFill="1" applyAlignment="1">
      <alignment horizontal="left" vertical="center" readingOrder="1"/>
    </xf>
    <xf numFmtId="164" fontId="164" fillId="0" borderId="0" xfId="4" applyNumberFormat="1" applyFont="1" applyFill="1" applyAlignment="1">
      <alignment horizontal="left" vertical="center" readingOrder="1"/>
    </xf>
    <xf numFmtId="9" fontId="164" fillId="0" borderId="0" xfId="1" applyFont="1" applyFill="1" applyAlignment="1">
      <alignment horizontal="left" vertical="center" readingOrder="1"/>
    </xf>
    <xf numFmtId="9" fontId="164" fillId="0" borderId="0" xfId="1" applyNumberFormat="1" applyFont="1" applyFill="1" applyAlignment="1">
      <alignment horizontal="left" vertical="center" readingOrder="1"/>
    </xf>
    <xf numFmtId="1" fontId="164" fillId="0" borderId="0" xfId="1" applyNumberFormat="1" applyFont="1" applyFill="1" applyAlignment="1">
      <alignment horizontal="left" vertical="center" readingOrder="1"/>
    </xf>
    <xf numFmtId="164" fontId="164" fillId="0" borderId="0" xfId="0" applyNumberFormat="1" applyFont="1" applyFill="1" applyAlignment="1">
      <alignment horizontal="left" vertical="center" readingOrder="1"/>
    </xf>
    <xf numFmtId="1" fontId="164" fillId="0" borderId="0" xfId="0" applyNumberFormat="1" applyFont="1" applyFill="1" applyAlignment="1">
      <alignment horizontal="left" vertical="center" readingOrder="1"/>
    </xf>
    <xf numFmtId="9" fontId="164" fillId="0" borderId="0" xfId="0" applyNumberFormat="1" applyFont="1" applyFill="1" applyAlignment="1">
      <alignment horizontal="left" vertical="center" readingOrder="1"/>
    </xf>
    <xf numFmtId="0" fontId="164" fillId="0" borderId="0" xfId="0" applyNumberFormat="1" applyFont="1" applyFill="1" applyAlignment="1">
      <alignment horizontal="left" vertical="center" readingOrder="1"/>
    </xf>
    <xf numFmtId="168" fontId="34" fillId="0" borderId="0" xfId="0" applyNumberFormat="1" applyFont="1" applyAlignment="1">
      <alignment horizontal="left" vertical="center" readingOrder="1"/>
    </xf>
    <xf numFmtId="165" fontId="34" fillId="0" borderId="0" xfId="0" applyNumberFormat="1" applyFont="1" applyAlignment="1">
      <alignment horizontal="left" vertical="center" readingOrder="1"/>
    </xf>
    <xf numFmtId="0" fontId="2" fillId="0" borderId="0" xfId="0" applyFont="1" applyAlignment="1">
      <alignment horizontal="right"/>
    </xf>
    <xf numFmtId="0" fontId="69" fillId="0" borderId="0" xfId="0" applyFont="1" applyAlignment="1">
      <alignment horizontal="left"/>
    </xf>
    <xf numFmtId="0" fontId="69" fillId="0" borderId="0" xfId="0" applyNumberFormat="1" applyFont="1"/>
    <xf numFmtId="0" fontId="69" fillId="0" borderId="0" xfId="0" applyFont="1" applyAlignment="1">
      <alignment horizontal="left" indent="1"/>
    </xf>
    <xf numFmtId="164" fontId="75" fillId="14" borderId="0" xfId="0" applyNumberFormat="1" applyFont="1" applyFill="1"/>
    <xf numFmtId="164" fontId="75" fillId="8" borderId="0" xfId="0" applyNumberFormat="1" applyFont="1" applyFill="1"/>
    <xf numFmtId="164" fontId="75" fillId="9" borderId="0" xfId="0" applyNumberFormat="1" applyFont="1" applyFill="1"/>
    <xf numFmtId="164" fontId="75" fillId="26" borderId="0" xfId="0" applyNumberFormat="1" applyFont="1" applyFill="1"/>
    <xf numFmtId="0" fontId="75" fillId="26" borderId="0" xfId="0" applyFont="1" applyFill="1" applyAlignment="1">
      <alignment horizontal="center" vertical="center" wrapText="1"/>
    </xf>
    <xf numFmtId="0" fontId="75" fillId="14" borderId="0" xfId="0" applyFont="1" applyFill="1" applyAlignment="1">
      <alignment horizontal="center" vertical="center"/>
    </xf>
    <xf numFmtId="0" fontId="75" fillId="8" borderId="0" xfId="0" applyFont="1" applyFill="1" applyAlignment="1">
      <alignment horizontal="center" vertical="center"/>
    </xf>
    <xf numFmtId="0" fontId="75" fillId="9" borderId="0" xfId="0" applyFont="1" applyFill="1" applyAlignment="1">
      <alignment horizontal="center" vertical="center"/>
    </xf>
    <xf numFmtId="0" fontId="75" fillId="9" borderId="0" xfId="0" applyFont="1" applyFill="1" applyAlignment="1">
      <alignment horizontal="center" vertical="center" wrapText="1"/>
    </xf>
    <xf numFmtId="164" fontId="119" fillId="12" borderId="0" xfId="0" applyNumberFormat="1" applyFont="1" applyFill="1"/>
    <xf numFmtId="0" fontId="119" fillId="12" borderId="0" xfId="0" applyFont="1" applyFill="1" applyAlignment="1">
      <alignment horizontal="center" vertical="center" wrapText="1"/>
    </xf>
    <xf numFmtId="164" fontId="69" fillId="56" borderId="0" xfId="0" applyNumberFormat="1" applyFont="1" applyFill="1"/>
    <xf numFmtId="0" fontId="69" fillId="56" borderId="0" xfId="0" applyFont="1" applyFill="1" applyAlignment="1">
      <alignment horizontal="center" vertical="center"/>
    </xf>
    <xf numFmtId="164" fontId="69" fillId="16" borderId="0" xfId="0" applyNumberFormat="1" applyFont="1" applyFill="1"/>
    <xf numFmtId="0" fontId="69" fillId="16" borderId="0" xfId="0" applyFont="1" applyFill="1" applyAlignment="1">
      <alignment horizontal="center" vertical="center"/>
    </xf>
    <xf numFmtId="0" fontId="75" fillId="14" borderId="0" xfId="0" applyFont="1" applyFill="1" applyAlignment="1">
      <alignment horizontal="center" vertical="center" wrapText="1"/>
    </xf>
    <xf numFmtId="0" fontId="75" fillId="8" borderId="0" xfId="0" applyFont="1" applyFill="1" applyAlignment="1">
      <alignment horizontal="center" vertical="center" wrapText="1"/>
    </xf>
    <xf numFmtId="0" fontId="69" fillId="56" borderId="0" xfId="0" applyFont="1" applyFill="1" applyAlignment="1">
      <alignment horizontal="center" vertical="center" wrapText="1"/>
    </xf>
    <xf numFmtId="0" fontId="69" fillId="16" borderId="0" xfId="0" applyFont="1" applyFill="1" applyAlignment="1">
      <alignment horizontal="center" vertical="center" wrapText="1"/>
    </xf>
    <xf numFmtId="0" fontId="1" fillId="0" borderId="0" xfId="0" pivotButton="1" applyFont="1"/>
    <xf numFmtId="0" fontId="1" fillId="0" borderId="0" xfId="0" applyFont="1"/>
    <xf numFmtId="0" fontId="1" fillId="0" borderId="0" xfId="0" applyFont="1" applyAlignment="1">
      <alignment horizontal="left"/>
    </xf>
    <xf numFmtId="0" fontId="1" fillId="0" borderId="0" xfId="0" applyNumberFormat="1" applyFont="1"/>
    <xf numFmtId="164" fontId="1" fillId="0" borderId="0" xfId="0" applyNumberFormat="1" applyFont="1"/>
    <xf numFmtId="0" fontId="1" fillId="0" borderId="0" xfId="0" pivotButton="1" applyFont="1" applyAlignment="1">
      <alignment wrapText="1"/>
    </xf>
    <xf numFmtId="0" fontId="1" fillId="0" borderId="0" xfId="0" pivotButton="1" applyFont="1" applyAlignment="1">
      <alignment horizontal="center" wrapText="1"/>
    </xf>
    <xf numFmtId="9" fontId="1" fillId="0" borderId="0" xfId="0" applyNumberFormat="1" applyFont="1"/>
    <xf numFmtId="0" fontId="81" fillId="29" borderId="0" xfId="0" applyFont="1" applyFill="1" applyAlignment="1">
      <alignment horizontal="left" vertical="center" wrapText="1"/>
    </xf>
    <xf numFmtId="1" fontId="1" fillId="0" borderId="0" xfId="0" applyNumberFormat="1" applyFont="1"/>
    <xf numFmtId="9" fontId="1" fillId="0" borderId="0" xfId="0" pivotButton="1" applyNumberFormat="1" applyFont="1"/>
    <xf numFmtId="9" fontId="1" fillId="0" borderId="0" xfId="0" applyNumberFormat="1" applyFont="1" applyAlignment="1">
      <alignment horizontal="left"/>
    </xf>
    <xf numFmtId="0" fontId="1" fillId="0" borderId="0" xfId="0" pivotButton="1" applyFont="1" applyAlignment="1">
      <alignment horizontal="center" vertical="center" wrapText="1"/>
    </xf>
    <xf numFmtId="0" fontId="81" fillId="29" borderId="0" xfId="0" applyFont="1" applyFill="1"/>
    <xf numFmtId="0" fontId="81" fillId="40" borderId="0" xfId="0" applyFont="1" applyFill="1"/>
    <xf numFmtId="0" fontId="81" fillId="40" borderId="0" xfId="0" applyFont="1" applyFill="1" applyAlignment="1"/>
    <xf numFmtId="0" fontId="1" fillId="0" borderId="0" xfId="0" applyFont="1" applyAlignment="1">
      <alignment wrapText="1"/>
    </xf>
    <xf numFmtId="0" fontId="69" fillId="0" borderId="0" xfId="0" pivotButton="1" applyFont="1" applyAlignment="1">
      <alignment horizontal="center" vertical="center" wrapText="1"/>
    </xf>
    <xf numFmtId="9" fontId="138" fillId="58" borderId="116" xfId="0" applyNumberFormat="1" applyFont="1" applyFill="1" applyBorder="1"/>
    <xf numFmtId="166" fontId="39" fillId="15" borderId="5" xfId="8" applyFont="1" applyFill="1" applyBorder="1" applyAlignment="1">
      <alignment horizontal="center" vertical="center"/>
    </xf>
    <xf numFmtId="166" fontId="39" fillId="15" borderId="6" xfId="8" applyFont="1" applyFill="1" applyBorder="1" applyAlignment="1">
      <alignment horizontal="center" vertical="center"/>
    </xf>
    <xf numFmtId="166" fontId="39" fillId="15" borderId="7" xfId="8" applyFont="1" applyFill="1" applyBorder="1" applyAlignment="1">
      <alignment horizontal="center" vertical="center"/>
    </xf>
    <xf numFmtId="166" fontId="17" fillId="20" borderId="0" xfId="8" applyFont="1" applyFill="1" applyBorder="1" applyAlignment="1">
      <alignment horizontal="left" wrapText="1"/>
    </xf>
    <xf numFmtId="166" fontId="23" fillId="20" borderId="0" xfId="8" applyFill="1" applyBorder="1" applyAlignment="1">
      <alignment horizontal="left" wrapText="1"/>
    </xf>
    <xf numFmtId="166" fontId="23" fillId="20" borderId="9" xfId="8" applyFill="1" applyBorder="1" applyAlignment="1">
      <alignment horizontal="left" wrapText="1"/>
    </xf>
    <xf numFmtId="0" fontId="37" fillId="5" borderId="75" xfId="0" applyFont="1" applyFill="1" applyBorder="1" applyAlignment="1">
      <alignment horizontal="center" vertical="center" wrapText="1"/>
    </xf>
    <xf numFmtId="0" fontId="37" fillId="5" borderId="73" xfId="0" applyFont="1" applyFill="1" applyBorder="1" applyAlignment="1">
      <alignment horizontal="center" vertical="center" wrapText="1"/>
    </xf>
    <xf numFmtId="0" fontId="37" fillId="5" borderId="76" xfId="0" applyFont="1" applyFill="1" applyBorder="1" applyAlignment="1">
      <alignment horizontal="center" vertical="center" wrapText="1"/>
    </xf>
    <xf numFmtId="0" fontId="26" fillId="44" borderId="71" xfId="22" applyNumberFormat="1" applyFont="1" applyFill="1" applyBorder="1" applyAlignment="1">
      <alignment horizontal="center" vertical="center"/>
    </xf>
    <xf numFmtId="0" fontId="26" fillId="44" borderId="68" xfId="22" applyNumberFormat="1" applyFont="1" applyFill="1" applyBorder="1" applyAlignment="1">
      <alignment horizontal="center" vertical="center"/>
    </xf>
    <xf numFmtId="0" fontId="37" fillId="5" borderId="99" xfId="0" applyFont="1" applyFill="1" applyBorder="1" applyAlignment="1">
      <alignment horizontal="center" vertical="center"/>
    </xf>
    <xf numFmtId="0" fontId="37" fillId="5" borderId="100" xfId="0" applyFont="1" applyFill="1" applyBorder="1" applyAlignment="1">
      <alignment horizontal="center" vertical="center"/>
    </xf>
    <xf numFmtId="0" fontId="37" fillId="5" borderId="101" xfId="0" applyFont="1" applyFill="1" applyBorder="1" applyAlignment="1">
      <alignment horizontal="center" vertical="center"/>
    </xf>
    <xf numFmtId="0" fontId="37" fillId="5" borderId="75" xfId="0" applyFont="1" applyFill="1" applyBorder="1" applyAlignment="1">
      <alignment horizontal="center" vertical="center"/>
    </xf>
    <xf numFmtId="0" fontId="37" fillId="5" borderId="73" xfId="0" applyFont="1" applyFill="1" applyBorder="1" applyAlignment="1">
      <alignment horizontal="center" vertical="center"/>
    </xf>
    <xf numFmtId="0" fontId="37" fillId="5" borderId="76" xfId="0" applyFont="1" applyFill="1" applyBorder="1" applyAlignment="1">
      <alignment horizontal="center" vertical="center"/>
    </xf>
    <xf numFmtId="0" fontId="37" fillId="5" borderId="80" xfId="0" applyFont="1" applyFill="1" applyBorder="1" applyAlignment="1">
      <alignment horizontal="center" vertical="center" wrapText="1"/>
    </xf>
    <xf numFmtId="0" fontId="36" fillId="56" borderId="0" xfId="22" applyFont="1" applyFill="1" applyAlignment="1">
      <alignment horizontal="center" vertical="center" readingOrder="1"/>
    </xf>
    <xf numFmtId="0" fontId="115" fillId="16" borderId="71" xfId="22" applyFont="1" applyFill="1" applyBorder="1" applyAlignment="1">
      <alignment horizontal="center" vertical="center" readingOrder="1"/>
    </xf>
    <xf numFmtId="0" fontId="115" fillId="16" borderId="146" xfId="22" applyFont="1" applyFill="1" applyBorder="1" applyAlignment="1">
      <alignment horizontal="center" vertical="center" readingOrder="1"/>
    </xf>
    <xf numFmtId="0" fontId="115" fillId="16" borderId="68" xfId="22" applyFont="1" applyFill="1" applyBorder="1" applyAlignment="1">
      <alignment horizontal="center" vertical="center" readingOrder="1"/>
    </xf>
    <xf numFmtId="0" fontId="37" fillId="5" borderId="87" xfId="0" applyFont="1" applyFill="1" applyBorder="1" applyAlignment="1">
      <alignment horizontal="center" vertical="center"/>
    </xf>
    <xf numFmtId="0" fontId="37" fillId="5" borderId="88" xfId="0" applyFont="1" applyFill="1" applyBorder="1" applyAlignment="1">
      <alignment horizontal="center" vertical="center"/>
    </xf>
    <xf numFmtId="9" fontId="126" fillId="26" borderId="0" xfId="19" applyNumberFormat="1" applyFont="1" applyFill="1" applyAlignment="1">
      <alignment horizontal="center" vertical="center" wrapText="1" readingOrder="1"/>
    </xf>
    <xf numFmtId="9" fontId="34" fillId="27" borderId="140"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8" borderId="74" xfId="0" applyFont="1" applyFill="1" applyBorder="1" applyAlignment="1">
      <alignment horizontal="center" vertical="center" wrapText="1"/>
    </xf>
    <xf numFmtId="0" fontId="37" fillId="8" borderId="80" xfId="0" applyFont="1" applyFill="1" applyBorder="1" applyAlignment="1">
      <alignment horizontal="center" vertical="center" wrapText="1"/>
    </xf>
    <xf numFmtId="0" fontId="37" fillId="8" borderId="83" xfId="0" applyFont="1" applyFill="1" applyBorder="1" applyAlignment="1">
      <alignment horizontal="center" vertical="center" wrapText="1"/>
    </xf>
    <xf numFmtId="0" fontId="37" fillId="8" borderId="84" xfId="0" applyFont="1" applyFill="1" applyBorder="1" applyAlignment="1">
      <alignment horizontal="center" vertical="center" wrapText="1"/>
    </xf>
    <xf numFmtId="0" fontId="37" fillId="8" borderId="85" xfId="0" applyFont="1" applyFill="1" applyBorder="1" applyAlignment="1">
      <alignment horizontal="center" vertical="center" wrapText="1"/>
    </xf>
    <xf numFmtId="0" fontId="37" fillId="8" borderId="86" xfId="0" applyFont="1" applyFill="1" applyBorder="1" applyAlignment="1">
      <alignment horizontal="center" vertical="center" wrapText="1"/>
    </xf>
    <xf numFmtId="0" fontId="102" fillId="6" borderId="71" xfId="22" applyNumberFormat="1" applyFont="1" applyFill="1" applyBorder="1" applyAlignment="1">
      <alignment horizontal="center" vertical="center"/>
    </xf>
    <xf numFmtId="0" fontId="102" fillId="6" borderId="146" xfId="22" applyNumberFormat="1" applyFont="1" applyFill="1" applyBorder="1" applyAlignment="1">
      <alignment horizontal="center" vertical="center"/>
    </xf>
    <xf numFmtId="0" fontId="102" fillId="6" borderId="68" xfId="22" applyNumberFormat="1" applyFont="1" applyFill="1" applyBorder="1" applyAlignment="1">
      <alignment horizontal="center" vertical="center"/>
    </xf>
    <xf numFmtId="0" fontId="102" fillId="37" borderId="71" xfId="22" applyNumberFormat="1" applyFont="1" applyFill="1" applyBorder="1" applyAlignment="1">
      <alignment horizontal="center" vertical="center"/>
    </xf>
    <xf numFmtId="0" fontId="102" fillId="37" borderId="146" xfId="22" applyNumberFormat="1" applyFont="1" applyFill="1" applyBorder="1" applyAlignment="1">
      <alignment horizontal="center" vertical="center"/>
    </xf>
    <xf numFmtId="0" fontId="102" fillId="37" borderId="68" xfId="22" applyNumberFormat="1" applyFont="1" applyFill="1" applyBorder="1" applyAlignment="1">
      <alignment horizontal="center" vertical="center"/>
    </xf>
    <xf numFmtId="0" fontId="37" fillId="8" borderId="73" xfId="0" applyFont="1" applyFill="1" applyBorder="1" applyAlignment="1">
      <alignment horizontal="center" vertical="center" wrapText="1"/>
    </xf>
    <xf numFmtId="0" fontId="37" fillId="5" borderId="92" xfId="0" applyFont="1" applyFill="1" applyBorder="1" applyAlignment="1">
      <alignment horizontal="center" vertical="center" wrapText="1"/>
    </xf>
    <xf numFmtId="0" fontId="37" fillId="5" borderId="93" xfId="0" applyFont="1" applyFill="1" applyBorder="1" applyAlignment="1">
      <alignment horizontal="center" vertical="center" wrapText="1"/>
    </xf>
    <xf numFmtId="0" fontId="37" fillId="5" borderId="85" xfId="0" applyFont="1" applyFill="1" applyBorder="1" applyAlignment="1">
      <alignment horizontal="center" vertical="center" wrapText="1"/>
    </xf>
    <xf numFmtId="0" fontId="37" fillId="5" borderId="86" xfId="0" applyFont="1" applyFill="1" applyBorder="1" applyAlignment="1">
      <alignment horizontal="center" vertical="center" wrapText="1"/>
    </xf>
    <xf numFmtId="0" fontId="37" fillId="5" borderId="92" xfId="0" applyFont="1" applyFill="1" applyBorder="1" applyAlignment="1">
      <alignment horizontal="center" vertical="center"/>
    </xf>
    <xf numFmtId="0" fontId="37" fillId="5" borderId="93" xfId="0" applyFont="1" applyFill="1" applyBorder="1" applyAlignment="1">
      <alignment horizontal="center" vertical="center"/>
    </xf>
    <xf numFmtId="0" fontId="36" fillId="38" borderId="159" xfId="0" applyFont="1" applyFill="1" applyBorder="1" applyAlignment="1">
      <alignment horizontal="center" vertical="center" textRotation="90" wrapText="1"/>
    </xf>
    <xf numFmtId="0" fontId="36" fillId="38" borderId="0" xfId="0" applyFont="1" applyFill="1" applyBorder="1" applyAlignment="1">
      <alignment horizontal="center" vertical="center" textRotation="90" wrapText="1"/>
    </xf>
    <xf numFmtId="0" fontId="36" fillId="38" borderId="160" xfId="0" applyFont="1" applyFill="1" applyBorder="1" applyAlignment="1">
      <alignment horizontal="center" vertical="center" textRotation="90" wrapText="1"/>
    </xf>
    <xf numFmtId="0" fontId="36" fillId="56" borderId="143" xfId="22" applyFont="1" applyFill="1" applyBorder="1" applyAlignment="1">
      <alignment horizontal="center" vertical="center" textRotation="90" readingOrder="1"/>
    </xf>
    <xf numFmtId="0" fontId="36" fillId="56" borderId="0" xfId="22" applyFont="1" applyFill="1" applyAlignment="1">
      <alignment horizontal="center" vertical="center" textRotation="90" readingOrder="1"/>
    </xf>
    <xf numFmtId="0" fontId="110" fillId="0" borderId="0" xfId="19" applyFont="1" applyAlignment="1">
      <alignment horizontal="left" vertical="center"/>
    </xf>
    <xf numFmtId="0" fontId="147" fillId="2" borderId="67" xfId="22" applyFont="1" applyFill="1" applyBorder="1" applyAlignment="1">
      <alignment horizontal="center" vertical="center" textRotation="90" readingOrder="1"/>
    </xf>
    <xf numFmtId="0" fontId="147" fillId="2" borderId="91" xfId="22" applyFont="1" applyFill="1" applyBorder="1" applyAlignment="1">
      <alignment horizontal="center" vertical="center" textRotation="90" readingOrder="1"/>
    </xf>
    <xf numFmtId="0" fontId="147" fillId="14" borderId="67" xfId="22" applyFont="1" applyFill="1" applyBorder="1" applyAlignment="1">
      <alignment horizontal="center" vertical="center" textRotation="90" readingOrder="1"/>
    </xf>
    <xf numFmtId="0" fontId="147" fillId="14" borderId="91" xfId="22" applyFont="1" applyFill="1" applyBorder="1" applyAlignment="1">
      <alignment horizontal="center" vertical="center" textRotation="90" readingOrder="1"/>
    </xf>
    <xf numFmtId="0" fontId="147" fillId="14" borderId="69" xfId="22" applyFont="1" applyFill="1" applyBorder="1" applyAlignment="1">
      <alignment horizontal="center" vertical="center" textRotation="90" readingOrder="1"/>
    </xf>
    <xf numFmtId="0" fontId="147" fillId="38" borderId="67" xfId="22" applyFont="1" applyFill="1" applyBorder="1" applyAlignment="1">
      <alignment horizontal="center" vertical="center" textRotation="90" readingOrder="1"/>
    </xf>
    <xf numFmtId="0" fontId="147" fillId="38" borderId="91" xfId="22" applyFont="1" applyFill="1" applyBorder="1" applyAlignment="1">
      <alignment horizontal="center" vertical="center" textRotation="90" readingOrder="1"/>
    </xf>
    <xf numFmtId="0" fontId="147" fillId="38" borderId="69" xfId="22" applyFont="1" applyFill="1" applyBorder="1" applyAlignment="1">
      <alignment horizontal="center" vertical="center" textRotation="90" readingOrder="1"/>
    </xf>
    <xf numFmtId="0" fontId="147" fillId="9" borderId="67" xfId="22" applyFont="1" applyFill="1" applyBorder="1" applyAlignment="1">
      <alignment horizontal="center" vertical="center" textRotation="90" readingOrder="1"/>
    </xf>
    <xf numFmtId="0" fontId="147" fillId="9" borderId="91" xfId="22" applyFont="1" applyFill="1" applyBorder="1" applyAlignment="1">
      <alignment horizontal="center" vertical="center" textRotation="90" readingOrder="1"/>
    </xf>
    <xf numFmtId="0" fontId="147" fillId="9" borderId="69" xfId="22" applyFont="1" applyFill="1" applyBorder="1" applyAlignment="1">
      <alignment horizontal="center" vertical="center" textRotation="90" readingOrder="1"/>
    </xf>
    <xf numFmtId="0" fontId="147" fillId="16" borderId="67" xfId="22" applyFont="1" applyFill="1" applyBorder="1" applyAlignment="1">
      <alignment horizontal="center" vertical="center" textRotation="90" readingOrder="1"/>
    </xf>
    <xf numFmtId="0" fontId="147" fillId="16" borderId="91" xfId="22" applyFont="1" applyFill="1" applyBorder="1" applyAlignment="1">
      <alignment horizontal="center" vertical="center" textRotation="90" readingOrder="1"/>
    </xf>
    <xf numFmtId="0" fontId="147" fillId="16" borderId="69" xfId="22" applyFont="1" applyFill="1" applyBorder="1" applyAlignment="1">
      <alignment horizontal="center" vertical="center" textRotation="90" readingOrder="1"/>
    </xf>
    <xf numFmtId="0" fontId="112" fillId="0" borderId="0" xfId="19" applyFont="1" applyAlignment="1">
      <alignment horizontal="left" vertical="center"/>
    </xf>
    <xf numFmtId="0" fontId="69" fillId="0" borderId="0" xfId="0" applyFont="1" applyAlignment="1">
      <alignment horizontal="center"/>
    </xf>
    <xf numFmtId="0" fontId="76" fillId="0" borderId="105" xfId="0" applyFont="1" applyBorder="1" applyAlignment="1">
      <alignment horizontal="center" vertical="center" wrapText="1"/>
    </xf>
    <xf numFmtId="0" fontId="76" fillId="0" borderId="106" xfId="0" applyFont="1" applyBorder="1" applyAlignment="1">
      <alignment horizontal="center" vertical="center" wrapText="1"/>
    </xf>
    <xf numFmtId="0" fontId="15" fillId="0" borderId="0" xfId="0" applyFont="1" applyAlignment="1">
      <alignment horizontal="center"/>
    </xf>
    <xf numFmtId="0" fontId="19" fillId="0" borderId="0" xfId="0" applyFont="1" applyAlignment="1">
      <alignment horizontal="center"/>
    </xf>
    <xf numFmtId="0" fontId="93" fillId="41" borderId="0" xfId="0" applyFont="1" applyFill="1" applyAlignment="1">
      <alignment horizontal="center" vertical="center"/>
    </xf>
    <xf numFmtId="0" fontId="80" fillId="26" borderId="0" xfId="0" applyFont="1" applyFill="1" applyAlignment="1">
      <alignment horizontal="center" vertical="center" wrapText="1"/>
    </xf>
    <xf numFmtId="164" fontId="79"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928">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927"/>
      <tableStyleElement type="headerRow" dxfId="926"/>
    </tableStyle>
    <tableStyle name="4W Style" pivot="0" table="0" count="1" xr9:uid="{00000000-0011-0000-FFFF-FFFF01000000}">
      <tableStyleElement type="wholeTable" dxfId="925"/>
    </tableStyle>
    <tableStyle name="CUSTOM" table="0" count="13" xr9:uid="{00000000-0011-0000-FFFF-FFFF02000000}">
      <tableStyleElement type="wholeTable" dxfId="924"/>
      <tableStyleElement type="headerRow" dxfId="923"/>
      <tableStyleElement type="totalRow" dxfId="922"/>
      <tableStyleElement type="firstColumn" dxfId="921"/>
      <tableStyleElement type="firstRowStripe" dxfId="920"/>
      <tableStyleElement type="secondRowStripe" dxfId="919"/>
      <tableStyleElement type="firstColumnStripe" dxfId="918"/>
      <tableStyleElement type="firstSubtotalRow" dxfId="917"/>
      <tableStyleElement type="secondSubtotalRow" dxfId="916"/>
      <tableStyleElement type="secondColumnSubheading" dxfId="915"/>
      <tableStyleElement type="thirdColumnSubheading" dxfId="914"/>
      <tableStyleElement type="firstRowSubheading" dxfId="913"/>
      <tableStyleElement type="secondRowSubheading" dxfId="912"/>
    </tableStyle>
    <tableStyle name="PivotStyleLight10 2" table="0" count="12" xr9:uid="{00000000-0011-0000-FFFF-FFFF03000000}">
      <tableStyleElement type="wholeTable" dxfId="911"/>
      <tableStyleElement type="headerRow" dxfId="910"/>
      <tableStyleElement type="totalRow" dxfId="909"/>
      <tableStyleElement type="firstColumn" dxfId="908"/>
      <tableStyleElement type="firstRowStripe" dxfId="907"/>
      <tableStyleElement type="firstColumnStripe" dxfId="906"/>
      <tableStyleElement type="firstSubtotalRow" dxfId="905"/>
      <tableStyleElement type="secondSubtotalRow" dxfId="904"/>
      <tableStyleElement type="secondColumnSubheading" dxfId="903"/>
      <tableStyleElement type="thirdColumnSubheading" dxfId="902"/>
      <tableStyleElement type="firstRowSubheading" dxfId="901"/>
      <tableStyleElement type="secondRowSubheading" dxfId="900"/>
    </tableStyle>
    <tableStyle name="PivotStyleLight14 2" table="0" count="12" xr9:uid="{00000000-0011-0000-FFFF-FFFF04000000}">
      <tableStyleElement type="wholeTable" dxfId="899"/>
      <tableStyleElement type="headerRow" dxfId="898"/>
      <tableStyleElement type="totalRow" dxfId="897"/>
      <tableStyleElement type="firstColumn" dxfId="896"/>
      <tableStyleElement type="firstRowStripe" dxfId="895"/>
      <tableStyleElement type="firstColumnStripe" dxfId="894"/>
      <tableStyleElement type="firstSubtotalRow" dxfId="893"/>
      <tableStyleElement type="secondSubtotalRow" dxfId="892"/>
      <tableStyleElement type="secondColumnSubheading" dxfId="891"/>
      <tableStyleElement type="thirdColumnSubheading" dxfId="890"/>
      <tableStyleElement type="firstRowSubheading" dxfId="889"/>
      <tableStyleElement type="secondRowSubheading" dxfId="888"/>
    </tableStyle>
    <tableStyle name="PivotStyleLight23 2" table="0" count="10" xr9:uid="{00000000-0011-0000-FFFF-FFFF05000000}">
      <tableStyleElement type="wholeTable" dxfId="887"/>
      <tableStyleElement type="headerRow" dxfId="886"/>
      <tableStyleElement type="totalRow" dxfId="885"/>
      <tableStyleElement type="firstColumn" dxfId="884"/>
      <tableStyleElement type="firstRowStripe" dxfId="883"/>
      <tableStyleElement type="firstColumnStripe" dxfId="882"/>
      <tableStyleElement type="firstSubtotalColumn" dxfId="881"/>
      <tableStyleElement type="firstSubtotalRow" dxfId="880"/>
      <tableStyleElement type="secondSubtotalRow" dxfId="879"/>
      <tableStyleElement type="pageFieldLabels" dxfId="878"/>
    </tableStyle>
    <tableStyle name="PivotStyleLight9 2" table="0" count="13" xr9:uid="{00000000-0011-0000-FFFF-FFFF06000000}">
      <tableStyleElement type="wholeTable" dxfId="877"/>
      <tableStyleElement type="headerRow" dxfId="876"/>
      <tableStyleElement type="totalRow" dxfId="875"/>
      <tableStyleElement type="firstColumn" dxfId="874"/>
      <tableStyleElement type="firstRowStripe" dxfId="873"/>
      <tableStyleElement type="secondRowStripe" dxfId="872"/>
      <tableStyleElement type="firstColumnStripe" dxfId="871"/>
      <tableStyleElement type="firstSubtotalRow" dxfId="870"/>
      <tableStyleElement type="secondSubtotalRow" dxfId="869"/>
      <tableStyleElement type="secondColumnSubheading" dxfId="868"/>
      <tableStyleElement type="thirdColumnSubheading" dxfId="867"/>
      <tableStyleElement type="firstRowSubheading" dxfId="866"/>
      <tableStyleElement type="secondRowSubheading" dxfId="865"/>
    </tableStyle>
    <tableStyle name="PivotTable Style 1" table="0" count="1" xr9:uid="{00000000-0011-0000-FFFF-FFFF07000000}">
      <tableStyleElement type="wholeTable" dxfId="864"/>
    </tableStyle>
    <tableStyle name="PivotTable Style a" table="0" count="7" xr9:uid="{00000000-0011-0000-FFFF-FFFF08000000}">
      <tableStyleElement type="wholeTable" dxfId="863"/>
      <tableStyleElement type="headerRow" dxfId="862"/>
      <tableStyleElement type="totalRow" dxfId="861"/>
      <tableStyleElement type="firstColumn" dxfId="860"/>
      <tableStyleElement type="secondSubtotalRow" dxfId="859"/>
      <tableStyleElement type="firstRowSubheading" dxfId="858"/>
      <tableStyleElement type="secondRowSubheading" dxfId="857"/>
    </tableStyle>
    <tableStyle name="Slicer Style 1" pivot="0" table="0" count="5" xr9:uid="{00000000-0011-0000-FFFF-FFFF09000000}">
      <tableStyleElement type="wholeTable" dxfId="856"/>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4.xml"/><Relationship Id="rId39" Type="http://schemas.openxmlformats.org/officeDocument/2006/relationships/styles" Target="styles.xml"/><Relationship Id="rId21" Type="http://schemas.openxmlformats.org/officeDocument/2006/relationships/externalLink" Target="externalLinks/externalLink4.xml"/><Relationship Id="rId34" Type="http://schemas.microsoft.com/office/2007/relationships/slicerCache" Target="slicerCaches/slicerCache8.xml"/><Relationship Id="rId42" Type="http://schemas.openxmlformats.org/officeDocument/2006/relationships/powerPivotData" Target="model/item.data"/><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microsoft.com/office/2007/relationships/slicerCache" Target="slicerCaches/slicerCache6.xml"/><Relationship Id="rId37" Type="http://schemas.openxmlformats.org/officeDocument/2006/relationships/theme" Target="theme/theme1.xml"/><Relationship Id="rId40" Type="http://schemas.openxmlformats.org/officeDocument/2006/relationships/sharedStrings" Target="sharedStrings.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5.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microsoft.com/office/2007/relationships/slicerCache" Target="slicerCaches/slicerCache7.xml"/><Relationship Id="rId38" Type="http://schemas.openxmlformats.org/officeDocument/2006/relationships/connections" Target="connections.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[20230116_Myanmar_WASH_4W_2022_Q4_Rakhine_camp_Consolidate.xlsx]Sheet1!PivotTable8</c:name>
    <c:fmtId val="1"/>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r>
              <a:rPr lang="en-US" sz="1800" b="1" i="0" cap="all" baseline="0">
                <a:effectLst/>
              </a:rPr>
              <a:t># of 4W reporting partneRS in 2022 in Rakhine</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endParaRPr lang="en-US"/>
        </a:p>
      </c:txPr>
    </c:title>
    <c:autoTitleDeleted val="0"/>
    <c:pivotFmts>
      <c:pivotFmt>
        <c:idx val="0"/>
        <c:spPr>
          <a:ln w="31750" cap="rnd">
            <a:solidFill>
              <a:schemeClr val="accent1"/>
            </a:solidFill>
            <a:round/>
          </a:ln>
          <a:effectLst/>
        </c:spPr>
        <c:marker>
          <c:symbol val="circle"/>
          <c:size val="17"/>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cked"/>
        <c:varyColors val="0"/>
        <c:ser>
          <c:idx val="0"/>
          <c:order val="0"/>
          <c:tx>
            <c:strRef>
              <c:f>Sheet1!$B$3</c:f>
              <c:strCache>
                <c:ptCount val="1"/>
                <c:pt idx="0">
                  <c:v>Total</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Sheet1!$A$4:$A$8</c:f>
              <c:strCache>
                <c:ptCount val="4"/>
                <c:pt idx="0">
                  <c:v>2022_Q1</c:v>
                </c:pt>
                <c:pt idx="1">
                  <c:v>2022_Q2</c:v>
                </c:pt>
                <c:pt idx="2">
                  <c:v>2022_Q3</c:v>
                </c:pt>
                <c:pt idx="3">
                  <c:v>2022_Q4</c:v>
                </c:pt>
              </c:strCache>
            </c:strRef>
          </c:cat>
          <c:val>
            <c:numRef>
              <c:f>Sheet1!$B$4:$B$8</c:f>
              <c:numCache>
                <c:formatCode>General</c:formatCode>
                <c:ptCount val="4"/>
                <c:pt idx="0">
                  <c:v>6</c:v>
                </c:pt>
                <c:pt idx="1">
                  <c:v>6</c:v>
                </c:pt>
                <c:pt idx="2">
                  <c:v>6</c:v>
                </c:pt>
                <c:pt idx="3">
                  <c:v>6</c:v>
                </c:pt>
              </c:numCache>
            </c:numRef>
          </c:val>
          <c:smooth val="0"/>
          <c:extLst>
            <c:ext xmlns:c16="http://schemas.microsoft.com/office/drawing/2014/chart" uri="{C3380CC4-5D6E-409C-BE32-E72D297353CC}">
              <c16:uniqueId val="{00000000-BC9A-44BF-A32C-CAEA25F1A1F4}"/>
            </c:ext>
          </c:extLst>
        </c:ser>
        <c:dLbls>
          <c:dLblPos val="ctr"/>
          <c:showLegendKey val="0"/>
          <c:showVal val="1"/>
          <c:showCatName val="0"/>
          <c:showSerName val="0"/>
          <c:showPercent val="0"/>
          <c:showBubbleSize val="0"/>
        </c:dLbls>
        <c:marker val="1"/>
        <c:smooth val="0"/>
        <c:axId val="511619599"/>
        <c:axId val="511617935"/>
      </c:lineChart>
      <c:catAx>
        <c:axId val="51161959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11617935"/>
        <c:crosses val="autoZero"/>
        <c:auto val="1"/>
        <c:lblAlgn val="ctr"/>
        <c:lblOffset val="100"/>
        <c:noMultiLvlLbl val="0"/>
      </c:catAx>
      <c:valAx>
        <c:axId val="51161793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511619599"/>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5743</c:v>
                </c:pt>
                <c:pt idx="1">
                  <c:v>753</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CE36-475E-86D3-F17BC512A813}"/>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CE36-475E-86D3-F17BC512A813}"/>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61</c:v>
                </c:pt>
              </c:numCache>
            </c:numRef>
          </c:val>
          <c:extLst>
            <c:ext xmlns:c16="http://schemas.microsoft.com/office/drawing/2014/chart" uri="{C3380CC4-5D6E-409C-BE32-E72D297353CC}">
              <c16:uniqueId val="{00000003-CE36-475E-86D3-F17BC512A813}"/>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F88-4081-9E5B-64976B77BD7F}"/>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3027308849978708"/>
          <c:h val="9.32687603111597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0.96533118582645461</c:v>
                </c:pt>
                <c:pt idx="3">
                  <c:v>0.94931960654400893</c:v>
                </c:pt>
              </c:numCache>
            </c:numRef>
          </c:val>
          <c:extLst>
            <c:ext xmlns:c16="http://schemas.microsoft.com/office/drawing/2014/chart" uri="{C3380CC4-5D6E-409C-BE32-E72D297353CC}">
              <c16:uniqueId val="{00000001-9BD7-47EC-9EAB-D2452F4F8913}"/>
            </c:ext>
          </c:extLst>
        </c:ser>
        <c:ser>
          <c:idx val="1"/>
          <c:order val="1"/>
          <c:tx>
            <c:strRef>
              <c:f>Analysis!$D$83</c:f>
              <c:strCache>
                <c:ptCount val="1"/>
                <c:pt idx="0">
                  <c:v> % Water GAP</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3.4668814173545393E-2</c:v>
                </c:pt>
                <c:pt idx="3">
                  <c:v>5.0680393455991068E-2</c:v>
                </c:pt>
              </c:numCache>
            </c:numRef>
          </c:val>
          <c:extLst>
            <c:ext xmlns:c16="http://schemas.microsoft.com/office/drawing/2014/chart" uri="{C3380CC4-5D6E-409C-BE32-E72D297353CC}">
              <c16:uniqueId val="{00000002-9BD7-47EC-9EAB-D2452F4F8913}"/>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0.83225286893497086</c:v>
                </c:pt>
                <c:pt idx="3">
                  <c:v>0.77939962285306563</c:v>
                </c:pt>
              </c:numCache>
            </c:numRef>
          </c:val>
          <c:extLst>
            <c:ext xmlns:c16="http://schemas.microsoft.com/office/drawing/2014/chart" uri="{C3380CC4-5D6E-409C-BE32-E72D297353CC}">
              <c16:uniqueId val="{00000001-85E8-4688-8C1F-B94B57DDF47C}"/>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0.16774713106502914</c:v>
                </c:pt>
                <c:pt idx="3">
                  <c:v>0.22060037714693437</c:v>
                </c:pt>
              </c:numCache>
            </c:numRef>
          </c:val>
          <c:extLst>
            <c:ext xmlns:c16="http://schemas.microsoft.com/office/drawing/2014/chart" uri="{C3380CC4-5D6E-409C-BE32-E72D297353CC}">
              <c16:uniqueId val="{00000002-85E8-4688-8C1F-B94B57DDF47C}"/>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0.78272599154419165</c:v>
                </c:pt>
                <c:pt idx="3">
                  <c:v>0.85775697568080911</c:v>
                </c:pt>
              </c:numCache>
            </c:numRef>
          </c:val>
          <c:extLst>
            <c:ext xmlns:c16="http://schemas.microsoft.com/office/drawing/2014/chart" uri="{C3380CC4-5D6E-409C-BE32-E72D297353CC}">
              <c16:uniqueId val="{00000001-4A43-49A6-8130-8FC105EB916A}"/>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0.21727400845580835</c:v>
                </c:pt>
                <c:pt idx="3">
                  <c:v>0.14224302431919089</c:v>
                </c:pt>
              </c:numCache>
            </c:numRef>
          </c:val>
          <c:extLst>
            <c:ext xmlns:c16="http://schemas.microsoft.com/office/drawing/2014/chart" uri="{C3380CC4-5D6E-409C-BE32-E72D297353CC}">
              <c16:uniqueId val="{00000002-4A43-49A6-8130-8FC105EB916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2413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1</c:v>
                </c:pt>
                <c:pt idx="1">
                  <c:v>0.6359999999999999</c:v>
                </c:pt>
                <c:pt idx="2">
                  <c:v>0.61554285714285728</c:v>
                </c:pt>
                <c:pt idx="3">
                  <c:v>0.504</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c:v>
                </c:pt>
                <c:pt idx="1">
                  <c:v>0.3640000000000001</c:v>
                </c:pt>
                <c:pt idx="2">
                  <c:v>0.38445714285714272</c:v>
                </c:pt>
                <c:pt idx="3">
                  <c:v>0.496</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19</c:v>
                </c:pt>
                <c:pt idx="1">
                  <c:v>2</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0.99</c:v>
                </c:pt>
                <c:pt idx="1">
                  <c:v>0.46833333333333332</c:v>
                </c:pt>
                <c:pt idx="2">
                  <c:v>0.31551538461538464</c:v>
                </c:pt>
                <c:pt idx="3">
                  <c:v>0.3876470588235294</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1.0000000000000009E-2</c:v>
                </c:pt>
                <c:pt idx="1">
                  <c:v>0.53166666666666673</c:v>
                </c:pt>
                <c:pt idx="2">
                  <c:v>0.68448461538461536</c:v>
                </c:pt>
                <c:pt idx="3">
                  <c:v>0.61235294117647054</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2022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8250</c:v>
                </c:pt>
                <c:pt idx="2">
                  <c:v>7341</c:v>
                </c:pt>
                <c:pt idx="3">
                  <c:v>174967.06182531896</c:v>
                </c:pt>
                <c:pt idx="4">
                  <c:v>144207</c:v>
                </c:pt>
                <c:pt idx="5">
                  <c:v>177064</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2684.0500000000011</c:v>
                </c:pt>
                <c:pt idx="2">
                  <c:v>21087.530000000002</c:v>
                </c:pt>
                <c:pt idx="3">
                  <c:v>43713.93817468104</c:v>
                </c:pt>
                <c:pt idx="4">
                  <c:v>74474</c:v>
                </c:pt>
                <c:pt idx="5">
                  <c:v>41617</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0.9826666666666668</c:v>
                </c:pt>
                <c:pt idx="1">
                  <c:v>0.92399999999999993</c:v>
                </c:pt>
                <c:pt idx="2">
                  <c:v>0.50727272727272732</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1.7333333333333201E-2</c:v>
                </c:pt>
                <c:pt idx="1">
                  <c:v>7.6000000000000068E-2</c:v>
                </c:pt>
                <c:pt idx="2">
                  <c:v>0.49272727272727268</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2504</c:v>
                </c:pt>
                <c:pt idx="1">
                  <c:v>-2504</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0.78111111111111109</c:v>
                </c:pt>
                <c:pt idx="1">
                  <c:v>0.93461538461538463</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0.21888888888888891</c:v>
                </c:pt>
                <c:pt idx="1">
                  <c:v>6.5384615384615374E-2</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0.95588235294117629</c:v>
                </c:pt>
                <c:pt idx="1">
                  <c:v>0.97705882352941176</c:v>
                </c:pt>
                <c:pt idx="2">
                  <c:v>0.88823529411764701</c:v>
                </c:pt>
                <c:pt idx="3">
                  <c:v>0.97812500000000013</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4.4117647058823706E-2</c:v>
                </c:pt>
                <c:pt idx="1">
                  <c:v>2.2941176470588243E-2</c:v>
                </c:pt>
                <c:pt idx="2">
                  <c:v>0.11176470588235299</c:v>
                </c:pt>
                <c:pt idx="3">
                  <c:v>2.1874999999999867E-2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48587</c:v>
                </c:pt>
                <c:pt idx="1">
                  <c:v>14209</c:v>
                </c:pt>
                <c:pt idx="2">
                  <c:v>21156</c:v>
                </c:pt>
                <c:pt idx="3">
                  <c:v>22118</c:v>
                </c:pt>
                <c:pt idx="4">
                  <c:v>20876</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600</c:v>
                </c:pt>
                <c:pt idx="1">
                  <c:v>5960.43</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1193</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106</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93</c:v>
                </c:pt>
                <c:pt idx="1">
                  <c:v>642</c:v>
                </c:pt>
                <c:pt idx="2">
                  <c:v>1117</c:v>
                </c:pt>
                <c:pt idx="3">
                  <c:v>3891</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125</c:v>
                </c:pt>
                <c:pt idx="3">
                  <c:v>1014</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4905</c:v>
                </c:pt>
              </c:numCache>
            </c:numRef>
          </c:val>
          <c:extLst>
            <c:ext xmlns:c16="http://schemas.microsoft.com/office/drawing/2014/chart" uri="{C3380CC4-5D6E-409C-BE32-E72D297353CC}">
              <c16:uniqueId val="{00000001-E821-4A8A-895B-6FAC610C53E9}"/>
            </c:ext>
          </c:extLst>
        </c:ser>
        <c:ser>
          <c:idx val="1"/>
          <c:order val="1"/>
          <c:tx>
            <c:strRef>
              <c:f>Analysis!$R$121</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93</c:v>
                </c:pt>
                <c:pt idx="1">
                  <c:v>642</c:v>
                </c:pt>
                <c:pt idx="2">
                  <c:v>1117</c:v>
                </c:pt>
                <c:pt idx="3">
                  <c:v>3891</c:v>
                </c:pt>
              </c:numCache>
            </c:numRef>
          </c:val>
          <c:extLst>
            <c:ext xmlns:c16="http://schemas.microsoft.com/office/drawing/2014/chart" uri="{C3380CC4-5D6E-409C-BE32-E72D297353CC}">
              <c16:uniqueId val="{00000002-E821-4A8A-895B-6FAC610C53E9}"/>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11.67741935483871</c:v>
                </c:pt>
                <c:pt idx="1">
                  <c:v>4.5482866043613708</c:v>
                </c:pt>
                <c:pt idx="2">
                  <c:v>22.233661593554164</c:v>
                </c:pt>
                <c:pt idx="3">
                  <c:v>25.21331277306605</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0.87479096020507818</c:v>
                </c:pt>
                <c:pt idx="1">
                  <c:v>0.8386945692355039</c:v>
                </c:pt>
                <c:pt idx="2">
                  <c:v>0.94781704177530568</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0.12520903979492182</c:v>
                </c:pt>
                <c:pt idx="1">
                  <c:v>0.1613054307644961</c:v>
                </c:pt>
                <c:pt idx="2">
                  <c:v>5.218295822469432E-2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8250</c:v>
                </c:pt>
                <c:pt idx="1">
                  <c:v>2684.0500000000011</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8A29-4A30-AC46-69CD52F25EF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844538837981573"/>
          <c:h val="0.132693937391107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2022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8250</c:v>
                </c:pt>
                <c:pt idx="2">
                  <c:v>7341</c:v>
                </c:pt>
                <c:pt idx="3">
                  <c:v>174967.06182531896</c:v>
                </c:pt>
                <c:pt idx="4">
                  <c:v>144207</c:v>
                </c:pt>
                <c:pt idx="5">
                  <c:v>177064</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2684.0500000000011</c:v>
                </c:pt>
                <c:pt idx="2">
                  <c:v>21087.530000000002</c:v>
                </c:pt>
                <c:pt idx="3">
                  <c:v>43713.93817468104</c:v>
                </c:pt>
                <c:pt idx="4">
                  <c:v>74474</c:v>
                </c:pt>
                <c:pt idx="5">
                  <c:v>41617</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8969-4196-B217-7CF53BAA8E96}"/>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969-4196-B217-7CF53BAA8E96}"/>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61</c:v>
                </c:pt>
              </c:numCache>
            </c:numRef>
          </c:val>
          <c:extLst>
            <c:ext xmlns:c16="http://schemas.microsoft.com/office/drawing/2014/chart" uri="{C3380CC4-5D6E-409C-BE32-E72D297353CC}">
              <c16:uniqueId val="{00000003-8969-4196-B217-7CF53BAA8E96}"/>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69572</c:v>
                </c:pt>
                <c:pt idx="1">
                  <c:v>13270</c:v>
                </c:pt>
                <c:pt idx="2">
                  <c:v>37352</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57374</c:v>
                </c:pt>
                <c:pt idx="1">
                  <c:v>10739</c:v>
                </c:pt>
                <c:pt idx="2">
                  <c:v>731.79999999999563</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0.78111111111111109</c:v>
                </c:pt>
                <c:pt idx="1">
                  <c:v>0.93461538461538463</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0.21888888888888891</c:v>
                </c:pt>
                <c:pt idx="1">
                  <c:v>6.5384615384615374E-2</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4089375539528248E-2"/>
                  <c:y val="-0.1246465396589644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48587</c:v>
                </c:pt>
                <c:pt idx="1">
                  <c:v>14209</c:v>
                </c:pt>
                <c:pt idx="2">
                  <c:v>21156</c:v>
                </c:pt>
                <c:pt idx="3">
                  <c:v>22118</c:v>
                </c:pt>
                <c:pt idx="4">
                  <c:v>20876</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0.9826666666666668</c:v>
                </c:pt>
                <c:pt idx="1">
                  <c:v>0.92399999999999993</c:v>
                </c:pt>
                <c:pt idx="2">
                  <c:v>0.50727272727272732</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1.7333333333333201E-2</c:v>
                </c:pt>
                <c:pt idx="1">
                  <c:v>7.6000000000000068E-2</c:v>
                </c:pt>
                <c:pt idx="2">
                  <c:v>0.49272727272727268</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2504</c:v>
                </c:pt>
                <c:pt idx="1">
                  <c:v>-2504</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2022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600</c:v>
                </c:pt>
                <c:pt idx="1">
                  <c:v>8250</c:v>
                </c:pt>
                <c:pt idx="2">
                  <c:v>52192</c:v>
                </c:pt>
                <c:pt idx="3">
                  <c:v>485279.06182531896</c:v>
                </c:pt>
                <c:pt idx="4">
                  <c:v>232607</c:v>
                </c:pt>
                <c:pt idx="5">
                  <c:v>396572</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5960.4299999999994</c:v>
                </c:pt>
                <c:pt idx="1">
                  <c:v>2684.0500000000011</c:v>
                </c:pt>
                <c:pt idx="2">
                  <c:v>5568.0856757798465</c:v>
                </c:pt>
                <c:pt idx="3">
                  <c:v>26717.494932479516</c:v>
                </c:pt>
                <c:pt idx="4">
                  <c:v>44737.111351559695</c:v>
                </c:pt>
                <c:pt idx="5">
                  <c:v>56761.445406238781</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600</c:v>
                </c:pt>
                <c:pt idx="1">
                  <c:v>5960.43</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Q4-2022</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2457262152549895E-2"/>
          <c:y val="0.24915140139404465"/>
          <c:w val="0.41781983735604472"/>
          <c:h val="0.49331934355136947"/>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Q4-2022</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1712577036206757E-2"/>
          <c:y val="0.22722428451504645"/>
          <c:w val="0.42021292803110644"/>
          <c:h val="0.4961450093990936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7.0116740933223412E-2"/>
                  <c:y val="-0.1593833135715497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dLbl>
              <c:idx val="1"/>
              <c:layout>
                <c:manualLayout>
                  <c:x val="6.475848503915671E-2"/>
                  <c:y val="8.3324944597223366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19</c:v>
                </c:pt>
                <c:pt idx="1">
                  <c:v>2</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1</c:v>
                </c:pt>
                <c:pt idx="1">
                  <c:v>0.6359999999999999</c:v>
                </c:pt>
                <c:pt idx="2">
                  <c:v>0.61554285714285728</c:v>
                </c:pt>
                <c:pt idx="3">
                  <c:v>0.504</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c:v>
                </c:pt>
                <c:pt idx="1">
                  <c:v>0.3640000000000001</c:v>
                </c:pt>
                <c:pt idx="2">
                  <c:v>0.38445714285714272</c:v>
                </c:pt>
                <c:pt idx="3">
                  <c:v>0.496</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0.99</c:v>
                </c:pt>
                <c:pt idx="1">
                  <c:v>0.46833333333333332</c:v>
                </c:pt>
                <c:pt idx="2">
                  <c:v>0.31551538461538464</c:v>
                </c:pt>
                <c:pt idx="3">
                  <c:v>0.3876470588235294</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1.0000000000000009E-2</c:v>
                </c:pt>
                <c:pt idx="1">
                  <c:v>0.53166666666666673</c:v>
                </c:pt>
                <c:pt idx="2">
                  <c:v>0.68448461538461536</c:v>
                </c:pt>
                <c:pt idx="3">
                  <c:v>0.61235294117647054</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1193</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106</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4905</c:v>
                </c:pt>
              </c:numCache>
            </c:numRef>
          </c:val>
          <c:extLst>
            <c:ext xmlns:c16="http://schemas.microsoft.com/office/drawing/2014/chart" uri="{C3380CC4-5D6E-409C-BE32-E72D297353CC}">
              <c16:uniqueId val="{00000001-0AF5-4655-A39B-D841DD8CDB0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93</c:v>
                </c:pt>
                <c:pt idx="1">
                  <c:v>642</c:v>
                </c:pt>
                <c:pt idx="2">
                  <c:v>1117</c:v>
                </c:pt>
                <c:pt idx="3">
                  <c:v>3891</c:v>
                </c:pt>
              </c:numCache>
            </c:numRef>
          </c:val>
          <c:extLst>
            <c:ext xmlns:c16="http://schemas.microsoft.com/office/drawing/2014/chart" uri="{C3380CC4-5D6E-409C-BE32-E72D297353CC}">
              <c16:uniqueId val="{00000002-0AF5-4655-A39B-D841DD8CDB0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5743</c:v>
                </c:pt>
                <c:pt idx="1">
                  <c:v>753</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93</c:v>
                </c:pt>
                <c:pt idx="1">
                  <c:v>642</c:v>
                </c:pt>
                <c:pt idx="2">
                  <c:v>1117</c:v>
                </c:pt>
                <c:pt idx="3">
                  <c:v>3891</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125</c:v>
                </c:pt>
                <c:pt idx="3">
                  <c:v>1014</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201617592689614"/>
          <c:y val="0.11733253832614851"/>
          <c:w val="0.43160469272842111"/>
          <c:h val="0.78872758462362569"/>
        </c:manualLayout>
      </c:layout>
      <c:barChart>
        <c:barDir val="bar"/>
        <c:grouping val="clustered"/>
        <c:varyColors val="0"/>
        <c:ser>
          <c:idx val="0"/>
          <c:order val="0"/>
          <c:tx>
            <c:strRef>
              <c:f>Analysis!$L$349:$L$350</c:f>
              <c:strCache>
                <c:ptCount val="1"/>
                <c:pt idx="0">
                  <c:v>2022_Q1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0.96142857142857152</c:v>
                </c:pt>
                <c:pt idx="1">
                  <c:v>0.97428571428571431</c:v>
                </c:pt>
                <c:pt idx="2">
                  <c:v>0.93285714285714272</c:v>
                </c:pt>
                <c:pt idx="3">
                  <c:v>0.96714285714285719</c:v>
                </c:pt>
              </c:numCache>
            </c:numRef>
          </c:val>
          <c:extLst>
            <c:ext xmlns:c16="http://schemas.microsoft.com/office/drawing/2014/chart" uri="{C3380CC4-5D6E-409C-BE32-E72D297353CC}">
              <c16:uniqueId val="{00000000-1CB0-4432-AF45-FEC7FFD614CC}"/>
            </c:ext>
          </c:extLst>
        </c:ser>
        <c:ser>
          <c:idx val="1"/>
          <c:order val="1"/>
          <c:tx>
            <c:strRef>
              <c:f>Analysis!$M$349:$M$350</c:f>
              <c:strCache>
                <c:ptCount val="1"/>
                <c:pt idx="0">
                  <c:v>2022_Q2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Analysis!$M$351:$M$354</c:f>
              <c:numCache>
                <c:formatCode>0%</c:formatCode>
                <c:ptCount val="4"/>
                <c:pt idx="0">
                  <c:v>0.96875</c:v>
                </c:pt>
                <c:pt idx="1">
                  <c:v>0.92428571428571438</c:v>
                </c:pt>
                <c:pt idx="2">
                  <c:v>0.87249999999999994</c:v>
                </c:pt>
                <c:pt idx="3">
                  <c:v>0.98199999999999998</c:v>
                </c:pt>
              </c:numCache>
            </c:numRef>
          </c:val>
          <c:extLst>
            <c:ext xmlns:c16="http://schemas.microsoft.com/office/drawing/2014/chart" uri="{C3380CC4-5D6E-409C-BE32-E72D297353CC}">
              <c16:uniqueId val="{00000000-F55B-4EBA-A227-F166BE2BA2AD}"/>
            </c:ext>
          </c:extLst>
        </c:ser>
        <c:ser>
          <c:idx val="2"/>
          <c:order val="2"/>
          <c:tx>
            <c:strRef>
              <c:f>Analysis!$N$349:$N$350</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Analysis!$N$351:$N$354</c:f>
              <c:numCache>
                <c:formatCode>0%</c:formatCode>
                <c:ptCount val="4"/>
                <c:pt idx="0">
                  <c:v>0.95750000000000002</c:v>
                </c:pt>
                <c:pt idx="1">
                  <c:v>0.98166666666666658</c:v>
                </c:pt>
                <c:pt idx="2">
                  <c:v>0.9</c:v>
                </c:pt>
                <c:pt idx="3">
                  <c:v>0.98133333333333328</c:v>
                </c:pt>
              </c:numCache>
            </c:numRef>
          </c:val>
          <c:extLst>
            <c:ext xmlns:c16="http://schemas.microsoft.com/office/drawing/2014/chart" uri="{C3380CC4-5D6E-409C-BE32-E72D297353CC}">
              <c16:uniqueId val="{00000000-1535-4D72-B7AC-5D95F2AF570C}"/>
            </c:ext>
          </c:extLst>
        </c:ser>
        <c:ser>
          <c:idx val="3"/>
          <c:order val="3"/>
          <c:tx>
            <c:strRef>
              <c:f>Analysis!$O$349:$O$350</c:f>
              <c:strCache>
                <c:ptCount val="1"/>
                <c:pt idx="0">
                  <c:v>2022_Q4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Analysis!$O$351:$O$354</c:f>
              <c:numCache>
                <c:formatCode>0%</c:formatCode>
                <c:ptCount val="4"/>
                <c:pt idx="0">
                  <c:v>0.95588235294117652</c:v>
                </c:pt>
                <c:pt idx="1">
                  <c:v>0.97705882352941176</c:v>
                </c:pt>
                <c:pt idx="2">
                  <c:v>0.88823529411764712</c:v>
                </c:pt>
                <c:pt idx="3">
                  <c:v>0.97812499999999991</c:v>
                </c:pt>
              </c:numCache>
            </c:numRef>
          </c:val>
          <c:extLst>
            <c:ext xmlns:c16="http://schemas.microsoft.com/office/drawing/2014/chart" uri="{C3380CC4-5D6E-409C-BE32-E72D297353CC}">
              <c16:uniqueId val="{00000000-9CB0-4597-9515-6C1F3FBDAA1F}"/>
            </c:ext>
          </c:extLst>
        </c:ser>
        <c:dLbls>
          <c:showLegendKey val="0"/>
          <c:showVal val="0"/>
          <c:showCatName val="0"/>
          <c:showSerName val="0"/>
          <c:showPercent val="0"/>
          <c:showBubbleSize val="0"/>
        </c:dLbls>
        <c:gapWidth val="10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69572</c:v>
                </c:pt>
                <c:pt idx="1">
                  <c:v>13270</c:v>
                </c:pt>
                <c:pt idx="2">
                  <c:v>37352</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57374</c:v>
                </c:pt>
                <c:pt idx="1">
                  <c:v>10739</c:v>
                </c:pt>
                <c:pt idx="2">
                  <c:v>731.79999999999563</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a:t>
            </a:r>
            <a:r>
              <a:rPr lang="en-US" sz="1400" baseline="0"/>
              <a:t> adult l</a:t>
            </a:r>
            <a:r>
              <a:rPr lang="en-US" sz="1400"/>
              <a:t>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dLbl>
              <c:idx val="1"/>
              <c:layout>
                <c:manualLayout>
                  <c:x val="-4.5931212395587244E-17"/>
                  <c:y val="0.121808211473565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20C-B25F-AC58E9CA63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11.67741935483871</c:v>
                </c:pt>
                <c:pt idx="1">
                  <c:v>4.5482866043613708</c:v>
                </c:pt>
                <c:pt idx="2">
                  <c:v>22.233661593554164</c:v>
                </c:pt>
                <c:pt idx="3">
                  <c:v>25.21331277306605</c:v>
                </c:pt>
              </c:numCache>
            </c:numRef>
          </c:val>
          <c:extLst>
            <c:ext xmlns:c16="http://schemas.microsoft.com/office/drawing/2014/chart" uri="{C3380CC4-5D6E-409C-BE32-E72D297353CC}">
              <c16:uniqueId val="{00000000-9662-4B42-9662-25B5CFD36952}"/>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8250</c:v>
                </c:pt>
                <c:pt idx="1">
                  <c:v>2684.0500000000011</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0.93092670407789313</c:v>
              </c:pt>
            </c:numLit>
          </c:val>
          <c:extLst>
            <c:ext xmlns:c16="http://schemas.microsoft.com/office/drawing/2014/chart" uri="{C3380CC4-5D6E-409C-BE32-E72D297353CC}">
              <c16:uniqueId val="{00000000-B25E-48DD-A768-023E9FCA8794}"/>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3.5221618311318079E-2</c:v>
              </c:pt>
            </c:numLit>
          </c:val>
          <c:extLst>
            <c:ext xmlns:c16="http://schemas.microsoft.com/office/drawing/2014/chart" uri="{C3380CC4-5D6E-409C-BE32-E72D297353CC}">
              <c16:uniqueId val="{00000001-B25E-48DD-A768-023E9FCA8794}"/>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3.3851677610788777E-2</c:v>
              </c:pt>
            </c:numLit>
          </c:val>
          <c:extLst>
            <c:ext xmlns:c16="http://schemas.microsoft.com/office/drawing/2014/chart" uri="{C3380CC4-5D6E-409C-BE32-E72D297353CC}">
              <c16:uniqueId val="{00000002-B25E-48DD-A768-023E9FCA8794}"/>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2022-Q4(US$)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37-4992-A812-0E220BA0D3D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6372728.0199660221</c:v>
                </c:pt>
              </c:numCache>
            </c:numRef>
          </c:val>
          <c:extLst>
            <c:ext xmlns:c16="http://schemas.microsoft.com/office/drawing/2014/chart" uri="{C3380CC4-5D6E-409C-BE32-E72D297353CC}">
              <c16:uniqueId val="{00000001-AF37-4992-A812-0E220BA0D3D3}"/>
            </c:ext>
          </c:extLst>
        </c:ser>
        <c:ser>
          <c:idx val="1"/>
          <c:order val="1"/>
          <c:tx>
            <c:strRef>
              <c:f>'[5]Rakhine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37-4992-A812-0E220BA0D3D3}"/>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1960528.2799273848</c:v>
                </c:pt>
              </c:numCache>
            </c:numRef>
          </c:val>
          <c:extLst>
            <c:ext xmlns:c16="http://schemas.microsoft.com/office/drawing/2014/chart" uri="{C3380CC4-5D6E-409C-BE32-E72D297353CC}">
              <c16:uniqueId val="{00000003-AF37-4992-A812-0E220BA0D3D3}"/>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44421428.210557453</c:v>
                </c:pt>
              </c:numCache>
            </c:numRef>
          </c:val>
          <c:extLst>
            <c:ext xmlns:c16="http://schemas.microsoft.com/office/drawing/2014/chart" uri="{C3380CC4-5D6E-409C-BE32-E72D297353CC}">
              <c16:uniqueId val="{00000004-AF37-4992-A812-0E220BA0D3D3}"/>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15580695.542950964</c:v>
              </c:pt>
              <c:pt idx="1">
                <c:v>12050813.337857373</c:v>
              </c:pt>
              <c:pt idx="2">
                <c:v>9943345.2996201273</c:v>
              </c:pt>
              <c:pt idx="3">
                <c:v>11762621.003452344</c:v>
              </c:pt>
              <c:pt idx="4">
                <c:v>9174187.4809060954</c:v>
              </c:pt>
              <c:pt idx="5">
                <c:v>8553853.0160714611</c:v>
              </c:pt>
              <c:pt idx="6">
                <c:v>9737184.166425392</c:v>
              </c:pt>
              <c:pt idx="7">
                <c:v>12125178.812405156</c:v>
              </c:pt>
              <c:pt idx="8">
                <c:v>10252467.095433494</c:v>
              </c:pt>
              <c:pt idx="9">
                <c:v>8333256.2998934072</c:v>
              </c:pt>
            </c:numLit>
          </c:val>
          <c:smooth val="0"/>
          <c:extLst>
            <c:ext xmlns:c16="http://schemas.microsoft.com/office/drawing/2014/chart" uri="{C3380CC4-5D6E-409C-BE32-E72D297353CC}">
              <c16:uniqueId val="{00000000-4B54-4DCF-B2FD-BDF964866EFA}"/>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4323</c:v>
                </c:pt>
                <c:pt idx="1">
                  <c:v>11680</c:v>
                </c:pt>
                <c:pt idx="2">
                  <c:v>98989</c:v>
                </c:pt>
                <c:pt idx="3">
                  <c:v>374233</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4323</c:v>
                </c:pt>
                <c:pt idx="1">
                  <c:v>0</c:v>
                </c:pt>
                <c:pt idx="2">
                  <c:v>91916</c:v>
                </c:pt>
                <c:pt idx="3">
                  <c:v>285624.08395123063</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4323</c:v>
                </c:pt>
                <c:pt idx="1">
                  <c:v>11680</c:v>
                </c:pt>
                <c:pt idx="2">
                  <c:v>79512</c:v>
                </c:pt>
                <c:pt idx="3">
                  <c:v>313638</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4323</c:v>
                </c:pt>
                <c:pt idx="1">
                  <c:v>6000.0000000000009</c:v>
                </c:pt>
                <c:pt idx="2">
                  <c:v>97267</c:v>
                </c:pt>
                <c:pt idx="3">
                  <c:v>365789</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[20230116_Myanmar_WASH_4W_2022_Q4_Rakhine_camp_Consolidate.xlsx]By Camps!PivotTable1</c:name>
    <c:fmtId val="4"/>
  </c:pivotSource>
  <c:chart>
    <c:title>
      <c:tx>
        <c:strRef>
          <c:f>'By Camps'!$B$34</c:f>
          <c:strCache>
            <c:ptCount val="1"/>
            <c:pt idx="0">
              <c:v>2022_Q4</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1086</c:v>
                </c:pt>
                <c:pt idx="6">
                  <c:v>6680</c:v>
                </c:pt>
                <c:pt idx="7">
                  <c:v>3486</c:v>
                </c:pt>
                <c:pt idx="8">
                  <c:v>5024</c:v>
                </c:pt>
                <c:pt idx="9">
                  <c:v>5137</c:v>
                </c:pt>
                <c:pt idx="10">
                  <c:v>3095</c:v>
                </c:pt>
                <c:pt idx="11">
                  <c:v>13302</c:v>
                </c:pt>
                <c:pt idx="12">
                  <c:v>12495</c:v>
                </c:pt>
                <c:pt idx="13">
                  <c:v>11564</c:v>
                </c:pt>
                <c:pt idx="14">
                  <c:v>2861</c:v>
                </c:pt>
                <c:pt idx="15">
                  <c:v>2920</c:v>
                </c:pt>
                <c:pt idx="16">
                  <c:v>12972</c:v>
                </c:pt>
                <c:pt idx="17">
                  <c:v>5950</c:v>
                </c:pt>
                <c:pt idx="18">
                  <c:v>2262</c:v>
                </c:pt>
                <c:pt idx="19">
                  <c:v>2248</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3995</c:v>
                </c:pt>
                <c:pt idx="1">
                  <c:v>2482.4499999999998</c:v>
                </c:pt>
                <c:pt idx="2">
                  <c:v>2495.054347826087</c:v>
                </c:pt>
                <c:pt idx="3">
                  <c:v>3209.7771173848441</c:v>
                </c:pt>
                <c:pt idx="4">
                  <c:v>11715</c:v>
                </c:pt>
                <c:pt idx="5">
                  <c:v>1086</c:v>
                </c:pt>
                <c:pt idx="6">
                  <c:v>4954</c:v>
                </c:pt>
                <c:pt idx="7">
                  <c:v>3486</c:v>
                </c:pt>
                <c:pt idx="8">
                  <c:v>3757</c:v>
                </c:pt>
                <c:pt idx="9">
                  <c:v>3872</c:v>
                </c:pt>
                <c:pt idx="10">
                  <c:v>3095</c:v>
                </c:pt>
                <c:pt idx="11">
                  <c:v>13302</c:v>
                </c:pt>
                <c:pt idx="12">
                  <c:v>12495</c:v>
                </c:pt>
                <c:pt idx="13">
                  <c:v>11564</c:v>
                </c:pt>
                <c:pt idx="14">
                  <c:v>2861</c:v>
                </c:pt>
                <c:pt idx="15">
                  <c:v>0</c:v>
                </c:pt>
                <c:pt idx="16">
                  <c:v>7147.9666339548576</c:v>
                </c:pt>
                <c:pt idx="17">
                  <c:v>5950</c:v>
                </c:pt>
                <c:pt idx="18">
                  <c:v>2262</c:v>
                </c:pt>
                <c:pt idx="19">
                  <c:v>2248</c:v>
                </c:pt>
                <c:pt idx="20">
                  <c:v>2698</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4276</c:v>
                </c:pt>
                <c:pt idx="1">
                  <c:v>2460</c:v>
                </c:pt>
                <c:pt idx="2">
                  <c:v>4806</c:v>
                </c:pt>
                <c:pt idx="3">
                  <c:v>4553</c:v>
                </c:pt>
                <c:pt idx="4">
                  <c:v>10425</c:v>
                </c:pt>
                <c:pt idx="5">
                  <c:v>1086</c:v>
                </c:pt>
                <c:pt idx="6">
                  <c:v>5074</c:v>
                </c:pt>
                <c:pt idx="7">
                  <c:v>3362</c:v>
                </c:pt>
                <c:pt idx="8">
                  <c:v>3727</c:v>
                </c:pt>
                <c:pt idx="9">
                  <c:v>4731</c:v>
                </c:pt>
                <c:pt idx="10">
                  <c:v>3095</c:v>
                </c:pt>
                <c:pt idx="11">
                  <c:v>9540</c:v>
                </c:pt>
                <c:pt idx="12">
                  <c:v>12495</c:v>
                </c:pt>
                <c:pt idx="13">
                  <c:v>9711</c:v>
                </c:pt>
                <c:pt idx="14">
                  <c:v>2861</c:v>
                </c:pt>
                <c:pt idx="15">
                  <c:v>2920</c:v>
                </c:pt>
                <c:pt idx="16">
                  <c:v>5333</c:v>
                </c:pt>
                <c:pt idx="17">
                  <c:v>4078</c:v>
                </c:pt>
                <c:pt idx="18">
                  <c:v>1778</c:v>
                </c:pt>
                <c:pt idx="19">
                  <c:v>2129</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1086</c:v>
                </c:pt>
                <c:pt idx="6">
                  <c:v>6680</c:v>
                </c:pt>
                <c:pt idx="7">
                  <c:v>3486</c:v>
                </c:pt>
                <c:pt idx="8">
                  <c:v>5024</c:v>
                </c:pt>
                <c:pt idx="9">
                  <c:v>5137</c:v>
                </c:pt>
                <c:pt idx="10">
                  <c:v>3095</c:v>
                </c:pt>
                <c:pt idx="11">
                  <c:v>13302</c:v>
                </c:pt>
                <c:pt idx="12">
                  <c:v>12495</c:v>
                </c:pt>
                <c:pt idx="13">
                  <c:v>11564</c:v>
                </c:pt>
                <c:pt idx="14">
                  <c:v>2000</c:v>
                </c:pt>
                <c:pt idx="15">
                  <c:v>1500.0000000000002</c:v>
                </c:pt>
                <c:pt idx="16">
                  <c:v>7999.9999999999991</c:v>
                </c:pt>
                <c:pt idx="17">
                  <c:v>5950</c:v>
                </c:pt>
                <c:pt idx="18">
                  <c:v>2262</c:v>
                </c:pt>
                <c:pt idx="19">
                  <c:v>2248</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[20230116_Myanmar_WASH_4W_2022_Q4_Rakhine_camp_Consolidate.xlsx]Tracking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Dashboard'!$L$5:$M$110</c:f>
              <c:multiLvlStrCache>
                <c:ptCount val="84"/>
                <c:lvl>
                  <c:pt idx="0">
                    <c:v>2022_Q1</c:v>
                  </c:pt>
                  <c:pt idx="1">
                    <c:v>2022_Q2</c:v>
                  </c:pt>
                  <c:pt idx="2">
                    <c:v>2022_Q3</c:v>
                  </c:pt>
                  <c:pt idx="3">
                    <c:v>2022_Q4</c:v>
                  </c:pt>
                  <c:pt idx="4">
                    <c:v>2022_Q1</c:v>
                  </c:pt>
                  <c:pt idx="5">
                    <c:v>2022_Q2</c:v>
                  </c:pt>
                  <c:pt idx="6">
                    <c:v>2022_Q3</c:v>
                  </c:pt>
                  <c:pt idx="7">
                    <c:v>2022_Q4</c:v>
                  </c:pt>
                  <c:pt idx="8">
                    <c:v>2022_Q1</c:v>
                  </c:pt>
                  <c:pt idx="9">
                    <c:v>2022_Q2</c:v>
                  </c:pt>
                  <c:pt idx="10">
                    <c:v>2022_Q3</c:v>
                  </c:pt>
                  <c:pt idx="11">
                    <c:v>2022_Q4</c:v>
                  </c:pt>
                  <c:pt idx="12">
                    <c:v>2022_Q1</c:v>
                  </c:pt>
                  <c:pt idx="13">
                    <c:v>2022_Q2</c:v>
                  </c:pt>
                  <c:pt idx="14">
                    <c:v>2022_Q3</c:v>
                  </c:pt>
                  <c:pt idx="15">
                    <c:v>2022_Q4</c:v>
                  </c:pt>
                  <c:pt idx="16">
                    <c:v>2022_Q1</c:v>
                  </c:pt>
                  <c:pt idx="17">
                    <c:v>2022_Q2</c:v>
                  </c:pt>
                  <c:pt idx="18">
                    <c:v>2022_Q3</c:v>
                  </c:pt>
                  <c:pt idx="19">
                    <c:v>2022_Q4</c:v>
                  </c:pt>
                  <c:pt idx="20">
                    <c:v>2022_Q1</c:v>
                  </c:pt>
                  <c:pt idx="21">
                    <c:v>2022_Q2</c:v>
                  </c:pt>
                  <c:pt idx="22">
                    <c:v>2022_Q3</c:v>
                  </c:pt>
                  <c:pt idx="23">
                    <c:v>2022_Q4</c:v>
                  </c:pt>
                  <c:pt idx="24">
                    <c:v>2022_Q1</c:v>
                  </c:pt>
                  <c:pt idx="25">
                    <c:v>2022_Q2</c:v>
                  </c:pt>
                  <c:pt idx="26">
                    <c:v>2022_Q3</c:v>
                  </c:pt>
                  <c:pt idx="27">
                    <c:v>2022_Q4</c:v>
                  </c:pt>
                  <c:pt idx="28">
                    <c:v>2022_Q1</c:v>
                  </c:pt>
                  <c:pt idx="29">
                    <c:v>2022_Q2</c:v>
                  </c:pt>
                  <c:pt idx="30">
                    <c:v>2022_Q3</c:v>
                  </c:pt>
                  <c:pt idx="31">
                    <c:v>2022_Q4</c:v>
                  </c:pt>
                  <c:pt idx="32">
                    <c:v>2022_Q1</c:v>
                  </c:pt>
                  <c:pt idx="33">
                    <c:v>2022_Q2</c:v>
                  </c:pt>
                  <c:pt idx="34">
                    <c:v>2022_Q3</c:v>
                  </c:pt>
                  <c:pt idx="35">
                    <c:v>2022_Q4</c:v>
                  </c:pt>
                  <c:pt idx="36">
                    <c:v>2022_Q1</c:v>
                  </c:pt>
                  <c:pt idx="37">
                    <c:v>2022_Q2</c:v>
                  </c:pt>
                  <c:pt idx="38">
                    <c:v>2022_Q3</c:v>
                  </c:pt>
                  <c:pt idx="39">
                    <c:v>2022_Q4</c:v>
                  </c:pt>
                  <c:pt idx="40">
                    <c:v>2022_Q1</c:v>
                  </c:pt>
                  <c:pt idx="41">
                    <c:v>2022_Q2</c:v>
                  </c:pt>
                  <c:pt idx="42">
                    <c:v>2022_Q3</c:v>
                  </c:pt>
                  <c:pt idx="43">
                    <c:v>2022_Q4</c:v>
                  </c:pt>
                  <c:pt idx="44">
                    <c:v>2022_Q1</c:v>
                  </c:pt>
                  <c:pt idx="45">
                    <c:v>2022_Q2</c:v>
                  </c:pt>
                  <c:pt idx="46">
                    <c:v>2022_Q3</c:v>
                  </c:pt>
                  <c:pt idx="47">
                    <c:v>2022_Q4</c:v>
                  </c:pt>
                  <c:pt idx="48">
                    <c:v>2022_Q1</c:v>
                  </c:pt>
                  <c:pt idx="49">
                    <c:v>2022_Q2</c:v>
                  </c:pt>
                  <c:pt idx="50">
                    <c:v>2022_Q3</c:v>
                  </c:pt>
                  <c:pt idx="51">
                    <c:v>2022_Q4</c:v>
                  </c:pt>
                  <c:pt idx="52">
                    <c:v>2022_Q1</c:v>
                  </c:pt>
                  <c:pt idx="53">
                    <c:v>2022_Q2</c:v>
                  </c:pt>
                  <c:pt idx="54">
                    <c:v>2022_Q3</c:v>
                  </c:pt>
                  <c:pt idx="55">
                    <c:v>2022_Q4</c:v>
                  </c:pt>
                  <c:pt idx="56">
                    <c:v>2022_Q1</c:v>
                  </c:pt>
                  <c:pt idx="57">
                    <c:v>2022_Q2</c:v>
                  </c:pt>
                  <c:pt idx="58">
                    <c:v>2022_Q3</c:v>
                  </c:pt>
                  <c:pt idx="59">
                    <c:v>2022_Q4</c:v>
                  </c:pt>
                  <c:pt idx="60">
                    <c:v>2022_Q1</c:v>
                  </c:pt>
                  <c:pt idx="61">
                    <c:v>2022_Q2</c:v>
                  </c:pt>
                  <c:pt idx="62">
                    <c:v>2022_Q3</c:v>
                  </c:pt>
                  <c:pt idx="63">
                    <c:v>2022_Q4</c:v>
                  </c:pt>
                  <c:pt idx="64">
                    <c:v>2022_Q1</c:v>
                  </c:pt>
                  <c:pt idx="65">
                    <c:v>2022_Q2</c:v>
                  </c:pt>
                  <c:pt idx="66">
                    <c:v>2022_Q3</c:v>
                  </c:pt>
                  <c:pt idx="67">
                    <c:v>2022_Q4</c:v>
                  </c:pt>
                  <c:pt idx="68">
                    <c:v>2022_Q1</c:v>
                  </c:pt>
                  <c:pt idx="69">
                    <c:v>2022_Q2</c:v>
                  </c:pt>
                  <c:pt idx="70">
                    <c:v>2022_Q3</c:v>
                  </c:pt>
                  <c:pt idx="71">
                    <c:v>2022_Q4</c:v>
                  </c:pt>
                  <c:pt idx="72">
                    <c:v>2022_Q1</c:v>
                  </c:pt>
                  <c:pt idx="73">
                    <c:v>2022_Q2</c:v>
                  </c:pt>
                  <c:pt idx="74">
                    <c:v>2022_Q3</c:v>
                  </c:pt>
                  <c:pt idx="75">
                    <c:v>2022_Q4</c:v>
                  </c:pt>
                  <c:pt idx="76">
                    <c:v>2022_Q1</c:v>
                  </c:pt>
                  <c:pt idx="77">
                    <c:v>2022_Q2</c:v>
                  </c:pt>
                  <c:pt idx="78">
                    <c:v>2022_Q3</c:v>
                  </c:pt>
                  <c:pt idx="79">
                    <c:v>2022_Q4</c:v>
                  </c:pt>
                  <c:pt idx="80">
                    <c:v>2022_Q1</c:v>
                  </c:pt>
                  <c:pt idx="81">
                    <c:v>2022_Q2</c:v>
                  </c:pt>
                  <c:pt idx="82">
                    <c:v>2022_Q3</c:v>
                  </c:pt>
                  <c:pt idx="83">
                    <c:v>2022_Q4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Dashboard'!$N$5:$N$110</c:f>
              <c:numCache>
                <c:formatCode>General</c:formatCode>
                <c:ptCount val="84"/>
                <c:pt idx="0">
                  <c:v>5133</c:v>
                </c:pt>
                <c:pt idx="1">
                  <c:v>5133</c:v>
                </c:pt>
                <c:pt idx="2">
                  <c:v>5133</c:v>
                </c:pt>
                <c:pt idx="3">
                  <c:v>3995</c:v>
                </c:pt>
                <c:pt idx="4">
                  <c:v>2139</c:v>
                </c:pt>
                <c:pt idx="5">
                  <c:v>2489</c:v>
                </c:pt>
                <c:pt idx="6">
                  <c:v>2489</c:v>
                </c:pt>
                <c:pt idx="7">
                  <c:v>2482.4499999999998</c:v>
                </c:pt>
                <c:pt idx="8">
                  <c:v>4875</c:v>
                </c:pt>
                <c:pt idx="9">
                  <c:v>5101</c:v>
                </c:pt>
                <c:pt idx="10">
                  <c:v>5101</c:v>
                </c:pt>
                <c:pt idx="11">
                  <c:v>2495.054347826087</c:v>
                </c:pt>
                <c:pt idx="12">
                  <c:v>7033</c:v>
                </c:pt>
                <c:pt idx="13">
                  <c:v>8630.7340267459131</c:v>
                </c:pt>
                <c:pt idx="14">
                  <c:v>8728</c:v>
                </c:pt>
                <c:pt idx="15">
                  <c:v>3209.7771173848441</c:v>
                </c:pt>
                <c:pt idx="16">
                  <c:v>11056</c:v>
                </c:pt>
                <c:pt idx="17">
                  <c:v>11715</c:v>
                </c:pt>
                <c:pt idx="18">
                  <c:v>11715</c:v>
                </c:pt>
                <c:pt idx="19">
                  <c:v>11715</c:v>
                </c:pt>
                <c:pt idx="20">
                  <c:v>1067</c:v>
                </c:pt>
                <c:pt idx="21">
                  <c:v>1084</c:v>
                </c:pt>
                <c:pt idx="22">
                  <c:v>1086</c:v>
                </c:pt>
                <c:pt idx="23">
                  <c:v>1086</c:v>
                </c:pt>
                <c:pt idx="24">
                  <c:v>6674</c:v>
                </c:pt>
                <c:pt idx="25">
                  <c:v>6680</c:v>
                </c:pt>
                <c:pt idx="26">
                  <c:v>6680</c:v>
                </c:pt>
                <c:pt idx="27">
                  <c:v>4954</c:v>
                </c:pt>
                <c:pt idx="28">
                  <c:v>0</c:v>
                </c:pt>
                <c:pt idx="29">
                  <c:v>3486</c:v>
                </c:pt>
                <c:pt idx="30">
                  <c:v>3486</c:v>
                </c:pt>
                <c:pt idx="31">
                  <c:v>3486</c:v>
                </c:pt>
                <c:pt idx="32">
                  <c:v>5024</c:v>
                </c:pt>
                <c:pt idx="33">
                  <c:v>5024</c:v>
                </c:pt>
                <c:pt idx="34">
                  <c:v>5024</c:v>
                </c:pt>
                <c:pt idx="35">
                  <c:v>3757</c:v>
                </c:pt>
                <c:pt idx="36">
                  <c:v>5137</c:v>
                </c:pt>
                <c:pt idx="37">
                  <c:v>5137</c:v>
                </c:pt>
                <c:pt idx="38">
                  <c:v>5137</c:v>
                </c:pt>
                <c:pt idx="39">
                  <c:v>3872</c:v>
                </c:pt>
                <c:pt idx="40">
                  <c:v>0</c:v>
                </c:pt>
                <c:pt idx="41">
                  <c:v>3095</c:v>
                </c:pt>
                <c:pt idx="42">
                  <c:v>3095</c:v>
                </c:pt>
                <c:pt idx="43">
                  <c:v>3095</c:v>
                </c:pt>
                <c:pt idx="44">
                  <c:v>0</c:v>
                </c:pt>
                <c:pt idx="45">
                  <c:v>13302</c:v>
                </c:pt>
                <c:pt idx="46">
                  <c:v>13302</c:v>
                </c:pt>
                <c:pt idx="47">
                  <c:v>13302</c:v>
                </c:pt>
                <c:pt idx="48">
                  <c:v>0</c:v>
                </c:pt>
                <c:pt idx="49">
                  <c:v>12495</c:v>
                </c:pt>
                <c:pt idx="50">
                  <c:v>6811</c:v>
                </c:pt>
                <c:pt idx="51">
                  <c:v>12495</c:v>
                </c:pt>
                <c:pt idx="52">
                  <c:v>0</c:v>
                </c:pt>
                <c:pt idx="53">
                  <c:v>11564</c:v>
                </c:pt>
                <c:pt idx="54">
                  <c:v>11564</c:v>
                </c:pt>
                <c:pt idx="55">
                  <c:v>11564</c:v>
                </c:pt>
                <c:pt idx="56">
                  <c:v>2516</c:v>
                </c:pt>
                <c:pt idx="57">
                  <c:v>2861</c:v>
                </c:pt>
                <c:pt idx="58">
                  <c:v>1184</c:v>
                </c:pt>
                <c:pt idx="59">
                  <c:v>2861</c:v>
                </c:pt>
                <c:pt idx="60">
                  <c:v>0</c:v>
                </c:pt>
                <c:pt idx="61">
                  <c:v>0</c:v>
                </c:pt>
                <c:pt idx="62">
                  <c:v>0</c:v>
                </c:pt>
                <c:pt idx="63">
                  <c:v>0</c:v>
                </c:pt>
                <c:pt idx="64">
                  <c:v>0</c:v>
                </c:pt>
                <c:pt idx="65">
                  <c:v>6016</c:v>
                </c:pt>
                <c:pt idx="66">
                  <c:v>7167.0618253189405</c:v>
                </c:pt>
                <c:pt idx="67">
                  <c:v>7147.9666339548576</c:v>
                </c:pt>
                <c:pt idx="68">
                  <c:v>0</c:v>
                </c:pt>
                <c:pt idx="69">
                  <c:v>5950</c:v>
                </c:pt>
                <c:pt idx="70">
                  <c:v>5950</c:v>
                </c:pt>
                <c:pt idx="71">
                  <c:v>5950</c:v>
                </c:pt>
                <c:pt idx="72">
                  <c:v>0</c:v>
                </c:pt>
                <c:pt idx="73">
                  <c:v>2262</c:v>
                </c:pt>
                <c:pt idx="74">
                  <c:v>2262</c:v>
                </c:pt>
                <c:pt idx="75">
                  <c:v>2262</c:v>
                </c:pt>
                <c:pt idx="76">
                  <c:v>0</c:v>
                </c:pt>
                <c:pt idx="77">
                  <c:v>2203.04</c:v>
                </c:pt>
                <c:pt idx="78">
                  <c:v>2248</c:v>
                </c:pt>
                <c:pt idx="79">
                  <c:v>2248</c:v>
                </c:pt>
                <c:pt idx="80">
                  <c:v>0</c:v>
                </c:pt>
                <c:pt idx="81">
                  <c:v>2698</c:v>
                </c:pt>
                <c:pt idx="82">
                  <c:v>1446</c:v>
                </c:pt>
                <c:pt idx="83">
                  <c:v>2698</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Dashboard'!$L$5:$M$110</c:f>
              <c:multiLvlStrCache>
                <c:ptCount val="84"/>
                <c:lvl>
                  <c:pt idx="0">
                    <c:v>2022_Q1</c:v>
                  </c:pt>
                  <c:pt idx="1">
                    <c:v>2022_Q2</c:v>
                  </c:pt>
                  <c:pt idx="2">
                    <c:v>2022_Q3</c:v>
                  </c:pt>
                  <c:pt idx="3">
                    <c:v>2022_Q4</c:v>
                  </c:pt>
                  <c:pt idx="4">
                    <c:v>2022_Q1</c:v>
                  </c:pt>
                  <c:pt idx="5">
                    <c:v>2022_Q2</c:v>
                  </c:pt>
                  <c:pt idx="6">
                    <c:v>2022_Q3</c:v>
                  </c:pt>
                  <c:pt idx="7">
                    <c:v>2022_Q4</c:v>
                  </c:pt>
                  <c:pt idx="8">
                    <c:v>2022_Q1</c:v>
                  </c:pt>
                  <c:pt idx="9">
                    <c:v>2022_Q2</c:v>
                  </c:pt>
                  <c:pt idx="10">
                    <c:v>2022_Q3</c:v>
                  </c:pt>
                  <c:pt idx="11">
                    <c:v>2022_Q4</c:v>
                  </c:pt>
                  <c:pt idx="12">
                    <c:v>2022_Q1</c:v>
                  </c:pt>
                  <c:pt idx="13">
                    <c:v>2022_Q2</c:v>
                  </c:pt>
                  <c:pt idx="14">
                    <c:v>2022_Q3</c:v>
                  </c:pt>
                  <c:pt idx="15">
                    <c:v>2022_Q4</c:v>
                  </c:pt>
                  <c:pt idx="16">
                    <c:v>2022_Q1</c:v>
                  </c:pt>
                  <c:pt idx="17">
                    <c:v>2022_Q2</c:v>
                  </c:pt>
                  <c:pt idx="18">
                    <c:v>2022_Q3</c:v>
                  </c:pt>
                  <c:pt idx="19">
                    <c:v>2022_Q4</c:v>
                  </c:pt>
                  <c:pt idx="20">
                    <c:v>2022_Q1</c:v>
                  </c:pt>
                  <c:pt idx="21">
                    <c:v>2022_Q2</c:v>
                  </c:pt>
                  <c:pt idx="22">
                    <c:v>2022_Q3</c:v>
                  </c:pt>
                  <c:pt idx="23">
                    <c:v>2022_Q4</c:v>
                  </c:pt>
                  <c:pt idx="24">
                    <c:v>2022_Q1</c:v>
                  </c:pt>
                  <c:pt idx="25">
                    <c:v>2022_Q2</c:v>
                  </c:pt>
                  <c:pt idx="26">
                    <c:v>2022_Q3</c:v>
                  </c:pt>
                  <c:pt idx="27">
                    <c:v>2022_Q4</c:v>
                  </c:pt>
                  <c:pt idx="28">
                    <c:v>2022_Q1</c:v>
                  </c:pt>
                  <c:pt idx="29">
                    <c:v>2022_Q2</c:v>
                  </c:pt>
                  <c:pt idx="30">
                    <c:v>2022_Q3</c:v>
                  </c:pt>
                  <c:pt idx="31">
                    <c:v>2022_Q4</c:v>
                  </c:pt>
                  <c:pt idx="32">
                    <c:v>2022_Q1</c:v>
                  </c:pt>
                  <c:pt idx="33">
                    <c:v>2022_Q2</c:v>
                  </c:pt>
                  <c:pt idx="34">
                    <c:v>2022_Q3</c:v>
                  </c:pt>
                  <c:pt idx="35">
                    <c:v>2022_Q4</c:v>
                  </c:pt>
                  <c:pt idx="36">
                    <c:v>2022_Q1</c:v>
                  </c:pt>
                  <c:pt idx="37">
                    <c:v>2022_Q2</c:v>
                  </c:pt>
                  <c:pt idx="38">
                    <c:v>2022_Q3</c:v>
                  </c:pt>
                  <c:pt idx="39">
                    <c:v>2022_Q4</c:v>
                  </c:pt>
                  <c:pt idx="40">
                    <c:v>2022_Q1</c:v>
                  </c:pt>
                  <c:pt idx="41">
                    <c:v>2022_Q2</c:v>
                  </c:pt>
                  <c:pt idx="42">
                    <c:v>2022_Q3</c:v>
                  </c:pt>
                  <c:pt idx="43">
                    <c:v>2022_Q4</c:v>
                  </c:pt>
                  <c:pt idx="44">
                    <c:v>2022_Q1</c:v>
                  </c:pt>
                  <c:pt idx="45">
                    <c:v>2022_Q2</c:v>
                  </c:pt>
                  <c:pt idx="46">
                    <c:v>2022_Q3</c:v>
                  </c:pt>
                  <c:pt idx="47">
                    <c:v>2022_Q4</c:v>
                  </c:pt>
                  <c:pt idx="48">
                    <c:v>2022_Q1</c:v>
                  </c:pt>
                  <c:pt idx="49">
                    <c:v>2022_Q2</c:v>
                  </c:pt>
                  <c:pt idx="50">
                    <c:v>2022_Q3</c:v>
                  </c:pt>
                  <c:pt idx="51">
                    <c:v>2022_Q4</c:v>
                  </c:pt>
                  <c:pt idx="52">
                    <c:v>2022_Q1</c:v>
                  </c:pt>
                  <c:pt idx="53">
                    <c:v>2022_Q2</c:v>
                  </c:pt>
                  <c:pt idx="54">
                    <c:v>2022_Q3</c:v>
                  </c:pt>
                  <c:pt idx="55">
                    <c:v>2022_Q4</c:v>
                  </c:pt>
                  <c:pt idx="56">
                    <c:v>2022_Q1</c:v>
                  </c:pt>
                  <c:pt idx="57">
                    <c:v>2022_Q2</c:v>
                  </c:pt>
                  <c:pt idx="58">
                    <c:v>2022_Q3</c:v>
                  </c:pt>
                  <c:pt idx="59">
                    <c:v>2022_Q4</c:v>
                  </c:pt>
                  <c:pt idx="60">
                    <c:v>2022_Q1</c:v>
                  </c:pt>
                  <c:pt idx="61">
                    <c:v>2022_Q2</c:v>
                  </c:pt>
                  <c:pt idx="62">
                    <c:v>2022_Q3</c:v>
                  </c:pt>
                  <c:pt idx="63">
                    <c:v>2022_Q4</c:v>
                  </c:pt>
                  <c:pt idx="64">
                    <c:v>2022_Q1</c:v>
                  </c:pt>
                  <c:pt idx="65">
                    <c:v>2022_Q2</c:v>
                  </c:pt>
                  <c:pt idx="66">
                    <c:v>2022_Q3</c:v>
                  </c:pt>
                  <c:pt idx="67">
                    <c:v>2022_Q4</c:v>
                  </c:pt>
                  <c:pt idx="68">
                    <c:v>2022_Q1</c:v>
                  </c:pt>
                  <c:pt idx="69">
                    <c:v>2022_Q2</c:v>
                  </c:pt>
                  <c:pt idx="70">
                    <c:v>2022_Q3</c:v>
                  </c:pt>
                  <c:pt idx="71">
                    <c:v>2022_Q4</c:v>
                  </c:pt>
                  <c:pt idx="72">
                    <c:v>2022_Q1</c:v>
                  </c:pt>
                  <c:pt idx="73">
                    <c:v>2022_Q2</c:v>
                  </c:pt>
                  <c:pt idx="74">
                    <c:v>2022_Q3</c:v>
                  </c:pt>
                  <c:pt idx="75">
                    <c:v>2022_Q4</c:v>
                  </c:pt>
                  <c:pt idx="76">
                    <c:v>2022_Q1</c:v>
                  </c:pt>
                  <c:pt idx="77">
                    <c:v>2022_Q2</c:v>
                  </c:pt>
                  <c:pt idx="78">
                    <c:v>2022_Q3</c:v>
                  </c:pt>
                  <c:pt idx="79">
                    <c:v>2022_Q4</c:v>
                  </c:pt>
                  <c:pt idx="80">
                    <c:v>2022_Q1</c:v>
                  </c:pt>
                  <c:pt idx="81">
                    <c:v>2022_Q2</c:v>
                  </c:pt>
                  <c:pt idx="82">
                    <c:v>2022_Q3</c:v>
                  </c:pt>
                  <c:pt idx="83">
                    <c:v>2022_Q4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Dashboard'!$O$5:$O$110</c:f>
              <c:numCache>
                <c:formatCode>General</c:formatCode>
                <c:ptCount val="84"/>
                <c:pt idx="0">
                  <c:v>3960</c:v>
                </c:pt>
                <c:pt idx="1">
                  <c:v>4516</c:v>
                </c:pt>
                <c:pt idx="2">
                  <c:v>4396</c:v>
                </c:pt>
                <c:pt idx="3">
                  <c:v>4276</c:v>
                </c:pt>
                <c:pt idx="4">
                  <c:v>2139</c:v>
                </c:pt>
                <c:pt idx="5">
                  <c:v>2300</c:v>
                </c:pt>
                <c:pt idx="6">
                  <c:v>2480</c:v>
                </c:pt>
                <c:pt idx="7">
                  <c:v>2460</c:v>
                </c:pt>
                <c:pt idx="8">
                  <c:v>4875</c:v>
                </c:pt>
                <c:pt idx="9">
                  <c:v>4500</c:v>
                </c:pt>
                <c:pt idx="10">
                  <c:v>4606</c:v>
                </c:pt>
                <c:pt idx="11">
                  <c:v>4806</c:v>
                </c:pt>
                <c:pt idx="12">
                  <c:v>5540</c:v>
                </c:pt>
                <c:pt idx="13">
                  <c:v>4800</c:v>
                </c:pt>
                <c:pt idx="14">
                  <c:v>5933</c:v>
                </c:pt>
                <c:pt idx="15">
                  <c:v>4553</c:v>
                </c:pt>
                <c:pt idx="16">
                  <c:v>9068</c:v>
                </c:pt>
                <c:pt idx="17">
                  <c:v>8920</c:v>
                </c:pt>
                <c:pt idx="18">
                  <c:v>11005</c:v>
                </c:pt>
                <c:pt idx="19">
                  <c:v>10425</c:v>
                </c:pt>
                <c:pt idx="20">
                  <c:v>1067</c:v>
                </c:pt>
                <c:pt idx="21">
                  <c:v>1084</c:v>
                </c:pt>
                <c:pt idx="22">
                  <c:v>1086</c:v>
                </c:pt>
                <c:pt idx="23">
                  <c:v>1086</c:v>
                </c:pt>
                <c:pt idx="24">
                  <c:v>4669</c:v>
                </c:pt>
                <c:pt idx="25">
                  <c:v>5074</c:v>
                </c:pt>
                <c:pt idx="26">
                  <c:v>5074</c:v>
                </c:pt>
                <c:pt idx="27">
                  <c:v>5074</c:v>
                </c:pt>
                <c:pt idx="28">
                  <c:v>3486</c:v>
                </c:pt>
                <c:pt idx="29">
                  <c:v>2922</c:v>
                </c:pt>
                <c:pt idx="30">
                  <c:v>3486</c:v>
                </c:pt>
                <c:pt idx="31">
                  <c:v>3362</c:v>
                </c:pt>
                <c:pt idx="32">
                  <c:v>3040</c:v>
                </c:pt>
                <c:pt idx="33">
                  <c:v>3687</c:v>
                </c:pt>
                <c:pt idx="34">
                  <c:v>3807</c:v>
                </c:pt>
                <c:pt idx="35">
                  <c:v>3727</c:v>
                </c:pt>
                <c:pt idx="36">
                  <c:v>3720</c:v>
                </c:pt>
                <c:pt idx="37">
                  <c:v>4031</c:v>
                </c:pt>
                <c:pt idx="38">
                  <c:v>4631</c:v>
                </c:pt>
                <c:pt idx="39">
                  <c:v>4731</c:v>
                </c:pt>
                <c:pt idx="40">
                  <c:v>2819</c:v>
                </c:pt>
                <c:pt idx="41">
                  <c:v>3095</c:v>
                </c:pt>
                <c:pt idx="42">
                  <c:v>3095</c:v>
                </c:pt>
                <c:pt idx="43">
                  <c:v>3095</c:v>
                </c:pt>
                <c:pt idx="44">
                  <c:v>11440</c:v>
                </c:pt>
                <c:pt idx="45">
                  <c:v>12960</c:v>
                </c:pt>
                <c:pt idx="46">
                  <c:v>12760</c:v>
                </c:pt>
                <c:pt idx="47">
                  <c:v>9540</c:v>
                </c:pt>
                <c:pt idx="48">
                  <c:v>11478</c:v>
                </c:pt>
                <c:pt idx="49">
                  <c:v>12495</c:v>
                </c:pt>
                <c:pt idx="50">
                  <c:v>12495</c:v>
                </c:pt>
                <c:pt idx="51">
                  <c:v>12495</c:v>
                </c:pt>
                <c:pt idx="52">
                  <c:v>8891</c:v>
                </c:pt>
                <c:pt idx="53">
                  <c:v>9871</c:v>
                </c:pt>
                <c:pt idx="54">
                  <c:v>9851</c:v>
                </c:pt>
                <c:pt idx="55">
                  <c:v>9711</c:v>
                </c:pt>
                <c:pt idx="56">
                  <c:v>2516</c:v>
                </c:pt>
                <c:pt idx="57">
                  <c:v>2861</c:v>
                </c:pt>
                <c:pt idx="58">
                  <c:v>2861</c:v>
                </c:pt>
                <c:pt idx="59">
                  <c:v>2861</c:v>
                </c:pt>
                <c:pt idx="60">
                  <c:v>2920</c:v>
                </c:pt>
                <c:pt idx="61">
                  <c:v>2920</c:v>
                </c:pt>
                <c:pt idx="62">
                  <c:v>2920</c:v>
                </c:pt>
                <c:pt idx="63">
                  <c:v>2920</c:v>
                </c:pt>
                <c:pt idx="64">
                  <c:v>4386</c:v>
                </c:pt>
                <c:pt idx="65">
                  <c:v>4440</c:v>
                </c:pt>
                <c:pt idx="66">
                  <c:v>5153</c:v>
                </c:pt>
                <c:pt idx="67">
                  <c:v>5333</c:v>
                </c:pt>
                <c:pt idx="68">
                  <c:v>4958</c:v>
                </c:pt>
                <c:pt idx="69">
                  <c:v>5578</c:v>
                </c:pt>
                <c:pt idx="70">
                  <c:v>5058</c:v>
                </c:pt>
                <c:pt idx="71">
                  <c:v>4078</c:v>
                </c:pt>
                <c:pt idx="72">
                  <c:v>2186</c:v>
                </c:pt>
                <c:pt idx="73">
                  <c:v>1820</c:v>
                </c:pt>
                <c:pt idx="74">
                  <c:v>2238</c:v>
                </c:pt>
                <c:pt idx="75">
                  <c:v>1778</c:v>
                </c:pt>
                <c:pt idx="76">
                  <c:v>2248</c:v>
                </c:pt>
                <c:pt idx="77">
                  <c:v>1989</c:v>
                </c:pt>
                <c:pt idx="78">
                  <c:v>1969</c:v>
                </c:pt>
                <c:pt idx="79">
                  <c:v>2129</c:v>
                </c:pt>
                <c:pt idx="80">
                  <c:v>2446</c:v>
                </c:pt>
                <c:pt idx="81">
                  <c:v>2698</c:v>
                </c:pt>
                <c:pt idx="82">
                  <c:v>2698</c:v>
                </c:pt>
                <c:pt idx="83">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Dashboard'!$L$5:$M$110</c:f>
              <c:multiLvlStrCache>
                <c:ptCount val="84"/>
                <c:lvl>
                  <c:pt idx="0">
                    <c:v>2022_Q1</c:v>
                  </c:pt>
                  <c:pt idx="1">
                    <c:v>2022_Q2</c:v>
                  </c:pt>
                  <c:pt idx="2">
                    <c:v>2022_Q3</c:v>
                  </c:pt>
                  <c:pt idx="3">
                    <c:v>2022_Q4</c:v>
                  </c:pt>
                  <c:pt idx="4">
                    <c:v>2022_Q1</c:v>
                  </c:pt>
                  <c:pt idx="5">
                    <c:v>2022_Q2</c:v>
                  </c:pt>
                  <c:pt idx="6">
                    <c:v>2022_Q3</c:v>
                  </c:pt>
                  <c:pt idx="7">
                    <c:v>2022_Q4</c:v>
                  </c:pt>
                  <c:pt idx="8">
                    <c:v>2022_Q1</c:v>
                  </c:pt>
                  <c:pt idx="9">
                    <c:v>2022_Q2</c:v>
                  </c:pt>
                  <c:pt idx="10">
                    <c:v>2022_Q3</c:v>
                  </c:pt>
                  <c:pt idx="11">
                    <c:v>2022_Q4</c:v>
                  </c:pt>
                  <c:pt idx="12">
                    <c:v>2022_Q1</c:v>
                  </c:pt>
                  <c:pt idx="13">
                    <c:v>2022_Q2</c:v>
                  </c:pt>
                  <c:pt idx="14">
                    <c:v>2022_Q3</c:v>
                  </c:pt>
                  <c:pt idx="15">
                    <c:v>2022_Q4</c:v>
                  </c:pt>
                  <c:pt idx="16">
                    <c:v>2022_Q1</c:v>
                  </c:pt>
                  <c:pt idx="17">
                    <c:v>2022_Q2</c:v>
                  </c:pt>
                  <c:pt idx="18">
                    <c:v>2022_Q3</c:v>
                  </c:pt>
                  <c:pt idx="19">
                    <c:v>2022_Q4</c:v>
                  </c:pt>
                  <c:pt idx="20">
                    <c:v>2022_Q1</c:v>
                  </c:pt>
                  <c:pt idx="21">
                    <c:v>2022_Q2</c:v>
                  </c:pt>
                  <c:pt idx="22">
                    <c:v>2022_Q3</c:v>
                  </c:pt>
                  <c:pt idx="23">
                    <c:v>2022_Q4</c:v>
                  </c:pt>
                  <c:pt idx="24">
                    <c:v>2022_Q1</c:v>
                  </c:pt>
                  <c:pt idx="25">
                    <c:v>2022_Q2</c:v>
                  </c:pt>
                  <c:pt idx="26">
                    <c:v>2022_Q3</c:v>
                  </c:pt>
                  <c:pt idx="27">
                    <c:v>2022_Q4</c:v>
                  </c:pt>
                  <c:pt idx="28">
                    <c:v>2022_Q1</c:v>
                  </c:pt>
                  <c:pt idx="29">
                    <c:v>2022_Q2</c:v>
                  </c:pt>
                  <c:pt idx="30">
                    <c:v>2022_Q3</c:v>
                  </c:pt>
                  <c:pt idx="31">
                    <c:v>2022_Q4</c:v>
                  </c:pt>
                  <c:pt idx="32">
                    <c:v>2022_Q1</c:v>
                  </c:pt>
                  <c:pt idx="33">
                    <c:v>2022_Q2</c:v>
                  </c:pt>
                  <c:pt idx="34">
                    <c:v>2022_Q3</c:v>
                  </c:pt>
                  <c:pt idx="35">
                    <c:v>2022_Q4</c:v>
                  </c:pt>
                  <c:pt idx="36">
                    <c:v>2022_Q1</c:v>
                  </c:pt>
                  <c:pt idx="37">
                    <c:v>2022_Q2</c:v>
                  </c:pt>
                  <c:pt idx="38">
                    <c:v>2022_Q3</c:v>
                  </c:pt>
                  <c:pt idx="39">
                    <c:v>2022_Q4</c:v>
                  </c:pt>
                  <c:pt idx="40">
                    <c:v>2022_Q1</c:v>
                  </c:pt>
                  <c:pt idx="41">
                    <c:v>2022_Q2</c:v>
                  </c:pt>
                  <c:pt idx="42">
                    <c:v>2022_Q3</c:v>
                  </c:pt>
                  <c:pt idx="43">
                    <c:v>2022_Q4</c:v>
                  </c:pt>
                  <c:pt idx="44">
                    <c:v>2022_Q1</c:v>
                  </c:pt>
                  <c:pt idx="45">
                    <c:v>2022_Q2</c:v>
                  </c:pt>
                  <c:pt idx="46">
                    <c:v>2022_Q3</c:v>
                  </c:pt>
                  <c:pt idx="47">
                    <c:v>2022_Q4</c:v>
                  </c:pt>
                  <c:pt idx="48">
                    <c:v>2022_Q1</c:v>
                  </c:pt>
                  <c:pt idx="49">
                    <c:v>2022_Q2</c:v>
                  </c:pt>
                  <c:pt idx="50">
                    <c:v>2022_Q3</c:v>
                  </c:pt>
                  <c:pt idx="51">
                    <c:v>2022_Q4</c:v>
                  </c:pt>
                  <c:pt idx="52">
                    <c:v>2022_Q1</c:v>
                  </c:pt>
                  <c:pt idx="53">
                    <c:v>2022_Q2</c:v>
                  </c:pt>
                  <c:pt idx="54">
                    <c:v>2022_Q3</c:v>
                  </c:pt>
                  <c:pt idx="55">
                    <c:v>2022_Q4</c:v>
                  </c:pt>
                  <c:pt idx="56">
                    <c:v>2022_Q1</c:v>
                  </c:pt>
                  <c:pt idx="57">
                    <c:v>2022_Q2</c:v>
                  </c:pt>
                  <c:pt idx="58">
                    <c:v>2022_Q3</c:v>
                  </c:pt>
                  <c:pt idx="59">
                    <c:v>2022_Q4</c:v>
                  </c:pt>
                  <c:pt idx="60">
                    <c:v>2022_Q1</c:v>
                  </c:pt>
                  <c:pt idx="61">
                    <c:v>2022_Q2</c:v>
                  </c:pt>
                  <c:pt idx="62">
                    <c:v>2022_Q3</c:v>
                  </c:pt>
                  <c:pt idx="63">
                    <c:v>2022_Q4</c:v>
                  </c:pt>
                  <c:pt idx="64">
                    <c:v>2022_Q1</c:v>
                  </c:pt>
                  <c:pt idx="65">
                    <c:v>2022_Q2</c:v>
                  </c:pt>
                  <c:pt idx="66">
                    <c:v>2022_Q3</c:v>
                  </c:pt>
                  <c:pt idx="67">
                    <c:v>2022_Q4</c:v>
                  </c:pt>
                  <c:pt idx="68">
                    <c:v>2022_Q1</c:v>
                  </c:pt>
                  <c:pt idx="69">
                    <c:v>2022_Q2</c:v>
                  </c:pt>
                  <c:pt idx="70">
                    <c:v>2022_Q3</c:v>
                  </c:pt>
                  <c:pt idx="71">
                    <c:v>2022_Q4</c:v>
                  </c:pt>
                  <c:pt idx="72">
                    <c:v>2022_Q1</c:v>
                  </c:pt>
                  <c:pt idx="73">
                    <c:v>2022_Q2</c:v>
                  </c:pt>
                  <c:pt idx="74">
                    <c:v>2022_Q3</c:v>
                  </c:pt>
                  <c:pt idx="75">
                    <c:v>2022_Q4</c:v>
                  </c:pt>
                  <c:pt idx="76">
                    <c:v>2022_Q1</c:v>
                  </c:pt>
                  <c:pt idx="77">
                    <c:v>2022_Q2</c:v>
                  </c:pt>
                  <c:pt idx="78">
                    <c:v>2022_Q3</c:v>
                  </c:pt>
                  <c:pt idx="79">
                    <c:v>2022_Q4</c:v>
                  </c:pt>
                  <c:pt idx="80">
                    <c:v>2022_Q1</c:v>
                  </c:pt>
                  <c:pt idx="81">
                    <c:v>2022_Q2</c:v>
                  </c:pt>
                  <c:pt idx="82">
                    <c:v>2022_Q3</c:v>
                  </c:pt>
                  <c:pt idx="83">
                    <c:v>2022_Q4</c:v>
                  </c:pt>
                </c:lvl>
                <c:lvl>
                  <c:pt idx="0">
                    <c:v>Ah Nauk Ywe</c:v>
                  </c:pt>
                  <c:pt idx="4">
                    <c:v>Basare</c:v>
                  </c:pt>
                  <c:pt idx="8">
                    <c:v>Baw Du Pha 1</c:v>
                  </c:pt>
                  <c:pt idx="12">
                    <c:v>Baw Du Pha 2</c:v>
                  </c:pt>
                  <c:pt idx="16">
                    <c:v>Dar Pai</c:v>
                  </c:pt>
                  <c:pt idx="20">
                    <c:v>Kyauk Ta Lone</c:v>
                  </c:pt>
                  <c:pt idx="24">
                    <c:v>Kyein Ni Pyin</c:v>
                  </c:pt>
                  <c:pt idx="28">
                    <c:v>Maw Ti Ngar</c:v>
                  </c:pt>
                  <c:pt idx="32">
                    <c:v>Nget Chaung 1</c:v>
                  </c:pt>
                  <c:pt idx="36">
                    <c:v>Nget Chaung 2</c:v>
                  </c:pt>
                  <c:pt idx="40">
                    <c:v>Ohn Taw Chay</c:v>
                  </c:pt>
                  <c:pt idx="44">
                    <c:v>Ohn Taw Gyi (North)</c:v>
                  </c:pt>
                  <c:pt idx="48">
                    <c:v>Ohn Taw Gyi (South)</c:v>
                  </c:pt>
                  <c:pt idx="52">
                    <c:v>Say Tha Mar Gyi</c:v>
                  </c:pt>
                  <c:pt idx="56">
                    <c:v>Sin Tet Maw</c:v>
                  </c:pt>
                  <c:pt idx="60">
                    <c:v>Taung Paw</c:v>
                  </c:pt>
                  <c:pt idx="64">
                    <c:v>Thae Chaung</c:v>
                  </c:pt>
                  <c:pt idx="68">
                    <c:v>Thet Kae Pyin </c:v>
                  </c:pt>
                  <c:pt idx="72">
                    <c:v>Khaung Doke Khar 2 (Hmanzi)</c:v>
                  </c:pt>
                  <c:pt idx="76">
                    <c:v>Khaung Doke Khar 1</c:v>
                  </c:pt>
                  <c:pt idx="80">
                    <c:v>Phwe Yar Kone (Say Tha Mar Gyi)</c:v>
                  </c:pt>
                </c:lvl>
              </c:multiLvlStrCache>
            </c:multiLvlStrRef>
          </c:cat>
          <c:val>
            <c:numRef>
              <c:f>'Tracking Dashboard'!$P$5:$P$110</c:f>
              <c:numCache>
                <c:formatCode>General</c:formatCode>
                <c:ptCount val="84"/>
                <c:pt idx="0">
                  <c:v>5133</c:v>
                </c:pt>
                <c:pt idx="1">
                  <c:v>5133</c:v>
                </c:pt>
                <c:pt idx="2">
                  <c:v>5133</c:v>
                </c:pt>
                <c:pt idx="3">
                  <c:v>5133</c:v>
                </c:pt>
                <c:pt idx="4">
                  <c:v>2139</c:v>
                </c:pt>
                <c:pt idx="5">
                  <c:v>2489</c:v>
                </c:pt>
                <c:pt idx="6">
                  <c:v>2489</c:v>
                </c:pt>
                <c:pt idx="7">
                  <c:v>2489</c:v>
                </c:pt>
                <c:pt idx="8">
                  <c:v>4875</c:v>
                </c:pt>
                <c:pt idx="9">
                  <c:v>5101</c:v>
                </c:pt>
                <c:pt idx="10">
                  <c:v>5101</c:v>
                </c:pt>
                <c:pt idx="11">
                  <c:v>5101</c:v>
                </c:pt>
                <c:pt idx="12">
                  <c:v>7033</c:v>
                </c:pt>
                <c:pt idx="13">
                  <c:v>8728</c:v>
                </c:pt>
                <c:pt idx="14">
                  <c:v>8728</c:v>
                </c:pt>
                <c:pt idx="15">
                  <c:v>8728</c:v>
                </c:pt>
                <c:pt idx="16">
                  <c:v>11056</c:v>
                </c:pt>
                <c:pt idx="17">
                  <c:v>11715</c:v>
                </c:pt>
                <c:pt idx="18">
                  <c:v>11715</c:v>
                </c:pt>
                <c:pt idx="19">
                  <c:v>11715</c:v>
                </c:pt>
                <c:pt idx="20">
                  <c:v>1067</c:v>
                </c:pt>
                <c:pt idx="21">
                  <c:v>1084</c:v>
                </c:pt>
                <c:pt idx="22">
                  <c:v>1086</c:v>
                </c:pt>
                <c:pt idx="23">
                  <c:v>1086</c:v>
                </c:pt>
                <c:pt idx="24">
                  <c:v>6674</c:v>
                </c:pt>
                <c:pt idx="25">
                  <c:v>6680</c:v>
                </c:pt>
                <c:pt idx="26">
                  <c:v>6680</c:v>
                </c:pt>
                <c:pt idx="27">
                  <c:v>6680</c:v>
                </c:pt>
                <c:pt idx="28">
                  <c:v>3486</c:v>
                </c:pt>
                <c:pt idx="29">
                  <c:v>3486</c:v>
                </c:pt>
                <c:pt idx="30">
                  <c:v>3486</c:v>
                </c:pt>
                <c:pt idx="31">
                  <c:v>3486</c:v>
                </c:pt>
                <c:pt idx="32">
                  <c:v>5024</c:v>
                </c:pt>
                <c:pt idx="33">
                  <c:v>5024</c:v>
                </c:pt>
                <c:pt idx="34">
                  <c:v>5024</c:v>
                </c:pt>
                <c:pt idx="35">
                  <c:v>5024</c:v>
                </c:pt>
                <c:pt idx="36">
                  <c:v>5137</c:v>
                </c:pt>
                <c:pt idx="37">
                  <c:v>5137</c:v>
                </c:pt>
                <c:pt idx="38">
                  <c:v>5137</c:v>
                </c:pt>
                <c:pt idx="39">
                  <c:v>5137</c:v>
                </c:pt>
                <c:pt idx="40">
                  <c:v>3095</c:v>
                </c:pt>
                <c:pt idx="41">
                  <c:v>3095</c:v>
                </c:pt>
                <c:pt idx="42">
                  <c:v>3095</c:v>
                </c:pt>
                <c:pt idx="43">
                  <c:v>3095</c:v>
                </c:pt>
                <c:pt idx="44">
                  <c:v>13302</c:v>
                </c:pt>
                <c:pt idx="45">
                  <c:v>13302</c:v>
                </c:pt>
                <c:pt idx="46">
                  <c:v>13302</c:v>
                </c:pt>
                <c:pt idx="47">
                  <c:v>13302</c:v>
                </c:pt>
                <c:pt idx="48">
                  <c:v>11478</c:v>
                </c:pt>
                <c:pt idx="49">
                  <c:v>12495</c:v>
                </c:pt>
                <c:pt idx="50">
                  <c:v>12495</c:v>
                </c:pt>
                <c:pt idx="51">
                  <c:v>12495</c:v>
                </c:pt>
                <c:pt idx="52">
                  <c:v>11564</c:v>
                </c:pt>
                <c:pt idx="53">
                  <c:v>11564</c:v>
                </c:pt>
                <c:pt idx="54">
                  <c:v>11564</c:v>
                </c:pt>
                <c:pt idx="55">
                  <c:v>11564</c:v>
                </c:pt>
                <c:pt idx="56">
                  <c:v>2516</c:v>
                </c:pt>
                <c:pt idx="57">
                  <c:v>2861</c:v>
                </c:pt>
                <c:pt idx="58">
                  <c:v>2000</c:v>
                </c:pt>
                <c:pt idx="59">
                  <c:v>2000</c:v>
                </c:pt>
                <c:pt idx="60">
                  <c:v>1500.0000000000002</c:v>
                </c:pt>
                <c:pt idx="61">
                  <c:v>1500.0000000000002</c:v>
                </c:pt>
                <c:pt idx="62">
                  <c:v>1500.0000000000002</c:v>
                </c:pt>
                <c:pt idx="63">
                  <c:v>1500.0000000000002</c:v>
                </c:pt>
                <c:pt idx="64">
                  <c:v>6016</c:v>
                </c:pt>
                <c:pt idx="65">
                  <c:v>6016</c:v>
                </c:pt>
                <c:pt idx="66">
                  <c:v>9500</c:v>
                </c:pt>
                <c:pt idx="67">
                  <c:v>7999.9999999999991</c:v>
                </c:pt>
                <c:pt idx="68">
                  <c:v>5950</c:v>
                </c:pt>
                <c:pt idx="69">
                  <c:v>5950</c:v>
                </c:pt>
                <c:pt idx="70">
                  <c:v>5950</c:v>
                </c:pt>
                <c:pt idx="71">
                  <c:v>5950</c:v>
                </c:pt>
                <c:pt idx="72">
                  <c:v>2186</c:v>
                </c:pt>
                <c:pt idx="73">
                  <c:v>2262</c:v>
                </c:pt>
                <c:pt idx="74">
                  <c:v>2262</c:v>
                </c:pt>
                <c:pt idx="75">
                  <c:v>2262</c:v>
                </c:pt>
                <c:pt idx="76">
                  <c:v>2248</c:v>
                </c:pt>
                <c:pt idx="77">
                  <c:v>2248</c:v>
                </c:pt>
                <c:pt idx="78">
                  <c:v>2248</c:v>
                </c:pt>
                <c:pt idx="79">
                  <c:v>2248</c:v>
                </c:pt>
                <c:pt idx="80">
                  <c:v>2446</c:v>
                </c:pt>
                <c:pt idx="81">
                  <c:v>2698</c:v>
                </c:pt>
                <c:pt idx="82">
                  <c:v>2698</c:v>
                </c:pt>
                <c:pt idx="83">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[20230116_Myanmar_WASH_4W_2022_Q4_Rakhine_camp_Consolidate.xlsx]Analysis!R_water1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239.38600000000002</c:v>
                </c:pt>
              </c:numCache>
            </c:numRef>
          </c:val>
          <c:extLst>
            <c:ext xmlns:c16="http://schemas.microsoft.com/office/drawing/2014/chart" uri="{C3380CC4-5D6E-409C-BE32-E72D297353CC}">
              <c16:uniqueId val="{00000001-0FDF-4D02-B3A1-083EBD25B4A7}"/>
            </c:ext>
          </c:extLst>
        </c:ser>
        <c:ser>
          <c:idx val="1"/>
          <c:order val="1"/>
          <c:tx>
            <c:strRef>
              <c:f>Analysis!$D$30</c:f>
              <c:strCache>
                <c:ptCount val="1"/>
                <c:pt idx="0">
                  <c:v>Gap</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16.032000000000004</c:v>
                </c:pt>
              </c:numCache>
            </c:numRef>
          </c:val>
          <c:extLst>
            <c:ext xmlns:c16="http://schemas.microsoft.com/office/drawing/2014/chart" uri="{C3380CC4-5D6E-409C-BE32-E72D297353CC}">
              <c16:uniqueId val="{00000002-0FDF-4D02-B3A1-083EBD25B4A7}"/>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Q3-2022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2</c:v>
                </c:pt>
                <c:pt idx="1">
                  <c:v>19</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5743</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604</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 Type="http://schemas.openxmlformats.org/officeDocument/2006/relationships/chart" Target="../charts/chart7.xml"/><Relationship Id="rId21" Type="http://schemas.openxmlformats.org/officeDocument/2006/relationships/chart" Target="../charts/chart25.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10" Type="http://schemas.openxmlformats.org/officeDocument/2006/relationships/chart" Target="../charts/chart14.xml"/><Relationship Id="rId19" Type="http://schemas.openxmlformats.org/officeDocument/2006/relationships/chart" Target="../charts/chart23.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4.xml"/><Relationship Id="rId3" Type="http://schemas.openxmlformats.org/officeDocument/2006/relationships/chart" Target="../charts/chart32.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3.xml"/><Relationship Id="rId2" Type="http://schemas.openxmlformats.org/officeDocument/2006/relationships/hyperlink" Target="#Analysis!A270"/><Relationship Id="rId16" Type="http://schemas.openxmlformats.org/officeDocument/2006/relationships/chart" Target="../charts/chart45.xml"/><Relationship Id="rId20" Type="http://schemas.openxmlformats.org/officeDocument/2006/relationships/chart" Target="../charts/chart49.xml"/><Relationship Id="rId1" Type="http://schemas.openxmlformats.org/officeDocument/2006/relationships/chart" Target="../charts/chart31.xml"/><Relationship Id="rId6" Type="http://schemas.openxmlformats.org/officeDocument/2006/relationships/chart" Target="../charts/chart35.xml"/><Relationship Id="rId11" Type="http://schemas.openxmlformats.org/officeDocument/2006/relationships/chart" Target="../charts/chart40.xml"/><Relationship Id="rId24" Type="http://schemas.openxmlformats.org/officeDocument/2006/relationships/chart" Target="../charts/chart52.xml"/><Relationship Id="rId5" Type="http://schemas.openxmlformats.org/officeDocument/2006/relationships/chart" Target="../charts/chart34.xml"/><Relationship Id="rId15" Type="http://schemas.openxmlformats.org/officeDocument/2006/relationships/chart" Target="../charts/chart44.xml"/><Relationship Id="rId23"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1</xdr:col>
      <xdr:colOff>930275</xdr:colOff>
      <xdr:row>5</xdr:row>
      <xdr:rowOff>57150</xdr:rowOff>
    </xdr:from>
    <xdr:to>
      <xdr:col>5</xdr:col>
      <xdr:colOff>403225</xdr:colOff>
      <xdr:row>19</xdr:row>
      <xdr:rowOff>44450</xdr:rowOff>
    </xdr:to>
    <xdr:graphicFrame macro="">
      <xdr:nvGraphicFramePr>
        <xdr:cNvPr id="2" name="Chart 1">
          <a:extLst>
            <a:ext uri="{FF2B5EF4-FFF2-40B4-BE49-F238E27FC236}">
              <a16:creationId xmlns:a16="http://schemas.microsoft.com/office/drawing/2014/main" id="{5F122602-55B9-44A6-A5C9-FFE90563D2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408186</xdr:colOff>
      <xdr:row>67</xdr:row>
      <xdr:rowOff>70841</xdr:rowOff>
    </xdr:from>
    <xdr:ext cx="7246792" cy="2009775"/>
    <xdr:pic>
      <xdr:nvPicPr>
        <xdr:cNvPr id="2" name="Picture 1">
          <a:extLst>
            <a:ext uri="{FF2B5EF4-FFF2-40B4-BE49-F238E27FC236}">
              <a16:creationId xmlns:a16="http://schemas.microsoft.com/office/drawing/2014/main" id="{B272F6AA-81AE-4BFB-82C9-0C31EA2C8F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3655" y="41931232"/>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414141</xdr:colOff>
      <xdr:row>33</xdr:row>
      <xdr:rowOff>169334</xdr:rowOff>
    </xdr:from>
    <xdr:to>
      <xdr:col>14</xdr:col>
      <xdr:colOff>502707</xdr:colOff>
      <xdr:row>37</xdr:row>
      <xdr:rowOff>1279071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226786</xdr:colOff>
      <xdr:row>14</xdr:row>
      <xdr:rowOff>164985</xdr:rowOff>
    </xdr:from>
    <xdr:to>
      <xdr:col>24</xdr:col>
      <xdr:colOff>1362528</xdr:colOff>
      <xdr:row>25</xdr:row>
      <xdr:rowOff>34018</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223004</xdr:colOff>
      <xdr:row>32</xdr:row>
      <xdr:rowOff>116415</xdr:rowOff>
    </xdr:from>
    <xdr:to>
      <xdr:col>25</xdr:col>
      <xdr:colOff>762001</xdr:colOff>
      <xdr:row>38</xdr:row>
      <xdr:rowOff>69396</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385537</xdr:colOff>
      <xdr:row>36</xdr:row>
      <xdr:rowOff>147410</xdr:rowOff>
    </xdr:from>
    <xdr:to>
      <xdr:col>27</xdr:col>
      <xdr:colOff>570005</xdr:colOff>
      <xdr:row>36</xdr:row>
      <xdr:rowOff>475634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4369376" y="16396606"/>
          <a:ext cx="887504"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+31,047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462922</xdr:colOff>
      <xdr:row>186</xdr:row>
      <xdr:rowOff>103355</xdr:rowOff>
    </xdr:from>
    <xdr:to>
      <xdr:col>15</xdr:col>
      <xdr:colOff>546554</xdr:colOff>
      <xdr:row>200</xdr:row>
      <xdr:rowOff>64121</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773565</xdr:colOff>
      <xdr:row>24</xdr:row>
      <xdr:rowOff>92528</xdr:rowOff>
    </xdr:from>
    <xdr:to>
      <xdr:col>9</xdr:col>
      <xdr:colOff>93504</xdr:colOff>
      <xdr:row>37</xdr:row>
      <xdr:rowOff>83003</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1035137</xdr:colOff>
      <xdr:row>60</xdr:row>
      <xdr:rowOff>36287</xdr:rowOff>
    </xdr:from>
    <xdr:to>
      <xdr:col>9</xdr:col>
      <xdr:colOff>632408</xdr:colOff>
      <xdr:row>74</xdr:row>
      <xdr:rowOff>88146</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804415</xdr:colOff>
      <xdr:row>95</xdr:row>
      <xdr:rowOff>137788</xdr:rowOff>
    </xdr:from>
    <xdr:to>
      <xdr:col>14</xdr:col>
      <xdr:colOff>620258</xdr:colOff>
      <xdr:row>104</xdr:row>
      <xdr:rowOff>115175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9703359" y="18964196"/>
          <a:ext cx="9108307" cy="2249078"/>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12</xdr:col>
      <xdr:colOff>2668369</xdr:colOff>
      <xdr:row>294</xdr:row>
      <xdr:rowOff>1588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548370</xdr:colOff>
      <xdr:row>47</xdr:row>
      <xdr:rowOff>174463</xdr:rowOff>
    </xdr:from>
    <xdr:to>
      <xdr:col>8</xdr:col>
      <xdr:colOff>545193</xdr:colOff>
      <xdr:row>58</xdr:row>
      <xdr:rowOff>56696</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648954</xdr:colOff>
      <xdr:row>50</xdr:row>
      <xdr:rowOff>37384</xdr:rowOff>
    </xdr:from>
    <xdr:to>
      <xdr:col>13</xdr:col>
      <xdr:colOff>671285</xdr:colOff>
      <xdr:row>60</xdr:row>
      <xdr:rowOff>154477</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387997</xdr:colOff>
      <xdr:row>47</xdr:row>
      <xdr:rowOff>196008</xdr:rowOff>
    </xdr:from>
    <xdr:to>
      <xdr:col>23</xdr:col>
      <xdr:colOff>500844</xdr:colOff>
      <xdr:row>60</xdr:row>
      <xdr:rowOff>187817</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430665</xdr:colOff>
      <xdr:row>107</xdr:row>
      <xdr:rowOff>140608</xdr:rowOff>
    </xdr:from>
    <xdr:to>
      <xdr:col>8</xdr:col>
      <xdr:colOff>432252</xdr:colOff>
      <xdr:row>122</xdr:row>
      <xdr:rowOff>65995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137</xdr:row>
      <xdr:rowOff>103188</xdr:rowOff>
    </xdr:from>
    <xdr:to>
      <xdr:col>9</xdr:col>
      <xdr:colOff>460374</xdr:colOff>
      <xdr:row>151</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12</xdr:col>
      <xdr:colOff>2641145</xdr:colOff>
      <xdr:row>282</xdr:row>
      <xdr:rowOff>31751</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15</xdr:col>
      <xdr:colOff>1818472</xdr:colOff>
      <xdr:row>293</xdr:row>
      <xdr:rowOff>49213</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653889</xdr:colOff>
      <xdr:row>230</xdr:row>
      <xdr:rowOff>129693</xdr:rowOff>
    </xdr:from>
    <xdr:to>
      <xdr:col>12</xdr:col>
      <xdr:colOff>1141338</xdr:colOff>
      <xdr:row>243</xdr:row>
      <xdr:rowOff>154731</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453572</xdr:colOff>
      <xdr:row>312</xdr:row>
      <xdr:rowOff>27667</xdr:rowOff>
    </xdr:from>
    <xdr:to>
      <xdr:col>14</xdr:col>
      <xdr:colOff>725715</xdr:colOff>
      <xdr:row>339</xdr:row>
      <xdr:rowOff>108856</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511969</xdr:colOff>
      <xdr:row>99</xdr:row>
      <xdr:rowOff>102509</xdr:rowOff>
    </xdr:from>
    <xdr:to>
      <xdr:col>26</xdr:col>
      <xdr:colOff>361155</xdr:colOff>
      <xdr:row>112</xdr:row>
      <xdr:rowOff>119744</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29822</xdr:colOff>
      <xdr:row>115</xdr:row>
      <xdr:rowOff>144122</xdr:rowOff>
    </xdr:from>
    <xdr:to>
      <xdr:col>13</xdr:col>
      <xdr:colOff>88218</xdr:colOff>
      <xdr:row>129</xdr:row>
      <xdr:rowOff>156822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1859643</xdr:colOff>
      <xdr:row>312</xdr:row>
      <xdr:rowOff>39008</xdr:rowOff>
    </xdr:from>
    <xdr:to>
      <xdr:col>22</xdr:col>
      <xdr:colOff>18143</xdr:colOff>
      <xdr:row>339</xdr:row>
      <xdr:rowOff>108857</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86125</xdr:colOff>
      <xdr:row>56</xdr:row>
      <xdr:rowOff>172358</xdr:rowOff>
    </xdr:from>
    <xdr:to>
      <xdr:col>7</xdr:col>
      <xdr:colOff>854393</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658929"/>
          <a:ext cx="6401625" cy="1768928"/>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2061</xdr:colOff>
      <xdr:row>1</xdr:row>
      <xdr:rowOff>40967</xdr:rowOff>
    </xdr:from>
    <xdr:to>
      <xdr:col>7</xdr:col>
      <xdr:colOff>869290</xdr:colOff>
      <xdr:row>23</xdr:row>
      <xdr:rowOff>156687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57728</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29767</xdr:rowOff>
    </xdr:from>
    <xdr:to>
      <xdr:col>19</xdr:col>
      <xdr:colOff>74083</xdr:colOff>
      <xdr:row>3</xdr:row>
      <xdr:rowOff>52918</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355773" y="611850"/>
          <a:ext cx="9974310" cy="361818"/>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83329</xdr:colOff>
      <xdr:row>42</xdr:row>
      <xdr:rowOff>90461</xdr:rowOff>
    </xdr:from>
    <xdr:to>
      <xdr:col>7</xdr:col>
      <xdr:colOff>850772</xdr:colOff>
      <xdr:row>44</xdr:row>
      <xdr:rowOff>149680</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83329" y="7746747"/>
          <a:ext cx="6400800" cy="59443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AA, BHA-USAID, DFAT, ECHO, FCDO/Oxfam, GFFO, GIZ, HARP-F , IR Canada, IR Mauritius, IR USA, LIFT-UNOPS, MA-UK HQ , MHF, UNICEF, UNOPS</a:t>
          </a:r>
        </a:p>
      </xdr:txBody>
    </xdr:sp>
    <xdr:clientData/>
  </xdr:twoCellAnchor>
  <xdr:twoCellAnchor>
    <xdr:from>
      <xdr:col>9</xdr:col>
      <xdr:colOff>21647</xdr:colOff>
      <xdr:row>82</xdr:row>
      <xdr:rowOff>10240</xdr:rowOff>
    </xdr:from>
    <xdr:to>
      <xdr:col>19</xdr:col>
      <xdr:colOff>30855</xdr:colOff>
      <xdr:row>86</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300210" y="17496553"/>
          <a:ext cx="9875520" cy="8859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3467</a:t>
          </a:r>
          <a:r>
            <a:rPr lang="en-US" sz="1200" b="1">
              <a:solidFill>
                <a:schemeClr val="accent2">
                  <a:lumMod val="50000"/>
                </a:schemeClr>
              </a:solidFill>
            </a:rPr>
            <a:t> latrines desludged in Q4</a:t>
          </a:r>
        </a:p>
        <a:p>
          <a:r>
            <a:rPr lang="en-US" sz="1200" b="1">
              <a:solidFill>
                <a:schemeClr val="accent2">
                  <a:lumMod val="50000"/>
                </a:schemeClr>
              </a:solidFill>
            </a:rPr>
            <a:t>2. Total </a:t>
          </a:r>
          <a:r>
            <a:rPr lang="en-US" sz="1600" b="1">
              <a:solidFill>
                <a:schemeClr val="accent2">
                  <a:lumMod val="50000"/>
                </a:schemeClr>
              </a:solidFill>
            </a:rPr>
            <a:t>1274</a:t>
          </a:r>
          <a:r>
            <a:rPr lang="en-US" sz="1200" b="1">
              <a:solidFill>
                <a:schemeClr val="accent2">
                  <a:lumMod val="50000"/>
                </a:schemeClr>
              </a:solidFill>
            </a:rPr>
            <a:t> latrines</a:t>
          </a:r>
          <a:r>
            <a:rPr lang="en-US" sz="1200" b="1" baseline="0">
              <a:solidFill>
                <a:schemeClr val="accent2">
                  <a:lumMod val="50000"/>
                </a:schemeClr>
              </a:solidFill>
            </a:rPr>
            <a:t> repaired in Q4</a:t>
          </a:r>
          <a:endParaRPr lang="en-US" sz="1200" b="1">
            <a:solidFill>
              <a:schemeClr val="accent2">
                <a:lumMod val="50000"/>
              </a:schemeClr>
            </a:solidFill>
          </a:endParaRPr>
        </a:p>
        <a:p>
          <a:r>
            <a:rPr lang="en-US" sz="1200" b="1" baseline="0">
              <a:solidFill>
                <a:schemeClr val="accent2">
                  <a:lumMod val="50000"/>
                </a:schemeClr>
              </a:solidFill>
            </a:rPr>
            <a:t>2.  </a:t>
          </a:r>
          <a:r>
            <a:rPr lang="en-US" sz="1600" b="1" baseline="0">
              <a:solidFill>
                <a:schemeClr val="accent2">
                  <a:lumMod val="50000"/>
                </a:schemeClr>
              </a:solidFill>
            </a:rPr>
            <a:t>138</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89</xdr:row>
      <xdr:rowOff>65550</xdr:rowOff>
    </xdr:from>
    <xdr:to>
      <xdr:col>19</xdr:col>
      <xdr:colOff>20155</xdr:colOff>
      <xdr:row>112</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94302" y="18353550"/>
          <a:ext cx="9844924" cy="4708951"/>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xdr:col>
      <xdr:colOff>27236</xdr:colOff>
      <xdr:row>71</xdr:row>
      <xdr:rowOff>132173</xdr:rowOff>
    </xdr:from>
    <xdr:to>
      <xdr:col>8</xdr:col>
      <xdr:colOff>68223</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5207" y="15579002"/>
          <a:ext cx="6463559" cy="36193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210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5,300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56,731 people have received regular hygiene promotion,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0</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63499</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32727" y="6237429"/>
          <a:ext cx="9949843" cy="3378283"/>
          <a:chOff x="6434667" y="7708511"/>
          <a:chExt cx="9948330"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408131" y="7708511"/>
            <a:ext cx="6974866" cy="2955531"/>
            <a:chOff x="9874411" y="8595030"/>
            <a:chExt cx="630811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9874411" y="8595030"/>
              <a:ext cx="6296154" cy="2802141"/>
              <a:chOff x="9933429" y="8498416"/>
              <a:chExt cx="678030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9933429" y="8507852"/>
              <a:ext cx="3427514"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a:endCxn id="7" idx="0"/>
              </xdr:cNvCxnSpPr>
            </xdr:nvCxnSpPr>
            <xdr:spPr>
              <a:xfrm>
                <a:off x="11081822" y="9416063"/>
                <a:ext cx="1466411" cy="192497"/>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527679" y="9377281"/>
                <a:ext cx="1448068" cy="162303"/>
              </a:xfrm>
              <a:prstGeom prst="bentConnector3">
                <a:avLst>
                  <a:gd name="adj1" fmla="val 101243"/>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342750" y="9758059"/>
            <a:ext cx="1687795" cy="1600247"/>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468099" y="9685490"/>
            <a:ext cx="1714428" cy="1676324"/>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2909973" cy="2934229"/>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33109</xdr:colOff>
      <xdr:row>70</xdr:row>
      <xdr:rowOff>72087</xdr:rowOff>
    </xdr:from>
    <xdr:to>
      <xdr:col>12</xdr:col>
      <xdr:colOff>555925</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169334</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32985</xdr:colOff>
      <xdr:row>12</xdr:row>
      <xdr:rowOff>90715</xdr:rowOff>
    </xdr:from>
    <xdr:to>
      <xdr:col>19</xdr:col>
      <xdr:colOff>32986</xdr:colOff>
      <xdr:row>32</xdr:row>
      <xdr:rowOff>16493</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517072</xdr:colOff>
      <xdr:row>41</xdr:row>
      <xdr:rowOff>0</xdr:rowOff>
    </xdr:from>
    <xdr:to>
      <xdr:col>15</xdr:col>
      <xdr:colOff>1188357</xdr:colOff>
      <xdr:row>42</xdr:row>
      <xdr:rowOff>36285</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547929" y="7493000"/>
          <a:ext cx="1487714"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2413 samples tested</a:t>
          </a:r>
        </a:p>
      </xdr:txBody>
    </xdr:sp>
    <xdr:clientData/>
  </xdr:twoCellAnchor>
  <xdr:twoCellAnchor>
    <xdr:from>
      <xdr:col>17</xdr:col>
      <xdr:colOff>99785</xdr:colOff>
      <xdr:row>40</xdr:row>
      <xdr:rowOff>79828</xdr:rowOff>
    </xdr:from>
    <xdr:to>
      <xdr:col>18</xdr:col>
      <xdr:colOff>878115</xdr:colOff>
      <xdr:row>41</xdr:row>
      <xdr:rowOff>108857</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013214" y="7382328"/>
          <a:ext cx="1467758"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3359 samples tested</a:t>
          </a:r>
        </a:p>
      </xdr:txBody>
    </xdr:sp>
    <xdr:clientData/>
  </xdr:twoCellAnchor>
  <xdr:twoCellAnchor>
    <xdr:from>
      <xdr:col>14</xdr:col>
      <xdr:colOff>390070</xdr:colOff>
      <xdr:row>54</xdr:row>
      <xdr:rowOff>20484</xdr:rowOff>
    </xdr:from>
    <xdr:to>
      <xdr:col>18</xdr:col>
      <xdr:colOff>898071</xdr:colOff>
      <xdr:row>62</xdr:row>
      <xdr:rowOff>144581</xdr:rowOff>
    </xdr:to>
    <xdr:graphicFrame macro="">
      <xdr:nvGraphicFramePr>
        <xdr:cNvPr id="59" name="Chart 58">
          <a:extLst>
            <a:ext uri="{FF2B5EF4-FFF2-40B4-BE49-F238E27FC236}">
              <a16:creationId xmlns:a16="http://schemas.microsoft.com/office/drawing/2014/main" id="{70D7C5A6-5D8A-47D5-9563-312D89553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487514</xdr:colOff>
      <xdr:row>86</xdr:row>
      <xdr:rowOff>181428</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272142</xdr:colOff>
      <xdr:row>3</xdr:row>
      <xdr:rowOff>119743</xdr:rowOff>
    </xdr:from>
    <xdr:to>
      <xdr:col>17</xdr:col>
      <xdr:colOff>177018</xdr:colOff>
      <xdr:row>11</xdr:row>
      <xdr:rowOff>145142</xdr:rowOff>
    </xdr:to>
    <xdr:sp macro="" textlink="">
      <xdr:nvSpPr>
        <xdr:cNvPr id="58" name="TextBox 57">
          <a:hlinkClick xmlns:r="http://schemas.openxmlformats.org/officeDocument/2006/relationships" r:id="rId23"/>
          <a:extLst>
            <a:ext uri="{FF2B5EF4-FFF2-40B4-BE49-F238E27FC236}">
              <a16:creationId xmlns:a16="http://schemas.microsoft.com/office/drawing/2014/main" id="{5BCAAF7B-53AF-435D-AD63-3379CFBA4AC8}"/>
            </a:ext>
          </a:extLst>
        </xdr:cNvPr>
        <xdr:cNvSpPr txBox="1"/>
      </xdr:nvSpPr>
      <xdr:spPr>
        <a:xfrm>
          <a:off x="8191499" y="1026886"/>
          <a:ext cx="6898948" cy="133168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 done in Q3.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0</xdr:col>
      <xdr:colOff>90714</xdr:colOff>
      <xdr:row>32</xdr:row>
      <xdr:rowOff>308429</xdr:rowOff>
    </xdr:from>
    <xdr:to>
      <xdr:col>8</xdr:col>
      <xdr:colOff>-1</xdr:colOff>
      <xdr:row>42</xdr:row>
      <xdr:rowOff>45357</xdr:rowOff>
    </xdr:to>
    <xdr:graphicFrame macro="">
      <xdr:nvGraphicFramePr>
        <xdr:cNvPr id="60" name="Chart 59">
          <a:extLst>
            <a:ext uri="{FF2B5EF4-FFF2-40B4-BE49-F238E27FC236}">
              <a16:creationId xmlns:a16="http://schemas.microsoft.com/office/drawing/2014/main" id="{B0B0D807-A53A-4866-B3EF-CF69D6C46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10886</xdr:colOff>
      <xdr:row>24</xdr:row>
      <xdr:rowOff>76199</xdr:rowOff>
    </xdr:from>
    <xdr:to>
      <xdr:col>8</xdr:col>
      <xdr:colOff>21771</xdr:colOff>
      <xdr:row>32</xdr:row>
      <xdr:rowOff>241366</xdr:rowOff>
    </xdr:to>
    <xdr:graphicFrame macro="">
      <xdr:nvGraphicFramePr>
        <xdr:cNvPr id="62" name="Chart 61">
          <a:extLst>
            <a:ext uri="{FF2B5EF4-FFF2-40B4-BE49-F238E27FC236}">
              <a16:creationId xmlns:a16="http://schemas.microsoft.com/office/drawing/2014/main" id="{B9501798-E1E1-47D0-9E34-A365AEA3E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76200</xdr:colOff>
      <xdr:row>45</xdr:row>
      <xdr:rowOff>65314</xdr:rowOff>
    </xdr:from>
    <xdr:to>
      <xdr:col>7</xdr:col>
      <xdr:colOff>859971</xdr:colOff>
      <xdr:row>56</xdr:row>
      <xdr:rowOff>108857</xdr:rowOff>
    </xdr:to>
    <xdr:graphicFrame macro="">
      <xdr:nvGraphicFramePr>
        <xdr:cNvPr id="65" name="Chart 64">
          <a:extLst>
            <a:ext uri="{FF2B5EF4-FFF2-40B4-BE49-F238E27FC236}">
              <a16:creationId xmlns:a16="http://schemas.microsoft.com/office/drawing/2014/main" id="{53E62C5C-B40C-4207-AD0D-CED51E674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20/Data%20Entry/Q4_2020/Core_File_Myanmar_WASH_4W_2021_Q4_Rakhine_Ca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2/2022_Q4/20230127_Funding%20Matrix_2022_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t="str">
            <v>Camps</v>
          </cell>
          <cell r="D2" t="str">
            <v>Non-IDP Camps</v>
          </cell>
          <cell r="E2" t="str">
            <v>Gap</v>
          </cell>
        </row>
        <row r="3">
          <cell r="C3">
            <v>6372728.0199660221</v>
          </cell>
          <cell r="D3">
            <v>1960528.2799273848</v>
          </cell>
          <cell r="E3">
            <v>44421428.210557453</v>
          </cell>
        </row>
      </sheetData>
      <sheetData sheetId="17"/>
    </sheetDataSet>
  </externalBook>
</externalLink>
</file>

<file path=xl/persons/person.xml><?xml version="1.0" encoding="utf-8"?>
<personList xmlns="http://schemas.microsoft.com/office/spreadsheetml/2018/threadedcomments" xmlns:x="http://schemas.openxmlformats.org/spreadsheetml/2006/main">
  <person displayName="RKS - Dpt FC | Amandine Arduin" id="{838A9BB6-5832-4BA9-94E9-D758885D0352}" userId="RKS - Dpt FC | Amandine Arduin" providerId="None"/>
  <person displayName="Kyaw Myint1" id="{3E02E326-F367-4C73-B756-D5B4A2DE8FFF}" userId="S::KMyint1@oxfam.org.uk::8d38e690-a7bb-48bc-af8f-425f03ae9744" providerId="AD"/>
  <person displayName="Phyu, Ba" id="{7C53DFCD-3943-4211-B212-DEDA2DD5BFF0}" userId="S::Ba.Phyu@savethechildren.org::9eb281e9-c4f1-4bd8-b010-3111f344f11b" providerId="AD"/>
  <person displayName="SIT - MEAL AM | Bawi Lian Htang" id="{3056CA83-51FF-45D0-B9A1-4DD3CC5E5B61}" userId="S::sit.meal.am@solidarites-myanmar.org::24c5b300-2cdf-45eb-8c55-7a1129087543" providerId="AD"/>
  <person displayName="SIT - MEAL Sup | Tin Aung Lay" id="{37A2F8FD-934B-4A8F-B760-873BEF2F229F}" userId="S::sit.meal.sup@solidarites-myanmar.org::d0094f8f-c78f-4693-95fb-79bd6a86f9e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944.637383217596" createdVersion="6" refreshedVersion="7" minRefreshableVersion="3" recordCount="84" xr:uid="{00000000-000A-0000-FFFF-FFFF00000000}">
  <cacheSource type="worksheet">
    <worksheetSource name="WWWW"/>
  </cacheSource>
  <cacheFields count="123">
    <cacheField name="Reporting Period" numFmtId="167">
      <sharedItems containsBlank="1" count="26">
        <s v="2022_Q1"/>
        <s v="2022_Q2"/>
        <s v="2022_Q3"/>
        <s v="2022_Q4"/>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47">
        <s v="SI"/>
        <s v="OXSI (SI)"/>
        <s v="OXSI (Oxfam)"/>
        <s v="CDA"/>
        <s v="SCI"/>
        <s v="RI"/>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47">
        <s v="SI"/>
        <s v="OXSI (SI)"/>
        <s v="OXSI (Oxfam)"/>
        <s v="CDA"/>
        <s v="SCI"/>
        <s v="R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Kachin" u="1"/>
        <s v="Northern Rakhine" u="1"/>
        <s v="Shan (North)" u="1"/>
        <s v="Central Rakhine" u="1"/>
      </sharedItems>
    </cacheField>
    <cacheField name="Township" numFmtId="0">
      <sharedItems containsBlank="1" count="41">
        <s v="Pauktaw"/>
        <s v="Sittwe"/>
        <s v="Kyaukpyu"/>
        <s v="Myebon"/>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s v="Town_New_Displaced" u="1"/>
        <s v="Camp_not registered" u="1"/>
        <s v="Village_New_Displaced" u="1"/>
        <s v="Village" u="1"/>
        <s v="Village_Not HRP" u="1"/>
        <e v="#REF!" u="1"/>
        <e v="#N/A" u="1"/>
        <s v="Town" u="1"/>
        <s v="New Site" u="1"/>
        <s v="New Temporary Site" u="1"/>
      </sharedItems>
    </cacheField>
    <cacheField name="Site Name" numFmtId="0">
      <sharedItems containsBlank="1" count="974">
        <s v="Ah Nauk Ywe"/>
        <s v="Basare"/>
        <s v="Baw Du Pha 1"/>
        <s v="Baw Du Pha 2"/>
        <s v="Dar Pai"/>
        <s v="Khaung Doke Khar 1"/>
        <s v="Khaung Doke Khar 2 (Hmanzi)"/>
        <s v="Kyauk Ta Lone"/>
        <s v="Kyein Ni Pyin"/>
        <s v="Maw Ti Ngar"/>
        <s v="Nget Chaung 1"/>
        <s v="Nget Chaung 2"/>
        <s v="Ohn Taw Chay"/>
        <s v="Ohn Taw Gyi (North)"/>
        <s v="Ohn Taw Gyi (South)"/>
        <s v="Phwe Yar Kone (Say Tha Mar Gyi)"/>
        <s v="Say Tha Mar Gyi"/>
        <s v="Sin Tet Maw"/>
        <s v="Taung Paw"/>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72" maxValue="2728"/>
    </cacheField>
    <cacheField name="Total PoP " numFmtId="164">
      <sharedItems containsSemiMixedTypes="0" containsString="0" containsNumber="1" containsInteger="1" minValue="1067" maxValue="13302"/>
    </cacheField>
    <cacheField name="Pop_per_HH" numFmtId="164">
      <sharedItems containsSemiMixedTypes="0" containsString="0" containsNumber="1" minValue="2.8134715025906734" maxValue="6.7450000000000001"/>
    </cacheField>
    <cacheField name="Project start date" numFmtId="168">
      <sharedItems containsDate="1" containsMixedTypes="1" minDate="2018-12-11T00:00:00" maxDate="2022-10-02T00:00:00"/>
    </cacheField>
    <cacheField name="Project end date" numFmtId="165">
      <sharedItems containsDate="1" containsMixedTypes="1" minDate="2021-04-30T00:00:00" maxDate="2023-06-18T00:00:00"/>
    </cacheField>
    <cacheField name="#_students at TLS_CFS" numFmtId="164">
      <sharedItems containsString="0" containsBlank="1" containsNumber="1" containsInteger="1" minValue="0" maxValue="2187"/>
    </cacheField>
    <cacheField name="#_Functional_improved_water_source_Handpump" numFmtId="164">
      <sharedItems containsString="0" containsBlank="1" containsNumber="1" containsInteger="1" minValue="21" maxValue="227"/>
    </cacheField>
    <cacheField name="#_Existing_improved_water_source_Handpump" numFmtId="164">
      <sharedItems containsString="0" containsBlank="1" containsNumber="1" containsInteger="1" minValue="23" maxValue="229"/>
    </cacheField>
    <cacheField name="#_Functional_improved_water_source_tapstand_handdugwell" numFmtId="164">
      <sharedItems containsString="0" containsBlank="1" containsNumber="1" containsInteger="1" minValue="2" maxValue="36"/>
    </cacheField>
    <cacheField name="#_Existing_improved_water_source_tapstand_handdugwell" numFmtId="164">
      <sharedItems containsString="0" containsBlank="1" containsNumber="1" containsInteger="1" minValue="2" maxValue="36"/>
    </cacheField>
    <cacheField name="#_litres_of_water_supplied_by_existing_water_boating_trucking " numFmtId="164">
      <sharedItems containsString="0" containsBlank="1" containsNumber="1" containsInteger="1" minValue="1612000" maxValue="3766000"/>
    </cacheField>
    <cacheField name="#_PPL_received safe_drinking_water_HH_filters_centralized water system" numFmtId="164">
      <sharedItems containsString="0" containsBlank="1" containsNumber="1" containsInteger="1" minValue="1067" maxValue="6680"/>
    </cacheField>
    <cacheField name="#_Water samples_Tested_at_water_source" numFmtId="164">
      <sharedItems containsString="0" containsBlank="1" containsNumber="1" containsInteger="1" minValue="0" maxValue="240"/>
    </cacheField>
    <cacheField name="%_Water samples _passed_at_water source" numFmtId="0">
      <sharedItems containsString="0" containsBlank="1" containsNumber="1" minValue="0" maxValue="1"/>
    </cacheField>
    <cacheField name="#_Water samples_Tested_at_HH" numFmtId="164">
      <sharedItems containsString="0" containsBlank="1" containsNumber="1" containsInteger="1" minValue="1" maxValue="493"/>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0" maxValue="1850"/>
    </cacheField>
    <cacheField name="#_PPL_accessed_water_in_TLS" numFmtId="164">
      <sharedItems containsString="0" containsBlank="1" containsNumber="1" containsInteger="1" minValue="196" maxValue="210"/>
    </cacheField>
    <cacheField name="#_PPL_accessed_water_in_THF" numFmtId="164">
      <sharedItems containsNonDate="0" containsString="0" containsBlank="1"/>
    </cacheField>
    <cacheField name="WATER Comment" numFmtId="49">
      <sharedItems containsBlank="1"/>
    </cacheField>
    <cacheField name="#_Functional_adult_latrines" numFmtId="164">
      <sharedItems containsSemiMixedTypes="0" containsString="0" containsNumber="1" containsInteger="1" minValue="54" maxValue="828"/>
    </cacheField>
    <cacheField name="#_Existing_latrines" numFmtId="164">
      <sharedItems containsSemiMixedTypes="0" containsString="0" containsNumber="1" containsInteger="1" minValue="94" maxValue="830"/>
    </cacheField>
    <cacheField name="#_latrines_repaired" numFmtId="164">
      <sharedItems containsString="0" containsBlank="1" containsNumber="1" containsInteger="1" minValue="2" maxValue="369"/>
    </cacheField>
    <cacheField name="#_of_latrines_desludged " numFmtId="164">
      <sharedItems containsString="0" containsBlank="1" containsNumber="1" containsInteger="1" minValue="40" maxValue="845"/>
    </cacheField>
    <cacheField name="%_of_Men_that_feel_safe_to_use_latrines_when_they_need_to_(or_at_day/night)'?" numFmtId="9">
      <sharedItems containsString="0" containsBlank="1" containsNumber="1" minValue="0.82" maxValue="1"/>
    </cacheField>
    <cacheField name="%_of_Women_that_feel_safe_to_use_latrines_when_they_need_to_(or_at_day/night)?" numFmtId="9">
      <sharedItems containsString="0" containsBlank="1" containsNumber="1" minValue="0.55000000000000004" maxValue="1"/>
    </cacheField>
    <cacheField name="%_of_Children_that_feel_safe_to_use_latrines_when_they_need_to_(or_at_day/night)?" numFmtId="9">
      <sharedItems containsString="0" containsBlank="1" containsNumber="1" minValue="0.09" maxValue="1"/>
    </cacheField>
    <cacheField name="#_of_functional_children_latrines" numFmtId="164">
      <sharedItems containsString="0" containsBlank="1" containsNumber="1" containsInteger="1" minValue="1" maxValue="36"/>
    </cacheField>
    <cacheField name="#_of_PWD_with_adapted_sanitation_option" numFmtId="164">
      <sharedItems containsString="0" containsBlank="1" containsNumber="1" containsInteger="1" minValue="9" maxValue="913"/>
    </cacheField>
    <cacheField name="#_of_latrines_in_TLS/CFS" numFmtId="164">
      <sharedItems containsString="0" containsBlank="1" containsNumber="1" containsInteger="1" minValue="2" maxValue="57"/>
    </cacheField>
    <cacheField name="#_of_latrines_in_THF" numFmtId="164">
      <sharedItems containsString="0" containsBlank="1" containsNumber="1" containsInteger="1" minValue="1" maxValue="3"/>
    </cacheField>
    <cacheField name="Is_there_an_effective_solid_waste_management_system_in_place?" numFmtId="164">
      <sharedItems containsBlank="1" count="3">
        <s v="Yes"/>
        <s v="No"/>
        <m u="1"/>
      </sharedItems>
    </cacheField>
    <cacheField name="SANITATION Comments " numFmtId="49">
      <sharedItems containsBlank="1" longText="1"/>
    </cacheField>
    <cacheField name="_#_of_Men_receiving_consultation_hygiene_promotion_messages_and_sessions" numFmtId="164">
      <sharedItems containsString="0" containsBlank="1" containsNumber="1" minValue="1" maxValue="2755"/>
    </cacheField>
    <cacheField name="_#_of_Women_receiving_consultation_hygiene_promotion_messages_and_sessions" numFmtId="164">
      <sharedItems containsString="0" containsBlank="1" containsNumber="1" containsInteger="1" minValue="25" maxValue="3118"/>
    </cacheField>
    <cacheField name="_#_of_Boys_receiving_consultation_hygiene_promotion_messages_and_sessions" numFmtId="164">
      <sharedItems containsString="0" containsBlank="1" containsNumber="1" minValue="8" maxValue="3557"/>
    </cacheField>
    <cacheField name="_#_of_Girls_receiving_consultation_hygiene_promotion_messages_and_sessions" numFmtId="164">
      <sharedItems containsString="0" containsBlank="1" containsNumber="1" containsInteger="1" minValue="20" maxValue="3274"/>
    </cacheField>
    <cacheField name="#_of_affected_households_receiving_a_sufficient_quantity_of_soap" numFmtId="164">
      <sharedItems containsString="0" containsBlank="1" containsNumber="1" containsInteger="1" minValue="376" maxValue="4570"/>
    </cacheField>
    <cacheField name="#_of_affected_women_and_girls_receiving_a_sufficient_quantity_of_sanitary_pads" numFmtId="164">
      <sharedItems containsString="0" containsBlank="1" containsNumber="1" containsInteger="1" minValue="510" maxValue="7161"/>
    </cacheField>
    <cacheField name="%_of_women_and_girls_who_report_that_they_have_an_adequate_system_for_disposing_of_used_sanitary_pads" numFmtId="9">
      <sharedItems containsString="0" containsBlank="1" containsNumber="1" minValue="0" maxValue="1"/>
    </cacheField>
    <cacheField name="%_of_affected_people_who_report_handwashing_at_key_times" numFmtId="9">
      <sharedItems containsString="0" containsBlank="1" containsNumber="1" minValue="0.37" maxValue="1"/>
    </cacheField>
    <cacheField name="#_of_functional_HWS_in TLS/CFS" numFmtId="1">
      <sharedItems containsString="0" containsBlank="1" containsNumber="1" containsInteger="1" minValue="0" maxValue="35"/>
    </cacheField>
    <cacheField name="HYGIENE_Comments  _x000a_" numFmtId="49">
      <sharedItems containsBlank="1" longText="1"/>
    </cacheField>
    <cacheField name="%_of_affected_people_surveyed_who_report_feeling_satistfied_with_the_latrine_design_and_sanitation_service" numFmtId="9">
      <sharedItems containsString="0" containsBlank="1" containsNumber="1" minValue="0.62" maxValue="1"/>
    </cacheField>
    <cacheField name="%_of_affected_people_surveyed_who_report_feeling_satistfied_with_the_water_point_design_and_water_service" numFmtId="9">
      <sharedItems containsString="0" containsBlank="1" containsNumber="1" minValue="0.49" maxValue="1"/>
    </cacheField>
    <cacheField name="%_of_affected_people_surveyed_who_report_feeling_informed_about_the_different_WASH_services_available_to_them" numFmtId="9">
      <sharedItems containsString="0" containsBlank="1" containsNumber="1" minValue="0.86"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0">
      <sharedItems containsString="0" containsBlank="1" containsNumber="1" minValue="0" maxValue="0.04"/>
    </cacheField>
    <cacheField name="#_of_sanitation_facilities_(latrines)_built/repaired/rehabilitated_following_risk-sensitive_programming_and_consultation_with_communities_and/or_GBV_risk-sensitive_programming" numFmtId="164">
      <sharedItems containsString="0" containsBlank="1" containsNumber="1" minValue="4" maxValue="570"/>
    </cacheField>
    <cacheField name="#_of_sanitation_facilities_(HH_sanitation_devices)_distributed_following_risk-sensitive_programming_and_consultation_with_communities_and/or_GBV_risk-sensitive_programming" numFmtId="164">
      <sharedItems containsString="0" containsBlank="1" containsNumber="1" containsInteger="1" minValue="0" maxValue="1097"/>
    </cacheField>
    <cacheField name="# of sanitation facilities (bathing spaces) built following risk-sensitive programming and consultation with communities" numFmtId="164">
      <sharedItems containsString="0" containsBlank="1" containsNumber="1" containsInteger="1" minValue="3" maxValue="34"/>
    </cacheField>
    <cacheField name="amount_of_MMK/Voucher_or_Token_distributed_per_HH/Family" numFmtId="0">
      <sharedItems containsNonDate="0" containsString="0" containsBlank="1"/>
    </cacheField>
    <cacheField name="#_of_Family/HH_Reached" numFmtId="0">
      <sharedItems containsNonDate="0" containsString="0" containsBlank="1"/>
    </cacheField>
    <cacheField name="Date_of_Cash_distribution" numFmtId="0">
      <sharedItems containsNonDate="0" containsString="0" containsBlank="1"/>
    </cacheField>
    <cacheField name="Cash_distributed_for_which_items" numFmtId="164">
      <sharedItems containsNonDate="0" containsString="0" containsBlank="1"/>
    </cacheField>
    <cacheField name="Water_testing_at source" numFmtId="9">
      <sharedItems/>
    </cacheField>
    <cacheField name="Water_testing_at HH" numFmtId="9">
      <sharedItems/>
    </cacheField>
    <cacheField name="Warter quality test done" numFmtId="1">
      <sharedItems containsBlank="1" count="3">
        <s v="No Test"/>
        <s v="Tested"/>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67" maxValue="13302"/>
    </cacheField>
    <cacheField name="#Water points coverage" numFmtId="1">
      <sharedItems containsSemiMixedTypes="0" containsString="0" containsNumber="1" minValue="2.1339999999999999" maxValue="26.603999999999999"/>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4972.0000000000009"/>
    </cacheField>
    <cacheField name="Total required water points" numFmtId="1">
      <sharedItems containsSemiMixedTypes="0" containsString="0" containsNumber="1" containsInteger="1" minValue="2" maxValue="27"/>
    </cacheField>
    <cacheField name="#Potential required new water points" numFmtId="1">
      <sharedItems containsSemiMixedTypes="0" containsString="0" containsNumber="1" minValue="0" maxValue="10.000000000000002"/>
    </cacheField>
    <cacheField name="% HRP2" numFmtId="0">
      <sharedItems containsSemiMixedTypes="0" containsString="0" containsNumber="1" minValue="0.39724020968239282" maxValue="1"/>
    </cacheField>
    <cacheField name="HRP2" numFmtId="1">
      <sharedItems containsSemiMixedTypes="0" containsString="0" containsNumber="1" containsInteger="1" minValue="1067" maxValue="12960"/>
    </cacheField>
    <cacheField name="Ratio (PPL:1latrine)" numFmtId="1">
      <sharedItems containsSemiMixedTypes="0" containsString="0" containsNumber="1" minValue="4.5482866043613708" maxValue="61.188679245283019"/>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150"/>
    </cacheField>
    <cacheField name="Total required Latrines" numFmtId="1">
      <sharedItems containsSemiMixedTypes="0" containsString="0" containsNumber="1" containsInteger="1" minValue="53" maxValue="665"/>
    </cacheField>
    <cacheField name="# potential required new latrines" numFmtId="1">
      <sharedItems containsSemiMixedTypes="0" containsString="0" containsNumber="1" containsInteger="1" minValue="0" maxValue="396"/>
    </cacheField>
    <cacheField name="% of Latrine Gap" numFmtId="9">
      <sharedItems containsSemiMixedTypes="0" containsString="0" containsNumber="1" minValue="0" maxValue="0.60275979031760718"/>
    </cacheField>
    <cacheField name="% Latrines requiring  repairs" numFmtId="9">
      <sharedItems containsSemiMixedTypes="0" containsString="0" containsNumber="1" minValue="-1.11731843575419E-2" maxValue="0.42553191489361702"/>
    </cacheField>
    <cacheField name="# people reached by regular dedicated hygiene promotion_5" numFmtId="1">
      <sharedItems containsSemiMixedTypes="0" containsString="0" containsNumber="1" minValue="0" maxValue="12495"/>
    </cacheField>
    <cacheField name="# people reached by regular dedicated hygiene promotion_6" numFmtId="1">
      <sharedItems containsSemiMixedTypes="0" containsString="0" containsNumber="1" containsInteger="1" minValue="0" maxValue="4473"/>
    </cacheField>
    <cacheField name="# People with access to soap" numFmtId="1">
      <sharedItems containsSemiMixedTypes="0" containsString="0" containsNumber="1" minValue="0" maxValue="13302"/>
    </cacheField>
    <cacheField name="# People with access to Sanity Pads" numFmtId="1">
      <sharedItems containsSemiMixedTypes="0" containsString="0" containsNumber="1" containsInteger="1" minValue="0" maxValue="7161"/>
    </cacheField>
    <cacheField name="# People received regular supply of hygiene items_6" numFmtId="1">
      <sharedItems containsSemiMixedTypes="0" containsString="0" containsNumber="1" minValue="0" maxValue="13302"/>
    </cacheField>
    <cacheField name="HRP3" numFmtId="1">
      <sharedItems containsSemiMixedTypes="0" containsString="0" containsNumber="1" minValue="0" maxValue="13302"/>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HRP4" numFmtId="49">
      <sharedItems containsSemiMixedTypes="0" containsString="0" containsNumber="1" minValue="0" maxValue="1273"/>
    </cacheField>
    <cacheField name="HRP5" numFmtId="164">
      <sharedItems containsSemiMixedTypes="0" containsString="0" containsNumber="1" containsInteger="1" minValue="0" maxValue="2850"/>
    </cacheField>
    <cacheField name="HRP6" numFmtId="164">
      <sharedItems containsSemiMixedTypes="0" containsString="0" containsNumber="1" containsInteger="1" minValue="0" maxValue="1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tring="0" containsBlank="1" containsNumber="1" containsInteger="1" minValue="0" maxValue="365"/>
    </cacheField>
    <cacheField name="# of Female_People with disabilities" numFmtId="0">
      <sharedItems containsString="0" containsBlank="1"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027.451192592591" backgroundQuery="1" createdVersion="7" refreshedVersion="7" minRefreshableVersion="3" recordCount="0" supportSubquery="1" supportAdvancedDrill="1" xr:uid="{6BE78A3B-91B5-4E83-BA13-518AE41AFBC3}">
  <cacheSource type="external" connectionId="1"/>
  <cacheFields count="2">
    <cacheField name="[WWWW].[Reporting Period].[Reporting Period]" caption="Reporting Period" numFmtId="0" level="1">
      <sharedItems count="4">
        <s v="2022_Q1"/>
        <s v="2022_Q2"/>
        <s v="2022_Q3"/>
        <s v="2022_Q4"/>
      </sharedItems>
    </cacheField>
    <cacheField name="[Measures].[Distinct Count of WASH implementing agency]" caption="Distinct Count of WASH implementing agency" numFmtId="0" hierarchy="121" level="32767"/>
  </cacheFields>
  <cacheHierarchies count="122">
    <cacheHierarchy uniqueName="[WWWW].[Reporting Period]" caption="Reporting Period" attribute="1" defaultMemberUniqueName="[WWWW].[Reporting Period].[All]" allUniqueName="[WWWW].[Reporting Period].[All]" dimensionUniqueName="[WWWW]" displayFolder="" count="2" memberValueDatatype="130" unbalanced="0">
      <fieldsUsage count="2">
        <fieldUsage x="-1"/>
        <fieldUsage x="0"/>
      </fieldsUsage>
    </cacheHierarchy>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0" memberValueDatatype="20" unbalanced="0"/>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5" unbalanced="0"/>
    <cacheHierarchy uniqueName="[WWWW].[# people reached by regular dedicated hygiene promotion_6]" caption="# people reached by regular dedicated hygiene promotion_6" attribute="1" defaultMemberUniqueName="[WWWW].[# people reached by regular dedicated hygiene promotion_6].[All]" allUniqueName="[WWWW].[# people reached by regular dedicated hygiene promotion_6].[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hidden="1">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y uniqueName="[Measures].[Count of WASH implementing agency]" caption="Count of WASH implementing agency" measure="1" displayFolder="" measureGroup="WWWW" count="0" hidden="1">
      <extLst>
        <ext xmlns:x15="http://schemas.microsoft.com/office/spreadsheetml/2010/11/main" uri="{B97F6D7D-B522-45F9-BDA1-12C45D357490}">
          <x15:cacheHierarchy aggregatedColumn="2"/>
        </ext>
      </extLst>
    </cacheHierarchy>
    <cacheHierarchy uniqueName="[Measures].[Distinct Count of WASH implementing agency]" caption="Distinct Count of WASH implementing agency" measure="1" displayFolder="" measureGroup="WWWW" count="0" oneField="1" hidden="1">
      <fieldsUsage count="1">
        <fieldUsage x="1"/>
      </fieldsUsage>
      <extLst>
        <ext xmlns:x15="http://schemas.microsoft.com/office/spreadsheetml/2010/11/main" uri="{B97F6D7D-B522-45F9-BDA1-12C45D357490}">
          <x15:cacheHierarchy aggregatedColumn="2"/>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944.637382638888" backgroundQuery="1" createdVersion="6" refreshedVersion="7"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8" level="32767"/>
    <cacheField name="[WWWW].[Site Name].[Site Name]" caption="Site Name" numFmtId="0" hierarchy="7" level="1">
      <sharedItems containsSemiMixedTypes="0" containsNonDate="0" containsString="0"/>
    </cacheField>
  </cacheFields>
  <cacheHierarchies count="122">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5" unbalanced="0"/>
    <cacheHierarchy uniqueName="[WWWW].[# people reached by regular dedicated hygiene promotion_6]" caption="# people reached by regular dedicated hygiene promotion_6" attribute="1" defaultMemberUniqueName="[WWWW].[# people reached by regular dedicated hygiene promotion_6].[All]" allUniqueName="[WWWW].[# people reached by regular dedicated hygiene promotion_6].[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y uniqueName="[Measures].[Count of WASH implementing agency]" caption="Count of WASH implementing agency" measure="1" displayFolder="" measureGroup="WWWW" count="0" hidden="1">
      <extLst>
        <ext xmlns:x15="http://schemas.microsoft.com/office/spreadsheetml/2010/11/main" uri="{B97F6D7D-B522-45F9-BDA1-12C45D357490}">
          <x15:cacheHierarchy aggregatedColumn="2"/>
        </ext>
      </extLst>
    </cacheHierarchy>
    <cacheHierarchy uniqueName="[Measures].[Distinct Count of WASH implementing agency]" caption="Distinct Count of WASH implementing agency" measure="1" displayFolder="" measureGroup="WWWW" count="0" hidden="1">
      <extLst>
        <ext xmlns:x15="http://schemas.microsoft.com/office/spreadsheetml/2010/11/main" uri="{B97F6D7D-B522-45F9-BDA1-12C45D357490}">
          <x15:cacheHierarchy aggregatedColumn="2"/>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944.63738148148" backgroundQuery="1" createdVersion="6" refreshedVersion="7"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8"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22">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5" unbalanced="0"/>
    <cacheHierarchy uniqueName="[WWWW].[# people reached by regular dedicated hygiene promotion_6]" caption="# people reached by regular dedicated hygiene promotion_6" attribute="1" defaultMemberUniqueName="[WWWW].[# people reached by regular dedicated hygiene promotion_6].[All]" allUniqueName="[WWWW].[# people reached by regular dedicated hygiene promotion_6].[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y uniqueName="[Measures].[Count of WASH implementing agency]" caption="Count of WASH implementing agency" measure="1" displayFolder="" measureGroup="WWWW" count="0" hidden="1">
      <extLst>
        <ext xmlns:x15="http://schemas.microsoft.com/office/spreadsheetml/2010/11/main" uri="{B97F6D7D-B522-45F9-BDA1-12C45D357490}">
          <x15:cacheHierarchy aggregatedColumn="2"/>
        </ext>
      </extLst>
    </cacheHierarchy>
    <cacheHierarchy uniqueName="[Measures].[Distinct Count of WASH implementing agency]" caption="Distinct Count of WASH implementing agency" measure="1" displayFolder="" measureGroup="WWWW" count="0" hidden="1">
      <extLst>
        <ext xmlns:x15="http://schemas.microsoft.com/office/spreadsheetml/2010/11/main" uri="{B97F6D7D-B522-45F9-BDA1-12C45D357490}">
          <x15:cacheHierarchy aggregatedColumn="2"/>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
  <r>
    <x v="0"/>
    <x v="0"/>
    <x v="0"/>
    <s v="ECHO, OFDA, CDC "/>
    <x v="0"/>
    <x v="0"/>
    <x v="0"/>
    <x v="0"/>
    <n v="1112"/>
    <n v="5133"/>
    <n v="4.6160071942446042"/>
    <s v="10/1/2020, 3/1/2019"/>
    <s v="12/31/2020, 2/28/2022"/>
    <m/>
    <m/>
    <m/>
    <n v="14"/>
    <n v="14"/>
    <m/>
    <n v="5133"/>
    <m/>
    <m/>
    <m/>
    <m/>
    <m/>
    <m/>
    <m/>
    <m/>
    <n v="168"/>
    <n v="198"/>
    <m/>
    <m/>
    <n v="0.99"/>
    <n v="0.98"/>
    <n v="0.98"/>
    <n v="27"/>
    <n v="60"/>
    <m/>
    <n v="3"/>
    <x v="0"/>
    <s v="The result of percentage indicators were from the KAP survey conducted in Sep 2021. The next survey will be done in April 2022."/>
    <n v="997"/>
    <n v="1200"/>
    <n v="1521"/>
    <n v="1415"/>
    <n v="1112"/>
    <n v="2224"/>
    <m/>
    <n v="0.79"/>
    <m/>
    <s v="Distribution done in March covering 3 months"/>
    <n v="0.98"/>
    <n v="0.99"/>
    <n v="0.99"/>
    <n v="1"/>
    <m/>
    <m/>
    <m/>
    <m/>
    <m/>
    <m/>
    <m/>
    <m/>
    <s v="no test"/>
    <s v="no test"/>
    <x v="0"/>
    <n v="1"/>
    <n v="5133"/>
    <n v="10.266"/>
    <n v="0"/>
    <n v="0"/>
    <n v="10"/>
    <n v="0"/>
    <n v="0.77147866744593807"/>
    <n v="3960"/>
    <n v="30.553571428571427"/>
    <n v="0"/>
    <n v="150"/>
    <n v="257"/>
    <n v="59"/>
    <n v="0.22852133255406193"/>
    <n v="0.15151515151515152"/>
    <n v="5133"/>
    <n v="0"/>
    <n v="5133"/>
    <n v="2224"/>
    <n v="5133"/>
    <n v="5133"/>
    <n v="1"/>
    <n v="0"/>
    <n v="1"/>
    <n v="1"/>
    <s v="No"/>
    <n v="0.99"/>
    <n v="0"/>
    <n v="0"/>
    <n v="150"/>
    <s v="Yes"/>
    <s v="LWF"/>
    <s v="Camp"/>
    <x v="0"/>
    <s v="Muslim"/>
    <n v="20.108101999999999"/>
    <n v="92.985095000000001"/>
    <s v="MMR012CMP016"/>
    <x v="0"/>
    <n v="279"/>
    <n v="636"/>
    <n v="915"/>
    <m/>
    <m/>
    <m/>
    <m/>
    <n v="1115"/>
    <n v="5197"/>
  </r>
  <r>
    <x v="0"/>
    <x v="1"/>
    <x v="1"/>
    <s v="DFID/HARP"/>
    <x v="0"/>
    <x v="1"/>
    <x v="0"/>
    <x v="1"/>
    <n v="382"/>
    <n v="2139"/>
    <n v="5.5994764397905756"/>
    <d v="2022-04-01T00:00:00"/>
    <d v="2022-06-30T00:00:00"/>
    <m/>
    <n v="21"/>
    <n v="23"/>
    <m/>
    <m/>
    <m/>
    <m/>
    <m/>
    <m/>
    <m/>
    <m/>
    <m/>
    <m/>
    <m/>
    <m/>
    <n v="113"/>
    <n v="120"/>
    <n v="101"/>
    <n v="70"/>
    <n v="1"/>
    <n v="0.91"/>
    <n v="0.55000000000000004"/>
    <n v="12"/>
    <n v="37"/>
    <n v="4"/>
    <m/>
    <x v="0"/>
    <m/>
    <n v="8"/>
    <n v="27"/>
    <n v="9"/>
    <n v="89"/>
    <n v="382"/>
    <n v="764"/>
    <n v="1"/>
    <n v="1"/>
    <n v="8"/>
    <m/>
    <n v="1"/>
    <n v="1"/>
    <n v="1"/>
    <n v="0.88"/>
    <m/>
    <n v="120"/>
    <m/>
    <m/>
    <m/>
    <m/>
    <m/>
    <m/>
    <s v="no test"/>
    <s v="no test"/>
    <x v="0"/>
    <n v="1"/>
    <n v="2139"/>
    <n v="4.2779999999999996"/>
    <n v="0"/>
    <n v="0"/>
    <n v="4"/>
    <n v="0"/>
    <n v="1"/>
    <n v="2139"/>
    <n v="18.929203539823011"/>
    <n v="200"/>
    <n v="0"/>
    <n v="107"/>
    <n v="0"/>
    <n v="0"/>
    <n v="5.8333333333333334E-2"/>
    <n v="133"/>
    <n v="0"/>
    <n v="2139"/>
    <n v="764"/>
    <n v="2139"/>
    <n v="2139"/>
    <n v="1"/>
    <n v="0"/>
    <n v="6.2178588125292193E-2"/>
    <n v="1"/>
    <s v="No"/>
    <n v="1"/>
    <n v="120"/>
    <n v="200"/>
    <n v="0"/>
    <s v="Yes"/>
    <n v="0"/>
    <s v="Camp"/>
    <x v="0"/>
    <s v="Muslim"/>
    <n v="20.128488999999998"/>
    <n v="92.875814000000005"/>
    <s v="MMR012CMP039"/>
    <x v="0"/>
    <n v="100"/>
    <n v="301"/>
    <n v="401"/>
    <m/>
    <m/>
    <m/>
    <m/>
    <n v="380"/>
    <n v="2435"/>
  </r>
  <r>
    <x v="0"/>
    <x v="1"/>
    <x v="1"/>
    <s v="DFID/HARP"/>
    <x v="0"/>
    <x v="1"/>
    <x v="0"/>
    <x v="2"/>
    <n v="1012"/>
    <n v="4875"/>
    <n v="4.8171936758893281"/>
    <d v="2022-04-01T00:00:00"/>
    <d v="2022-06-30T00:00:00"/>
    <m/>
    <n v="42"/>
    <n v="50"/>
    <m/>
    <m/>
    <m/>
    <m/>
    <m/>
    <m/>
    <m/>
    <m/>
    <m/>
    <m/>
    <m/>
    <m/>
    <n v="232"/>
    <n v="254"/>
    <n v="221"/>
    <n v="285"/>
    <n v="1"/>
    <n v="0.97"/>
    <n v="0.11"/>
    <n v="12"/>
    <n v="183"/>
    <n v="11"/>
    <m/>
    <x v="0"/>
    <m/>
    <n v="37"/>
    <n v="26"/>
    <n v="8"/>
    <n v="131"/>
    <n v="1012"/>
    <n v="2024"/>
    <n v="0.86"/>
    <n v="1"/>
    <n v="0"/>
    <m/>
    <n v="0.94"/>
    <n v="0.87"/>
    <n v="0.9"/>
    <n v="0.86"/>
    <m/>
    <n v="254"/>
    <m/>
    <m/>
    <m/>
    <m/>
    <m/>
    <m/>
    <s v="no test"/>
    <s v="no test"/>
    <x v="0"/>
    <n v="1"/>
    <n v="4875"/>
    <n v="9.75"/>
    <n v="0"/>
    <n v="0"/>
    <n v="10"/>
    <n v="0.25"/>
    <n v="1"/>
    <n v="4875"/>
    <n v="21.012931034482758"/>
    <n v="550"/>
    <n v="0"/>
    <n v="244"/>
    <n v="0"/>
    <n v="0"/>
    <n v="8.6614173228346455E-2"/>
    <n v="202"/>
    <n v="0"/>
    <n v="4875"/>
    <n v="2024"/>
    <n v="4875"/>
    <n v="4875"/>
    <n v="1"/>
    <n v="0"/>
    <n v="4.1435897435897436E-2"/>
    <n v="1"/>
    <s v="No"/>
    <n v="0.9"/>
    <n v="254"/>
    <n v="550"/>
    <n v="0"/>
    <s v="Yes"/>
    <n v="0"/>
    <s v="Camp"/>
    <x v="0"/>
    <s v="Muslim"/>
    <n v="20.179417000000001"/>
    <n v="92.813028000000003"/>
    <s v="MMR012CMP113"/>
    <x v="0"/>
    <n v="46"/>
    <n v="436"/>
    <n v="482"/>
    <m/>
    <m/>
    <m/>
    <m/>
    <n v="1012"/>
    <n v="5066"/>
  </r>
  <r>
    <x v="0"/>
    <x v="1"/>
    <x v="1"/>
    <s v="DFID/HARP"/>
    <x v="0"/>
    <x v="1"/>
    <x v="0"/>
    <x v="3"/>
    <n v="1331"/>
    <n v="7033"/>
    <n v="5.2839969947407965"/>
    <d v="2022-04-01T00:00:00"/>
    <d v="2022-06-30T00:00:00"/>
    <m/>
    <n v="69"/>
    <n v="79"/>
    <m/>
    <m/>
    <m/>
    <m/>
    <m/>
    <m/>
    <m/>
    <m/>
    <m/>
    <m/>
    <m/>
    <m/>
    <n v="265"/>
    <n v="328"/>
    <m/>
    <m/>
    <m/>
    <m/>
    <m/>
    <n v="12"/>
    <m/>
    <m/>
    <m/>
    <x v="0"/>
    <m/>
    <m/>
    <m/>
    <m/>
    <m/>
    <n v="1331"/>
    <n v="2662"/>
    <m/>
    <m/>
    <m/>
    <m/>
    <m/>
    <m/>
    <m/>
    <m/>
    <m/>
    <n v="328"/>
    <m/>
    <m/>
    <m/>
    <m/>
    <m/>
    <m/>
    <s v="no test"/>
    <s v="no test"/>
    <x v="0"/>
    <n v="1"/>
    <n v="7033"/>
    <n v="14.066000000000001"/>
    <n v="0"/>
    <n v="0"/>
    <n v="14"/>
    <n v="0"/>
    <n v="0.78771505758566762"/>
    <n v="5540"/>
    <n v="26.539622641509435"/>
    <n v="0"/>
    <n v="0"/>
    <n v="352"/>
    <n v="24"/>
    <n v="0.21228494241433238"/>
    <n v="0.19207317073170732"/>
    <n v="0"/>
    <n v="0"/>
    <n v="7033"/>
    <n v="2662"/>
    <n v="7033"/>
    <n v="7033"/>
    <n v="1"/>
    <n v="0"/>
    <n v="0"/>
    <n v="1"/>
    <s v="No"/>
    <n v="0"/>
    <n v="328"/>
    <n v="0"/>
    <n v="0"/>
    <s v="Yes"/>
    <n v="0"/>
    <s v="Camp"/>
    <x v="0"/>
    <s v="Muslim"/>
    <n v="20.181405999999999"/>
    <n v="92.807552000000001"/>
    <s v="MMR012CMP114"/>
    <x v="0"/>
    <n v="242"/>
    <n v="822"/>
    <n v="1064"/>
    <m/>
    <m/>
    <m/>
    <m/>
    <n v="1346"/>
    <n v="8414"/>
  </r>
  <r>
    <x v="0"/>
    <x v="1"/>
    <x v="1"/>
    <s v="DFID/HARP"/>
    <x v="0"/>
    <x v="1"/>
    <x v="0"/>
    <x v="4"/>
    <n v="1850"/>
    <n v="11056"/>
    <n v="5.9762162162162165"/>
    <d v="2022-04-01T00:00:00"/>
    <d v="2022-06-30T00:00:00"/>
    <m/>
    <n v="79"/>
    <n v="86"/>
    <m/>
    <m/>
    <m/>
    <m/>
    <m/>
    <m/>
    <m/>
    <m/>
    <m/>
    <m/>
    <m/>
    <m/>
    <n v="438"/>
    <n v="570"/>
    <n v="213"/>
    <n v="191"/>
    <m/>
    <n v="0.94"/>
    <n v="0.77"/>
    <n v="12"/>
    <n v="68"/>
    <n v="7"/>
    <m/>
    <x v="0"/>
    <m/>
    <n v="45"/>
    <n v="25"/>
    <n v="8"/>
    <n v="135"/>
    <n v="1850"/>
    <n v="3700"/>
    <n v="0.96"/>
    <n v="1"/>
    <n v="0"/>
    <m/>
    <n v="1"/>
    <n v="1"/>
    <n v="1"/>
    <n v="0.79"/>
    <m/>
    <n v="570"/>
    <m/>
    <m/>
    <m/>
    <m/>
    <m/>
    <m/>
    <s v="no test"/>
    <s v="no test"/>
    <x v="0"/>
    <n v="1"/>
    <n v="11056"/>
    <n v="22.111999999999998"/>
    <n v="0"/>
    <n v="0"/>
    <n v="22"/>
    <n v="0"/>
    <n v="0.82018813314037631"/>
    <n v="9068"/>
    <n v="25.24200913242009"/>
    <n v="350"/>
    <n v="0"/>
    <n v="553"/>
    <n v="0"/>
    <n v="0.17981186685962369"/>
    <n v="0.23157894736842105"/>
    <n v="213"/>
    <n v="0"/>
    <n v="11056"/>
    <n v="3700"/>
    <n v="11056"/>
    <n v="11056"/>
    <n v="1"/>
    <n v="0"/>
    <n v="1.9265557163531115E-2"/>
    <n v="1"/>
    <s v="No"/>
    <n v="1"/>
    <n v="570"/>
    <n v="350"/>
    <n v="0"/>
    <s v="Yes"/>
    <n v="0"/>
    <s v="Camp"/>
    <x v="0"/>
    <s v="Muslim"/>
    <n v="20.16846"/>
    <n v="92.827427"/>
    <s v="MMR012CMP041"/>
    <x v="0"/>
    <n v="104"/>
    <n v="810"/>
    <n v="914"/>
    <m/>
    <m/>
    <m/>
    <m/>
    <n v="1713"/>
    <n v="11460"/>
  </r>
  <r>
    <x v="0"/>
    <x v="2"/>
    <x v="2"/>
    <s v="DFID/HARP"/>
    <x v="0"/>
    <x v="1"/>
    <x v="0"/>
    <x v="5"/>
    <n v="400"/>
    <n v="2248"/>
    <n v="5.62"/>
    <d v="2021-01-01T00:00:00"/>
    <d v="2022-01-31T00:00:00"/>
    <m/>
    <n v="47"/>
    <n v="53"/>
    <m/>
    <m/>
    <m/>
    <m/>
    <m/>
    <m/>
    <m/>
    <m/>
    <m/>
    <m/>
    <m/>
    <m/>
    <n v="100"/>
    <n v="116"/>
    <m/>
    <m/>
    <m/>
    <m/>
    <m/>
    <n v="12"/>
    <n v="29"/>
    <n v="4"/>
    <m/>
    <x v="0"/>
    <m/>
    <m/>
    <m/>
    <m/>
    <m/>
    <m/>
    <m/>
    <m/>
    <m/>
    <n v="5"/>
    <m/>
    <m/>
    <m/>
    <m/>
    <m/>
    <m/>
    <m/>
    <m/>
    <m/>
    <m/>
    <m/>
    <m/>
    <m/>
    <s v="no test"/>
    <s v="no test"/>
    <x v="0"/>
    <n v="1"/>
    <n v="2248"/>
    <n v="4.4960000000000004"/>
    <n v="0"/>
    <n v="0"/>
    <n v="4"/>
    <n v="0"/>
    <n v="1"/>
    <n v="2248"/>
    <n v="22.48"/>
    <n v="200"/>
    <n v="0"/>
    <n v="112"/>
    <n v="0"/>
    <n v="0"/>
    <n v="0.13793103448275862"/>
    <n v="0"/>
    <n v="0"/>
    <n v="0"/>
    <n v="0"/>
    <n v="0"/>
    <n v="0"/>
    <n v="0"/>
    <n v="1"/>
    <n v="0"/>
    <n v="0"/>
    <s v="No"/>
    <n v="0"/>
    <n v="0"/>
    <n v="200"/>
    <n v="0"/>
    <s v="Yes"/>
    <n v="0"/>
    <s v="Camp"/>
    <x v="0"/>
    <s v="Muslim"/>
    <n v="20.181778000000001"/>
    <n v="92.823166999999998"/>
    <s v="MMR012CMP042"/>
    <x v="0"/>
    <n v="47"/>
    <n v="306"/>
    <n v="353"/>
    <m/>
    <m/>
    <m/>
    <m/>
    <n v="392"/>
    <n v="2455"/>
  </r>
  <r>
    <x v="0"/>
    <x v="1"/>
    <x v="1"/>
    <s v="DFID/HARP"/>
    <x v="0"/>
    <x v="1"/>
    <x v="0"/>
    <x v="6"/>
    <n v="400"/>
    <n v="2186"/>
    <n v="5.4649999999999999"/>
    <d v="2021-01-01T00:00:00"/>
    <d v="2022-01-31T00:00:00"/>
    <m/>
    <n v="24"/>
    <n v="26"/>
    <m/>
    <m/>
    <m/>
    <m/>
    <m/>
    <m/>
    <m/>
    <m/>
    <m/>
    <m/>
    <m/>
    <m/>
    <n v="100"/>
    <n v="104"/>
    <m/>
    <m/>
    <m/>
    <m/>
    <m/>
    <n v="8"/>
    <n v="32"/>
    <n v="3"/>
    <m/>
    <x v="0"/>
    <m/>
    <m/>
    <m/>
    <m/>
    <m/>
    <m/>
    <m/>
    <m/>
    <m/>
    <n v="0"/>
    <m/>
    <m/>
    <m/>
    <m/>
    <m/>
    <m/>
    <m/>
    <m/>
    <m/>
    <m/>
    <m/>
    <m/>
    <m/>
    <s v="no test"/>
    <s v="no test"/>
    <x v="0"/>
    <n v="1"/>
    <n v="2186"/>
    <n v="4.3719999999999999"/>
    <n v="0"/>
    <n v="0"/>
    <n v="4"/>
    <n v="0"/>
    <n v="1"/>
    <n v="2186"/>
    <n v="21.86"/>
    <n v="150"/>
    <n v="0"/>
    <n v="109"/>
    <n v="5"/>
    <n v="0"/>
    <n v="3.8461538461538464E-2"/>
    <n v="0"/>
    <n v="0"/>
    <n v="0"/>
    <n v="0"/>
    <n v="0"/>
    <n v="0"/>
    <n v="0"/>
    <n v="1"/>
    <n v="0"/>
    <n v="0"/>
    <s v="No"/>
    <n v="0"/>
    <n v="0"/>
    <n v="150"/>
    <n v="0"/>
    <n v="0"/>
    <n v="0"/>
    <s v="Camp"/>
    <x v="0"/>
    <s v="Muslim"/>
    <n v="20.180194"/>
    <n v="92.816638999999995"/>
    <s v="MMR012CMP042"/>
    <x v="0"/>
    <n v="70"/>
    <n v="241"/>
    <n v="311"/>
    <m/>
    <m/>
    <m/>
    <m/>
    <n v="400"/>
    <n v="2228"/>
  </r>
  <r>
    <x v="0"/>
    <x v="3"/>
    <x v="3"/>
    <s v="UNICEF"/>
    <x v="0"/>
    <x v="2"/>
    <x v="0"/>
    <x v="7"/>
    <n v="372"/>
    <n v="1067"/>
    <n v="2.868279569892473"/>
    <d v="2021-07-01T00:00:00"/>
    <d v="2022-06-30T00:00:00"/>
    <m/>
    <m/>
    <m/>
    <n v="14"/>
    <n v="19"/>
    <m/>
    <n v="1067"/>
    <n v="36"/>
    <n v="1"/>
    <n v="84"/>
    <n v="0.99"/>
    <n v="376"/>
    <n v="197"/>
    <m/>
    <s v="CDA provided 367 UNICEF Logo bucket (20 liter and 10 liters) to Kyauk Talone camp in March 2022."/>
    <n v="94"/>
    <n v="94"/>
    <n v="23"/>
    <n v="94"/>
    <n v="1"/>
    <n v="1"/>
    <n v="1"/>
    <m/>
    <m/>
    <n v="8"/>
    <m/>
    <x v="0"/>
    <s v="10% of women complained this PD sanitation pad because these pads are thin and not confortable  for day using but better using for night time."/>
    <n v="124"/>
    <n v="199"/>
    <n v="33"/>
    <n v="41"/>
    <n v="376"/>
    <n v="511"/>
    <n v="0"/>
    <n v="0.95"/>
    <n v="8"/>
    <m/>
    <m/>
    <m/>
    <m/>
    <m/>
    <n v="0"/>
    <m/>
    <m/>
    <m/>
    <m/>
    <m/>
    <m/>
    <m/>
    <s v="Tested"/>
    <s v="Tested"/>
    <x v="1"/>
    <n v="1"/>
    <n v="1067"/>
    <n v="2.1339999999999999"/>
    <n v="0"/>
    <n v="0"/>
    <n v="2"/>
    <n v="0"/>
    <n v="1"/>
    <n v="1067"/>
    <n v="11.351063829787234"/>
    <n v="400"/>
    <n v="0"/>
    <n v="53"/>
    <n v="0"/>
    <n v="0"/>
    <n v="0"/>
    <n v="397"/>
    <n v="0"/>
    <n v="1067"/>
    <n v="511"/>
    <n v="1067"/>
    <n v="1067"/>
    <n v="1"/>
    <n v="0"/>
    <n v="0.37207122774133083"/>
    <n v="1"/>
    <s v="No"/>
    <n v="0"/>
    <n v="0"/>
    <n v="400"/>
    <n v="0"/>
    <s v="Yes"/>
    <s v="UNHCR"/>
    <s v="Camp"/>
    <x v="0"/>
    <s v="Muslim"/>
    <n v="19.424576999999999"/>
    <n v="93.512326000000002"/>
    <s v="MMR012CMP035"/>
    <x v="0"/>
    <n v="0"/>
    <n v="0"/>
    <n v="0"/>
    <m/>
    <m/>
    <m/>
    <m/>
    <n v="334"/>
    <n v="1001"/>
  </r>
  <r>
    <x v="0"/>
    <x v="0"/>
    <x v="0"/>
    <s v="UNICEF, OFDA"/>
    <x v="0"/>
    <x v="0"/>
    <x v="0"/>
    <x v="8"/>
    <n v="1387"/>
    <n v="6674"/>
    <n v="4.8118240807498198"/>
    <d v="2018-12-11T00:00:00"/>
    <d v="2022-02-28T00:00:00"/>
    <m/>
    <m/>
    <m/>
    <n v="36"/>
    <n v="36"/>
    <m/>
    <n v="6674"/>
    <m/>
    <m/>
    <m/>
    <m/>
    <m/>
    <m/>
    <m/>
    <m/>
    <n v="212"/>
    <n v="238"/>
    <m/>
    <m/>
    <n v="0.99"/>
    <n v="0.98"/>
    <n v="0.98"/>
    <n v="18"/>
    <n v="69"/>
    <m/>
    <n v="3"/>
    <x v="0"/>
    <s v="The result of percentage indicators were from the KAP survey conducted in Sep 2021. The next survey will be done in April 2022."/>
    <n v="1375"/>
    <n v="1497"/>
    <n v="1953"/>
    <n v="1849"/>
    <n v="1387"/>
    <n v="2774"/>
    <m/>
    <n v="0.79"/>
    <m/>
    <s v="Distribution done in March covering 2 months"/>
    <n v="0.83"/>
    <n v="0.99"/>
    <n v="0.97"/>
    <n v="1"/>
    <m/>
    <m/>
    <m/>
    <m/>
    <m/>
    <m/>
    <m/>
    <m/>
    <s v="no test"/>
    <s v="no test"/>
    <x v="0"/>
    <n v="1"/>
    <n v="6674"/>
    <n v="13.348000000000001"/>
    <n v="0"/>
    <n v="0"/>
    <n v="13"/>
    <n v="0"/>
    <n v="0.69958046149235842"/>
    <n v="4669"/>
    <n v="31.481132075471699"/>
    <n v="0"/>
    <n v="150"/>
    <n v="334"/>
    <n v="96"/>
    <n v="0.30041953850764158"/>
    <n v="0.1092436974789916"/>
    <n v="6674"/>
    <n v="0"/>
    <n v="6674"/>
    <n v="2774"/>
    <n v="6674"/>
    <n v="6674"/>
    <n v="1"/>
    <n v="0"/>
    <n v="1"/>
    <n v="1"/>
    <s v="No"/>
    <n v="0.97"/>
    <n v="0"/>
    <n v="0"/>
    <n v="150"/>
    <s v="Yes"/>
    <s v="DRC"/>
    <s v="Camp"/>
    <x v="0"/>
    <s v="Muslim"/>
    <n v="20.090183"/>
    <n v="93.010368999999997"/>
    <s v="MMR012CMP018"/>
    <x v="0"/>
    <n v="95"/>
    <n v="1102"/>
    <n v="1197"/>
    <m/>
    <m/>
    <m/>
    <m/>
    <n v="1387"/>
    <n v="6674"/>
  </r>
  <r>
    <x v="0"/>
    <x v="2"/>
    <x v="2"/>
    <s v="DFID/HARP"/>
    <x v="0"/>
    <x v="1"/>
    <x v="0"/>
    <x v="9"/>
    <n v="656"/>
    <n v="3486"/>
    <n v="5.3140243902439028"/>
    <d v="2021-01-01T00:00:00"/>
    <d v="2022-01-31T00:00:00"/>
    <m/>
    <n v="29"/>
    <n v="39"/>
    <m/>
    <m/>
    <m/>
    <m/>
    <m/>
    <m/>
    <m/>
    <m/>
    <m/>
    <m/>
    <m/>
    <m/>
    <n v="199"/>
    <n v="228"/>
    <m/>
    <m/>
    <m/>
    <m/>
    <m/>
    <n v="2"/>
    <n v="42"/>
    <n v="8"/>
    <m/>
    <x v="0"/>
    <m/>
    <m/>
    <m/>
    <m/>
    <m/>
    <m/>
    <m/>
    <m/>
    <m/>
    <n v="3"/>
    <m/>
    <m/>
    <m/>
    <m/>
    <m/>
    <m/>
    <m/>
    <m/>
    <m/>
    <m/>
    <m/>
    <m/>
    <m/>
    <s v="no test"/>
    <s v="no test"/>
    <x v="0"/>
    <n v="1"/>
    <n v="3486"/>
    <n v="6.9720000000000004"/>
    <n v="0"/>
    <n v="0"/>
    <n v="7"/>
    <n v="2.7999999999999581E-2"/>
    <n v="1"/>
    <n v="3486"/>
    <n v="17.517587939698494"/>
    <n v="400"/>
    <n v="0"/>
    <n v="174"/>
    <n v="0"/>
    <n v="0"/>
    <n v="0.12719298245614036"/>
    <n v="0"/>
    <n v="0"/>
    <n v="0"/>
    <n v="0"/>
    <n v="0"/>
    <n v="0"/>
    <n v="0"/>
    <n v="1"/>
    <n v="0"/>
    <n v="0"/>
    <s v="No"/>
    <n v="0"/>
    <n v="0"/>
    <n v="400"/>
    <n v="0"/>
    <s v="Yes"/>
    <n v="0"/>
    <s v="Camp"/>
    <x v="0"/>
    <s v="Muslim"/>
    <n v="20.185917"/>
    <n v="92.831000000000003"/>
    <s v="MMR012CMP092"/>
    <x v="0"/>
    <n v="88"/>
    <n v="397"/>
    <n v="485"/>
    <m/>
    <m/>
    <m/>
    <m/>
    <n v="657"/>
    <n v="3906"/>
  </r>
  <r>
    <x v="0"/>
    <x v="0"/>
    <x v="0"/>
    <s v="ECHO, OFDA, CDC "/>
    <x v="0"/>
    <x v="0"/>
    <x v="0"/>
    <x v="10"/>
    <n v="1076"/>
    <n v="5024"/>
    <n v="4.6691449814126393"/>
    <d v="2019-03-01T00:00:00"/>
    <d v="2022-02-28T00:00:00"/>
    <m/>
    <m/>
    <m/>
    <n v="9"/>
    <n v="9"/>
    <m/>
    <n v="5024"/>
    <m/>
    <m/>
    <m/>
    <m/>
    <m/>
    <m/>
    <m/>
    <m/>
    <n v="121"/>
    <n v="154"/>
    <m/>
    <m/>
    <n v="0.99"/>
    <n v="0.98"/>
    <n v="0.98"/>
    <n v="25"/>
    <n v="120"/>
    <m/>
    <n v="2"/>
    <x v="0"/>
    <s v="The result of percentage indicators were from the KAP survey conducted in Sep 2021. The next survey will be done in April 2022."/>
    <n v="974"/>
    <n v="1090"/>
    <n v="1516"/>
    <n v="1444"/>
    <n v="1059"/>
    <n v="2118"/>
    <m/>
    <n v="0.79"/>
    <m/>
    <s v="Distribution done in March covering 3 months"/>
    <n v="0.99"/>
    <n v="0.99"/>
    <n v="0.95"/>
    <n v="1"/>
    <m/>
    <m/>
    <m/>
    <m/>
    <m/>
    <m/>
    <m/>
    <m/>
    <s v="no test"/>
    <s v="no test"/>
    <x v="0"/>
    <n v="1"/>
    <n v="5024"/>
    <n v="10.048"/>
    <n v="0"/>
    <n v="0"/>
    <n v="10"/>
    <n v="0"/>
    <n v="0.60509554140127386"/>
    <n v="3040"/>
    <n v="41.52066115702479"/>
    <n v="0"/>
    <n v="100"/>
    <n v="251"/>
    <n v="97"/>
    <n v="0.39490445859872614"/>
    <n v="0.21428571428571427"/>
    <n v="5024"/>
    <n v="0"/>
    <n v="4944.6245353159848"/>
    <n v="2118"/>
    <n v="4944.6245353159848"/>
    <n v="5024"/>
    <n v="1"/>
    <n v="0"/>
    <n v="1"/>
    <n v="0.98420074349442377"/>
    <s v="No"/>
    <n v="0.95"/>
    <n v="0"/>
    <n v="0"/>
    <n v="100"/>
    <s v="Yes"/>
    <s v="LWF"/>
    <s v="Camp"/>
    <x v="1"/>
    <s v="Muslim"/>
    <n v="20.073437999999999"/>
    <n v="93.154551999999995"/>
    <s v="MMR012CMP017"/>
    <x v="0"/>
    <n v="159"/>
    <n v="923"/>
    <n v="1082"/>
    <m/>
    <m/>
    <m/>
    <m/>
    <n v="1059"/>
    <n v="5004"/>
  </r>
  <r>
    <x v="0"/>
    <x v="0"/>
    <x v="0"/>
    <s v="ECHO, OFDA, CDC "/>
    <x v="0"/>
    <x v="0"/>
    <x v="0"/>
    <x v="11"/>
    <n v="1064"/>
    <n v="5137"/>
    <n v="4.8280075187969924"/>
    <d v="2019-03-01T00:00:00"/>
    <d v="2022-02-28T00:00:00"/>
    <m/>
    <m/>
    <m/>
    <n v="7"/>
    <n v="7"/>
    <m/>
    <n v="5137"/>
    <m/>
    <m/>
    <m/>
    <m/>
    <m/>
    <m/>
    <m/>
    <m/>
    <n v="148"/>
    <n v="189"/>
    <m/>
    <m/>
    <n v="0.99"/>
    <n v="0.98"/>
    <n v="0.98"/>
    <n v="34"/>
    <n v="80"/>
    <m/>
    <n v="3"/>
    <x v="0"/>
    <s v="The result of percentage indicators were from the KAP survey conducted in Sep 2021. The next survey will be done in April 2022."/>
    <n v="1051"/>
    <n v="1120"/>
    <n v="1582"/>
    <n v="1384"/>
    <n v="1064"/>
    <n v="2128"/>
    <m/>
    <n v="0.79"/>
    <m/>
    <s v="Distribution done March covering 3 months"/>
    <n v="0.99"/>
    <n v="0.98"/>
    <n v="0.96"/>
    <n v="1"/>
    <m/>
    <m/>
    <m/>
    <m/>
    <m/>
    <m/>
    <m/>
    <m/>
    <s v="no test"/>
    <s v="no test"/>
    <x v="0"/>
    <n v="1"/>
    <n v="5137"/>
    <n v="10.273999999999999"/>
    <n v="0"/>
    <n v="0"/>
    <n v="10"/>
    <n v="0"/>
    <n v="0.72415806891181622"/>
    <n v="3720"/>
    <n v="34.70945945945946"/>
    <n v="0"/>
    <n v="150"/>
    <n v="257"/>
    <n v="68"/>
    <n v="0.27584193108818378"/>
    <n v="0.21693121693121692"/>
    <n v="5137"/>
    <n v="0"/>
    <n v="5137"/>
    <n v="2128"/>
    <n v="5137"/>
    <n v="5137"/>
    <n v="1"/>
    <n v="0"/>
    <n v="1"/>
    <n v="1"/>
    <s v="No"/>
    <n v="0.96"/>
    <n v="0"/>
    <n v="0"/>
    <n v="150"/>
    <s v="Yes"/>
    <s v="LWF"/>
    <s v="Camp"/>
    <x v="0"/>
    <s v="Muslim"/>
    <n v="20.073437999999999"/>
    <n v="93.154551999999995"/>
    <s v="MMR012CMP017"/>
    <x v="0"/>
    <n v="116"/>
    <n v="693"/>
    <n v="809"/>
    <m/>
    <m/>
    <m/>
    <m/>
    <n v="982"/>
    <n v="4828"/>
  </r>
  <r>
    <x v="0"/>
    <x v="2"/>
    <x v="2"/>
    <s v="DFID/HARP"/>
    <x v="0"/>
    <x v="1"/>
    <x v="0"/>
    <x v="12"/>
    <n v="774"/>
    <n v="3095"/>
    <n v="3.9987080103359172"/>
    <d v="2021-01-01T00:00:00"/>
    <d v="2022-01-31T00:00:00"/>
    <m/>
    <n v="59"/>
    <n v="80"/>
    <m/>
    <m/>
    <m/>
    <m/>
    <m/>
    <m/>
    <m/>
    <m/>
    <m/>
    <m/>
    <m/>
    <m/>
    <n v="140"/>
    <n v="187"/>
    <m/>
    <m/>
    <m/>
    <m/>
    <m/>
    <m/>
    <n v="19"/>
    <n v="2"/>
    <m/>
    <x v="0"/>
    <m/>
    <m/>
    <m/>
    <m/>
    <m/>
    <m/>
    <m/>
    <m/>
    <m/>
    <m/>
    <m/>
    <m/>
    <m/>
    <m/>
    <m/>
    <m/>
    <m/>
    <m/>
    <m/>
    <m/>
    <m/>
    <m/>
    <m/>
    <s v="no test"/>
    <s v="no test"/>
    <x v="0"/>
    <n v="1"/>
    <n v="3095"/>
    <n v="6.19"/>
    <n v="0"/>
    <n v="0"/>
    <n v="6"/>
    <n v="0"/>
    <n v="0.91082390953150238"/>
    <n v="2819"/>
    <n v="22.107142857142858"/>
    <n v="100"/>
    <n v="0"/>
    <n v="155"/>
    <n v="0"/>
    <n v="8.9176090468497615E-2"/>
    <n v="0.25133689839572193"/>
    <n v="0"/>
    <n v="0"/>
    <n v="0"/>
    <n v="0"/>
    <n v="0"/>
    <n v="0"/>
    <n v="0"/>
    <n v="1"/>
    <n v="0"/>
    <n v="0"/>
    <s v="No"/>
    <n v="0"/>
    <n v="0"/>
    <n v="100"/>
    <n v="0"/>
    <s v="Yes"/>
    <n v="0"/>
    <s v="Camp"/>
    <x v="0"/>
    <s v="Muslim"/>
    <n v="20.206778"/>
    <n v="92.774193999999994"/>
    <s v="MMR012CMP098"/>
    <x v="0"/>
    <n v="42"/>
    <n v="432"/>
    <n v="474"/>
    <m/>
    <m/>
    <m/>
    <m/>
    <n v="777"/>
    <n v="4735"/>
  </r>
  <r>
    <x v="0"/>
    <x v="2"/>
    <x v="2"/>
    <s v="DFID/HARP"/>
    <x v="0"/>
    <x v="1"/>
    <x v="0"/>
    <x v="13"/>
    <n v="2728"/>
    <n v="13302"/>
    <n v="4.8760997067448679"/>
    <d v="2021-01-01T00:00:00"/>
    <d v="2022-01-31T00:00:00"/>
    <m/>
    <n v="205"/>
    <n v="226"/>
    <m/>
    <m/>
    <m/>
    <m/>
    <m/>
    <m/>
    <m/>
    <m/>
    <m/>
    <m/>
    <m/>
    <m/>
    <n v="546"/>
    <n v="689"/>
    <m/>
    <m/>
    <m/>
    <m/>
    <m/>
    <n v="20"/>
    <n v="120"/>
    <n v="34"/>
    <m/>
    <x v="0"/>
    <m/>
    <m/>
    <m/>
    <m/>
    <m/>
    <m/>
    <m/>
    <m/>
    <m/>
    <n v="2"/>
    <m/>
    <m/>
    <m/>
    <m/>
    <m/>
    <m/>
    <m/>
    <m/>
    <m/>
    <m/>
    <m/>
    <m/>
    <m/>
    <s v="no test"/>
    <s v="no test"/>
    <x v="0"/>
    <n v="1"/>
    <n v="13302"/>
    <n v="26.603999999999999"/>
    <n v="0"/>
    <n v="0"/>
    <n v="27"/>
    <n v="0.3960000000000008"/>
    <n v="0.86002104946624569"/>
    <n v="11440"/>
    <n v="24.362637362637361"/>
    <n v="1700"/>
    <n v="0"/>
    <n v="665"/>
    <n v="0"/>
    <n v="0.13997895053375431"/>
    <n v="0.20754716981132076"/>
    <n v="0"/>
    <n v="0"/>
    <n v="0"/>
    <n v="0"/>
    <n v="0"/>
    <n v="0"/>
    <n v="0"/>
    <n v="1"/>
    <n v="0"/>
    <n v="0"/>
    <s v="No"/>
    <n v="0"/>
    <n v="0"/>
    <n v="1700"/>
    <n v="0"/>
    <s v="Yes"/>
    <n v="0"/>
    <s v="Camp"/>
    <x v="0"/>
    <s v="Muslim"/>
    <n v="20.18994"/>
    <n v="92.798880999999994"/>
    <s v="MMR012CMP115"/>
    <x v="0"/>
    <n v="168"/>
    <n v="1744"/>
    <n v="1912"/>
    <m/>
    <m/>
    <m/>
    <m/>
    <n v="2640"/>
    <n v="15778"/>
  </r>
  <r>
    <x v="0"/>
    <x v="4"/>
    <x v="4"/>
    <s v="OFDA"/>
    <x v="0"/>
    <x v="1"/>
    <x v="0"/>
    <x v="14"/>
    <n v="2260"/>
    <n v="11478"/>
    <n v="5.0787610619469028"/>
    <d v="2021-06-01T00:00:00"/>
    <d v="2022-05-31T00:00:00"/>
    <m/>
    <n v="199"/>
    <n v="223"/>
    <m/>
    <m/>
    <m/>
    <m/>
    <m/>
    <m/>
    <m/>
    <m/>
    <m/>
    <m/>
    <m/>
    <m/>
    <n v="828"/>
    <n v="828"/>
    <m/>
    <m/>
    <m/>
    <m/>
    <m/>
    <n v="2"/>
    <n v="46"/>
    <m/>
    <m/>
    <x v="0"/>
    <m/>
    <m/>
    <m/>
    <m/>
    <m/>
    <m/>
    <m/>
    <m/>
    <m/>
    <m/>
    <m/>
    <m/>
    <m/>
    <m/>
    <m/>
    <m/>
    <m/>
    <m/>
    <m/>
    <m/>
    <m/>
    <m/>
    <m/>
    <s v="no test"/>
    <s v="no test"/>
    <x v="0"/>
    <n v="1"/>
    <n v="11478"/>
    <n v="22.956"/>
    <n v="0"/>
    <n v="0"/>
    <n v="23"/>
    <n v="4.4000000000000483E-2"/>
    <n v="1"/>
    <n v="11478"/>
    <n v="13.862318840579711"/>
    <n v="0"/>
    <n v="0"/>
    <n v="574"/>
    <n v="0"/>
    <n v="0"/>
    <n v="0"/>
    <n v="0"/>
    <n v="0"/>
    <n v="0"/>
    <n v="0"/>
    <n v="0"/>
    <n v="0"/>
    <n v="0"/>
    <n v="1"/>
    <n v="0"/>
    <n v="0"/>
    <s v="No"/>
    <n v="0"/>
    <n v="0"/>
    <n v="0"/>
    <n v="0"/>
    <s v="Yes"/>
    <n v="0"/>
    <s v="Camp"/>
    <x v="0"/>
    <s v="Muslim"/>
    <n v="20.185092000000001"/>
    <n v="92.802295999999998"/>
    <s v="MMR012CMP116"/>
    <x v="0"/>
    <n v="223"/>
    <n v="1507"/>
    <n v="1730"/>
    <m/>
    <m/>
    <m/>
    <m/>
    <n v="2275"/>
    <n v="12341"/>
  </r>
  <r>
    <x v="0"/>
    <x v="4"/>
    <x v="4"/>
    <s v="OFDA"/>
    <x v="0"/>
    <x v="1"/>
    <x v="0"/>
    <x v="15"/>
    <n v="400"/>
    <n v="2446"/>
    <n v="6.1150000000000002"/>
    <d v="2021-06-01T00:00:00"/>
    <d v="2022-05-31T00:00:00"/>
    <m/>
    <n v="41"/>
    <n v="42"/>
    <m/>
    <m/>
    <m/>
    <m/>
    <m/>
    <m/>
    <m/>
    <m/>
    <m/>
    <m/>
    <m/>
    <m/>
    <n v="150"/>
    <n v="150"/>
    <m/>
    <m/>
    <m/>
    <m/>
    <m/>
    <n v="3"/>
    <n v="9"/>
    <m/>
    <m/>
    <x v="0"/>
    <m/>
    <m/>
    <m/>
    <m/>
    <m/>
    <m/>
    <m/>
    <m/>
    <m/>
    <m/>
    <m/>
    <m/>
    <m/>
    <m/>
    <m/>
    <m/>
    <m/>
    <m/>
    <m/>
    <m/>
    <m/>
    <m/>
    <m/>
    <s v="no test"/>
    <s v="no test"/>
    <x v="0"/>
    <n v="1"/>
    <n v="2446"/>
    <n v="4.8920000000000003"/>
    <n v="0"/>
    <n v="0"/>
    <n v="5"/>
    <n v="0.10799999999999965"/>
    <n v="1"/>
    <n v="2446"/>
    <n v="16.306666666666668"/>
    <n v="0"/>
    <n v="0"/>
    <n v="122"/>
    <n v="0"/>
    <n v="0"/>
    <n v="0"/>
    <n v="0"/>
    <n v="0"/>
    <n v="0"/>
    <n v="0"/>
    <n v="0"/>
    <n v="0"/>
    <n v="0"/>
    <n v="1"/>
    <n v="0"/>
    <n v="0"/>
    <s v="No"/>
    <n v="0"/>
    <n v="0"/>
    <n v="0"/>
    <n v="0"/>
    <n v="0"/>
    <n v="0"/>
    <s v="Camp"/>
    <x v="0"/>
    <s v="Muslim"/>
    <n v="20.207284999999999"/>
    <n v="92.788177000000005"/>
    <s v="MMR012CMP045"/>
    <x v="0"/>
    <n v="0"/>
    <n v="0"/>
    <n v="0"/>
    <m/>
    <m/>
    <m/>
    <m/>
    <n v="0"/>
    <n v="0"/>
  </r>
  <r>
    <x v="0"/>
    <x v="2"/>
    <x v="2"/>
    <s v="DFID/HARP"/>
    <x v="0"/>
    <x v="1"/>
    <x v="0"/>
    <x v="16"/>
    <n v="2280"/>
    <n v="11564"/>
    <n v="5.0719298245614031"/>
    <d v="2021-01-01T00:00:00"/>
    <d v="2022-01-31T00:00:00"/>
    <m/>
    <n v="192"/>
    <n v="193"/>
    <m/>
    <m/>
    <m/>
    <m/>
    <m/>
    <m/>
    <m/>
    <m/>
    <m/>
    <m/>
    <m/>
    <m/>
    <n v="430"/>
    <n v="520"/>
    <m/>
    <m/>
    <m/>
    <m/>
    <m/>
    <n v="12"/>
    <n v="51"/>
    <n v="40"/>
    <m/>
    <x v="0"/>
    <m/>
    <m/>
    <m/>
    <m/>
    <m/>
    <m/>
    <m/>
    <m/>
    <m/>
    <n v="32"/>
    <m/>
    <m/>
    <m/>
    <m/>
    <m/>
    <m/>
    <m/>
    <m/>
    <m/>
    <m/>
    <m/>
    <m/>
    <m/>
    <s v="no test"/>
    <s v="no test"/>
    <x v="0"/>
    <n v="1"/>
    <n v="11564"/>
    <n v="23.128"/>
    <n v="0"/>
    <n v="0"/>
    <n v="23"/>
    <n v="0"/>
    <n v="0.76885160843998612"/>
    <n v="8891"/>
    <n v="26.893023255813954"/>
    <n v="2000"/>
    <n v="0"/>
    <n v="578"/>
    <n v="58"/>
    <n v="0.23114839156001388"/>
    <n v="0.17307692307692307"/>
    <n v="0"/>
    <n v="0"/>
    <n v="0"/>
    <n v="0"/>
    <n v="0"/>
    <n v="0"/>
    <n v="0"/>
    <n v="1"/>
    <n v="0"/>
    <n v="0"/>
    <s v="No"/>
    <n v="0"/>
    <n v="0"/>
    <n v="2000"/>
    <n v="0"/>
    <s v="Yes"/>
    <n v="0"/>
    <s v="Camp"/>
    <x v="0"/>
    <s v="Muslim"/>
    <n v="20.202525000000001"/>
    <n v="92.792479999999998"/>
    <s v="MMR012CMP045"/>
    <x v="0"/>
    <n v="114"/>
    <n v="1144"/>
    <n v="1258"/>
    <m/>
    <m/>
    <m/>
    <m/>
    <n v="2678"/>
    <n v="14788"/>
  </r>
  <r>
    <x v="0"/>
    <x v="4"/>
    <x v="4"/>
    <s v="BHA-USAID"/>
    <x v="0"/>
    <x v="0"/>
    <x v="0"/>
    <x v="17"/>
    <n v="729"/>
    <n v="2516"/>
    <n v="3.4513031550068587"/>
    <d v="2021-06-01T00:00:00"/>
    <d v="2022-05-31T00:00:00"/>
    <m/>
    <m/>
    <m/>
    <n v="15"/>
    <n v="16"/>
    <m/>
    <n v="2516"/>
    <m/>
    <m/>
    <m/>
    <m/>
    <m/>
    <m/>
    <m/>
    <s v="water testing in STM- IDP, we distributed chlorination water and tested FRC result is 100&amp; good."/>
    <n v="362"/>
    <n v="358"/>
    <n v="87"/>
    <n v="119"/>
    <m/>
    <m/>
    <m/>
    <n v="1"/>
    <m/>
    <m/>
    <m/>
    <x v="0"/>
    <m/>
    <n v="1125"/>
    <n v="1725"/>
    <n v="372"/>
    <n v="446"/>
    <n v="729"/>
    <n v="771"/>
    <n v="1"/>
    <m/>
    <m/>
    <m/>
    <m/>
    <m/>
    <m/>
    <m/>
    <m/>
    <m/>
    <m/>
    <m/>
    <m/>
    <m/>
    <m/>
    <m/>
    <s v="no test"/>
    <s v="no test"/>
    <x v="0"/>
    <n v="1"/>
    <n v="2516"/>
    <n v="5.032"/>
    <n v="0"/>
    <n v="0"/>
    <n v="5"/>
    <n v="0"/>
    <n v="1"/>
    <n v="2516"/>
    <n v="6.9502762430939224"/>
    <n v="0"/>
    <n v="0"/>
    <n v="126"/>
    <n v="0"/>
    <n v="0"/>
    <n v="-1.11731843575419E-2"/>
    <n v="2516"/>
    <n v="1152"/>
    <n v="2516"/>
    <n v="771"/>
    <n v="2516"/>
    <n v="2516"/>
    <n v="1"/>
    <n v="0"/>
    <n v="1"/>
    <n v="1"/>
    <s v="No"/>
    <n v="0"/>
    <n v="0"/>
    <n v="0"/>
    <n v="0"/>
    <s v="Yes"/>
    <s v="DRC"/>
    <s v="Camp"/>
    <x v="0"/>
    <s v="Muslim"/>
    <n v="20.064226000000001"/>
    <n v="92.993758999999997"/>
    <s v="MMR012CMP019"/>
    <x v="0"/>
    <n v="159"/>
    <n v="361"/>
    <n v="520"/>
    <m/>
    <m/>
    <m/>
    <m/>
    <n v="682"/>
    <n v="2588"/>
  </r>
  <r>
    <x v="0"/>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0"/>
    <n v="1"/>
    <n v="0"/>
    <n v="0"/>
    <s v="No"/>
    <n v="0"/>
    <n v="0"/>
    <n v="200"/>
    <n v="50"/>
    <s v="Yes"/>
    <s v="RI"/>
    <s v="Camp"/>
    <x v="0"/>
    <s v="Muslim"/>
    <n v="20.037655000000001"/>
    <n v="93.370037999999994"/>
    <s v="MMR012CMP014"/>
    <x v="0"/>
    <n v="73"/>
    <n v="318"/>
    <n v="391"/>
    <m/>
    <m/>
    <m/>
    <m/>
    <n v="747"/>
    <n v="3495"/>
  </r>
  <r>
    <x v="0"/>
    <x v="1"/>
    <x v="1"/>
    <s v="DFID/HARP"/>
    <x v="0"/>
    <x v="1"/>
    <x v="0"/>
    <x v="19"/>
    <n v="1139"/>
    <n v="6016"/>
    <n v="5.2818261633011412"/>
    <d v="2021-01-01T00:00:00"/>
    <d v="2022-01-31T00:00:00"/>
    <m/>
    <n v="39"/>
    <n v="42"/>
    <m/>
    <m/>
    <m/>
    <m/>
    <m/>
    <m/>
    <m/>
    <m/>
    <m/>
    <m/>
    <m/>
    <m/>
    <n v="218"/>
    <n v="253"/>
    <m/>
    <m/>
    <m/>
    <m/>
    <m/>
    <m/>
    <n v="26"/>
    <n v="2"/>
    <m/>
    <x v="0"/>
    <m/>
    <m/>
    <m/>
    <m/>
    <m/>
    <m/>
    <m/>
    <m/>
    <m/>
    <n v="0"/>
    <m/>
    <m/>
    <m/>
    <m/>
    <m/>
    <m/>
    <m/>
    <m/>
    <m/>
    <m/>
    <m/>
    <m/>
    <m/>
    <s v="no test"/>
    <s v="no test"/>
    <x v="0"/>
    <n v="1"/>
    <n v="6016"/>
    <n v="12.032"/>
    <n v="0"/>
    <n v="0"/>
    <n v="12"/>
    <n v="0"/>
    <n v="0.72905585106382975"/>
    <n v="4386"/>
    <n v="27.596330275229359"/>
    <n v="100"/>
    <n v="0"/>
    <n v="301"/>
    <n v="48"/>
    <n v="0.27094414893617025"/>
    <n v="0.13833992094861661"/>
    <n v="0"/>
    <n v="0"/>
    <n v="0"/>
    <n v="0"/>
    <n v="0"/>
    <n v="0"/>
    <n v="0"/>
    <n v="1"/>
    <n v="0"/>
    <n v="0"/>
    <s v="No"/>
    <n v="0"/>
    <n v="0"/>
    <n v="100"/>
    <n v="0"/>
    <s v="Yes"/>
    <n v="0"/>
    <s v="Camp"/>
    <x v="2"/>
    <s v="Muslim"/>
    <n v="20.1585"/>
    <n v="92.839416999999997"/>
    <s v="MMR012CMP046"/>
    <x v="0"/>
    <n v="365"/>
    <n v="800"/>
    <n v="1165"/>
    <m/>
    <m/>
    <m/>
    <m/>
    <n v="2062"/>
    <n v="12522"/>
  </r>
  <r>
    <x v="0"/>
    <x v="2"/>
    <x v="2"/>
    <s v="DFID/HARP"/>
    <x v="0"/>
    <x v="1"/>
    <x v="0"/>
    <x v="20"/>
    <n v="1013"/>
    <n v="5950"/>
    <n v="5.8736426456071076"/>
    <d v="2021-01-01T00:00:00"/>
    <d v="2022-01-31T00:00:00"/>
    <m/>
    <n v="59"/>
    <n v="68"/>
    <m/>
    <m/>
    <m/>
    <m/>
    <m/>
    <m/>
    <m/>
    <m/>
    <m/>
    <m/>
    <m/>
    <m/>
    <n v="242"/>
    <n v="339"/>
    <m/>
    <m/>
    <m/>
    <m/>
    <m/>
    <n v="4"/>
    <n v="38"/>
    <n v="21"/>
    <m/>
    <x v="0"/>
    <m/>
    <m/>
    <m/>
    <m/>
    <m/>
    <m/>
    <m/>
    <m/>
    <m/>
    <n v="3"/>
    <m/>
    <m/>
    <m/>
    <m/>
    <m/>
    <m/>
    <m/>
    <m/>
    <m/>
    <m/>
    <m/>
    <m/>
    <m/>
    <s v="no test"/>
    <s v="no test"/>
    <x v="0"/>
    <n v="1"/>
    <n v="5950"/>
    <n v="11.9"/>
    <n v="0"/>
    <n v="0"/>
    <n v="12"/>
    <n v="9.9999999999999645E-2"/>
    <n v="0.83327731092436974"/>
    <n v="4958"/>
    <n v="24.58677685950413"/>
    <n v="1050"/>
    <n v="0"/>
    <n v="298"/>
    <n v="0"/>
    <n v="0.16672268907563026"/>
    <n v="0.28613569321533922"/>
    <n v="0"/>
    <n v="0"/>
    <n v="0"/>
    <n v="0"/>
    <n v="0"/>
    <n v="0"/>
    <n v="0"/>
    <n v="1"/>
    <n v="0"/>
    <n v="0"/>
    <s v="No"/>
    <n v="0"/>
    <n v="0"/>
    <n v="1050"/>
    <n v="0"/>
    <s v="Yes"/>
    <n v="0"/>
    <s v="Camp"/>
    <x v="0"/>
    <s v="Muslim"/>
    <n v="20.179939999999998"/>
    <n v="92.831879000000001"/>
    <s v="MMR012CMP048"/>
    <x v="0"/>
    <n v="250"/>
    <n v="699"/>
    <n v="949"/>
    <m/>
    <m/>
    <m/>
    <m/>
    <n v="1019"/>
    <n v="6906"/>
  </r>
  <r>
    <x v="1"/>
    <x v="0"/>
    <x v="0"/>
    <s v="ECHO, OFDA, CDC "/>
    <x v="0"/>
    <x v="0"/>
    <x v="0"/>
    <x v="0"/>
    <n v="1112"/>
    <n v="5133"/>
    <n v="4.6160071942446042"/>
    <s v="01 August 2022, 15 March 2022, 1 April 2022"/>
    <s v="31 July 2023, 14 Dec 2022, 31 March 2023"/>
    <m/>
    <m/>
    <m/>
    <n v="14"/>
    <n v="14"/>
    <n v="1612000"/>
    <n v="5133"/>
    <n v="1"/>
    <n v="1"/>
    <n v="8"/>
    <n v="0.38"/>
    <m/>
    <m/>
    <m/>
    <s v="No new HH was registered during 2022"/>
    <n v="195"/>
    <n v="198"/>
    <n v="2"/>
    <n v="198"/>
    <n v="0.99"/>
    <n v="1"/>
    <n v="0.98"/>
    <n v="27"/>
    <n v="76"/>
    <m/>
    <m/>
    <x v="0"/>
    <s v="The result of percentage indicators were from the KAP survey conducted in April 2022."/>
    <n v="997"/>
    <n v="1200"/>
    <n v="1521"/>
    <n v="1415"/>
    <n v="1112"/>
    <n v="1515"/>
    <n v="0.15"/>
    <n v="0.71"/>
    <m/>
    <m/>
    <n v="0.89"/>
    <n v="0.7"/>
    <n v="0.97"/>
    <n v="1"/>
    <n v="1.2699999999999999E-2"/>
    <m/>
    <m/>
    <m/>
    <m/>
    <m/>
    <m/>
    <m/>
    <s v="Tested"/>
    <s v="Tested"/>
    <x v="1"/>
    <n v="1"/>
    <n v="5133"/>
    <n v="10.266"/>
    <n v="0"/>
    <n v="0"/>
    <n v="10"/>
    <n v="0"/>
    <n v="0.87979738944087282"/>
    <n v="4516"/>
    <n v="26.323076923076922"/>
    <n v="0"/>
    <n v="0"/>
    <n v="257"/>
    <n v="59"/>
    <n v="0.12020261055912718"/>
    <n v="1.5151515151515152E-2"/>
    <n v="5133"/>
    <n v="0"/>
    <n v="5133"/>
    <n v="1515"/>
    <n v="5133"/>
    <n v="5133"/>
    <n v="1"/>
    <n v="0"/>
    <n v="1"/>
    <n v="1"/>
    <s v="No"/>
    <n v="0.97"/>
    <n v="0"/>
    <n v="0"/>
    <n v="0"/>
    <s v="Yes"/>
    <s v="LWF"/>
    <s v="Camp"/>
    <x v="0"/>
    <s v="Muslim"/>
    <n v="20.108101999999999"/>
    <n v="92.985095000000001"/>
    <s v="MMR012CMP016"/>
    <x v="0"/>
    <n v="279"/>
    <n v="636"/>
    <n v="915"/>
    <m/>
    <m/>
    <m/>
    <m/>
    <n v="1115"/>
    <n v="5197"/>
  </r>
  <r>
    <x v="1"/>
    <x v="1"/>
    <x v="1"/>
    <s v="FCDO"/>
    <x v="0"/>
    <x v="1"/>
    <x v="0"/>
    <x v="1"/>
    <n v="380"/>
    <n v="2489"/>
    <n v="6.55"/>
    <d v="2022-04-01T00:00:00"/>
    <d v="2022-09-30T00:00:00"/>
    <m/>
    <n v="23"/>
    <n v="23"/>
    <m/>
    <m/>
    <m/>
    <m/>
    <n v="21"/>
    <n v="0.56999999999999995"/>
    <n v="76"/>
    <n v="0.14000000000000001"/>
    <m/>
    <m/>
    <m/>
    <m/>
    <n v="115"/>
    <n v="120"/>
    <n v="15"/>
    <n v="58"/>
    <n v="1"/>
    <n v="0.91"/>
    <n v="0.55000000000000004"/>
    <m/>
    <m/>
    <m/>
    <m/>
    <x v="0"/>
    <m/>
    <n v="13"/>
    <n v="127"/>
    <n v="127"/>
    <n v="119"/>
    <n v="380"/>
    <n v="760"/>
    <n v="1"/>
    <n v="1"/>
    <m/>
    <m/>
    <n v="1"/>
    <n v="1"/>
    <n v="1"/>
    <n v="0.88"/>
    <m/>
    <n v="120"/>
    <m/>
    <m/>
    <m/>
    <m/>
    <m/>
    <m/>
    <s v="Tested"/>
    <s v="Tested"/>
    <x v="1"/>
    <n v="1"/>
    <n v="2489"/>
    <n v="4.9779999999999998"/>
    <n v="0"/>
    <n v="0"/>
    <n v="5"/>
    <n v="2.2000000000000242E-2"/>
    <n v="0.92406588991562877"/>
    <n v="2300"/>
    <n v="21.643478260869564"/>
    <n v="0"/>
    <n v="0"/>
    <n v="124"/>
    <n v="4"/>
    <n v="7.5934110084371231E-2"/>
    <n v="4.1666666666666664E-2"/>
    <n v="386"/>
    <n v="0"/>
    <n v="2489"/>
    <n v="760"/>
    <n v="2489"/>
    <n v="2489"/>
    <n v="1"/>
    <n v="0"/>
    <n v="0.15508236239453596"/>
    <n v="1"/>
    <s v="No"/>
    <n v="1"/>
    <n v="120"/>
    <n v="0"/>
    <n v="0"/>
    <s v="Yes"/>
    <n v="0"/>
    <s v="Camp"/>
    <x v="0"/>
    <s v="Muslim"/>
    <n v="20.128488999999998"/>
    <n v="92.875814000000005"/>
    <s v="MMR012CMP039"/>
    <x v="0"/>
    <n v="100"/>
    <n v="301"/>
    <n v="401"/>
    <m/>
    <m/>
    <m/>
    <m/>
    <n v="380"/>
    <n v="2435"/>
  </r>
  <r>
    <x v="1"/>
    <x v="1"/>
    <x v="1"/>
    <s v="FCDO"/>
    <x v="0"/>
    <x v="1"/>
    <x v="0"/>
    <x v="2"/>
    <n v="1012"/>
    <n v="5101"/>
    <n v="5.0405138339920947"/>
    <d v="2022-04-01T00:00:00"/>
    <d v="2022-09-30T00:00:00"/>
    <m/>
    <n v="47"/>
    <n v="51"/>
    <m/>
    <m/>
    <m/>
    <m/>
    <n v="66"/>
    <n v="0.61"/>
    <n v="69"/>
    <n v="0.23"/>
    <m/>
    <m/>
    <m/>
    <m/>
    <n v="225"/>
    <n v="254"/>
    <n v="179"/>
    <n v="331"/>
    <n v="1"/>
    <n v="0.97"/>
    <n v="0.11"/>
    <m/>
    <m/>
    <m/>
    <m/>
    <x v="0"/>
    <m/>
    <n v="51"/>
    <n v="373"/>
    <n v="137"/>
    <n v="159"/>
    <n v="1012"/>
    <n v="2024"/>
    <n v="0.86"/>
    <n v="1"/>
    <m/>
    <m/>
    <n v="0.94"/>
    <n v="0.87"/>
    <n v="0.91"/>
    <n v="0.86"/>
    <m/>
    <n v="254"/>
    <m/>
    <m/>
    <m/>
    <m/>
    <m/>
    <m/>
    <s v="Tested"/>
    <s v="Tested"/>
    <x v="1"/>
    <n v="1"/>
    <n v="5101"/>
    <n v="10.202"/>
    <n v="0"/>
    <n v="0"/>
    <n v="10"/>
    <n v="0"/>
    <n v="0.88217996471280136"/>
    <n v="4500"/>
    <n v="22.671111111111109"/>
    <n v="0"/>
    <n v="0"/>
    <n v="255"/>
    <n v="1"/>
    <n v="0.11782003528719864"/>
    <n v="0.1141732283464567"/>
    <n v="720"/>
    <n v="0"/>
    <n v="5101"/>
    <n v="2024"/>
    <n v="5101"/>
    <n v="5101"/>
    <n v="1"/>
    <n v="0"/>
    <n v="0.14114879435404823"/>
    <n v="1"/>
    <s v="No"/>
    <n v="0.91"/>
    <n v="254"/>
    <n v="0"/>
    <n v="0"/>
    <s v="Yes"/>
    <n v="0"/>
    <s v="Camp"/>
    <x v="0"/>
    <s v="Muslim"/>
    <n v="20.179417000000001"/>
    <n v="92.813028000000003"/>
    <s v="MMR012CMP113"/>
    <x v="0"/>
    <n v="46"/>
    <n v="436"/>
    <n v="482"/>
    <m/>
    <m/>
    <m/>
    <m/>
    <n v="1012"/>
    <n v="5066"/>
  </r>
  <r>
    <x v="1"/>
    <x v="1"/>
    <x v="1"/>
    <s v="FCDO"/>
    <x v="0"/>
    <x v="1"/>
    <x v="0"/>
    <x v="3"/>
    <n v="1346"/>
    <n v="8728"/>
    <n v="6.4843982169390788"/>
    <d v="2022-04-01T00:00:00"/>
    <d v="2022-09-30T00:00:00"/>
    <m/>
    <n v="76"/>
    <n v="80"/>
    <m/>
    <m/>
    <m/>
    <m/>
    <n v="91"/>
    <n v="0.63"/>
    <n v="20"/>
    <n v="0.25"/>
    <m/>
    <m/>
    <m/>
    <m/>
    <n v="240"/>
    <n v="328"/>
    <m/>
    <m/>
    <m/>
    <m/>
    <m/>
    <m/>
    <m/>
    <m/>
    <m/>
    <x v="0"/>
    <m/>
    <m/>
    <m/>
    <m/>
    <m/>
    <n v="1331"/>
    <n v="2662"/>
    <m/>
    <m/>
    <m/>
    <m/>
    <m/>
    <m/>
    <m/>
    <m/>
    <m/>
    <n v="382"/>
    <m/>
    <m/>
    <m/>
    <m/>
    <m/>
    <m/>
    <s v="Tested"/>
    <s v="Tested"/>
    <x v="1"/>
    <n v="1"/>
    <n v="8728"/>
    <n v="17.456"/>
    <n v="0"/>
    <n v="0"/>
    <n v="17"/>
    <n v="0"/>
    <n v="0.54995417048579287"/>
    <n v="4800"/>
    <n v="36.366666666666667"/>
    <n v="0"/>
    <n v="0"/>
    <n v="436"/>
    <n v="108"/>
    <n v="0.45004582951420713"/>
    <n v="0.26829268292682928"/>
    <n v="0"/>
    <n v="0"/>
    <n v="8630.7340267459131"/>
    <n v="2662"/>
    <n v="8630.7340267459131"/>
    <n v="8630.7340267459131"/>
    <n v="0.98885586924219904"/>
    <n v="1.1144130757800963E-2"/>
    <n v="0"/>
    <n v="0.98885586924219915"/>
    <s v="No"/>
    <n v="0"/>
    <n v="382"/>
    <n v="0"/>
    <n v="0"/>
    <s v="Yes"/>
    <n v="0"/>
    <s v="Camp"/>
    <x v="0"/>
    <s v="Muslim"/>
    <n v="20.181405999999999"/>
    <n v="92.807552000000001"/>
    <s v="MMR012CMP114"/>
    <x v="0"/>
    <n v="242"/>
    <n v="822"/>
    <n v="1064"/>
    <m/>
    <m/>
    <m/>
    <m/>
    <n v="1346"/>
    <n v="8414"/>
  </r>
  <r>
    <x v="1"/>
    <x v="1"/>
    <x v="1"/>
    <s v="FCDO"/>
    <x v="0"/>
    <x v="1"/>
    <x v="0"/>
    <x v="4"/>
    <n v="1753"/>
    <n v="11715"/>
    <n v="6.6828294352538506"/>
    <d v="2022-04-01T00:00:00"/>
    <d v="2022-09-30T00:00:00"/>
    <m/>
    <n v="80"/>
    <n v="86"/>
    <m/>
    <m/>
    <m/>
    <m/>
    <n v="68"/>
    <n v="0.34"/>
    <n v="90"/>
    <n v="0.13"/>
    <m/>
    <m/>
    <m/>
    <m/>
    <n v="446"/>
    <n v="554"/>
    <n v="237"/>
    <n v="241"/>
    <n v="1"/>
    <n v="0.94"/>
    <n v="0.77"/>
    <m/>
    <m/>
    <m/>
    <m/>
    <x v="0"/>
    <m/>
    <n v="12"/>
    <n v="212"/>
    <n v="183"/>
    <n v="96"/>
    <n v="1850"/>
    <n v="3700"/>
    <n v="0.96"/>
    <n v="1"/>
    <m/>
    <m/>
    <n v="1"/>
    <n v="1"/>
    <n v="1"/>
    <n v="0.79"/>
    <m/>
    <n v="554"/>
    <m/>
    <m/>
    <m/>
    <m/>
    <m/>
    <m/>
    <s v="Tested"/>
    <s v="Tested"/>
    <x v="1"/>
    <n v="1"/>
    <n v="11715"/>
    <n v="23.43"/>
    <n v="0"/>
    <n v="0"/>
    <n v="23"/>
    <n v="0"/>
    <n v="0.76141698676909941"/>
    <n v="8920"/>
    <n v="26.266816143497756"/>
    <n v="0"/>
    <n v="0"/>
    <n v="586"/>
    <n v="32"/>
    <n v="0.23858301323090059"/>
    <n v="0.19494584837545126"/>
    <n v="503"/>
    <n v="0"/>
    <n v="11715"/>
    <n v="3700"/>
    <n v="11715"/>
    <n v="11715"/>
    <n v="1"/>
    <n v="0"/>
    <n v="4.2936406316688006E-2"/>
    <n v="1"/>
    <s v="No"/>
    <n v="1"/>
    <n v="554"/>
    <n v="0"/>
    <n v="0"/>
    <s v="Yes"/>
    <n v="0"/>
    <s v="Camp"/>
    <x v="0"/>
    <s v="Muslim"/>
    <n v="20.16846"/>
    <n v="92.827427"/>
    <s v="MMR012CMP041"/>
    <x v="0"/>
    <n v="104"/>
    <n v="810"/>
    <n v="914"/>
    <m/>
    <m/>
    <m/>
    <m/>
    <n v="1713"/>
    <n v="11460"/>
  </r>
  <r>
    <x v="1"/>
    <x v="2"/>
    <x v="2"/>
    <s v="FCDO"/>
    <x v="0"/>
    <x v="1"/>
    <x v="0"/>
    <x v="5"/>
    <n v="400"/>
    <n v="2248"/>
    <n v="5.62"/>
    <d v="2022-04-01T00:00:00"/>
    <d v="2022-09-30T00:00:00"/>
    <m/>
    <n v="43"/>
    <n v="53"/>
    <m/>
    <m/>
    <m/>
    <m/>
    <n v="10"/>
    <n v="0.4"/>
    <m/>
    <m/>
    <m/>
    <m/>
    <m/>
    <m/>
    <n v="86"/>
    <n v="116"/>
    <n v="56"/>
    <n v="57"/>
    <n v="1"/>
    <n v="0.64"/>
    <n v="0.73"/>
    <n v="12"/>
    <n v="29"/>
    <n v="4"/>
    <m/>
    <x v="0"/>
    <m/>
    <n v="501"/>
    <n v="661"/>
    <m/>
    <m/>
    <n v="392"/>
    <n v="784"/>
    <n v="1"/>
    <n v="1"/>
    <n v="5"/>
    <m/>
    <n v="1"/>
    <n v="1"/>
    <n v="1"/>
    <n v="1"/>
    <m/>
    <m/>
    <m/>
    <m/>
    <m/>
    <m/>
    <m/>
    <m/>
    <s v="Tested"/>
    <s v="no test"/>
    <x v="1"/>
    <n v="1"/>
    <n v="2248"/>
    <n v="4.4960000000000004"/>
    <n v="0"/>
    <n v="0"/>
    <n v="4"/>
    <n v="0"/>
    <n v="0.88478647686832745"/>
    <n v="1989"/>
    <n v="26.13953488372093"/>
    <n v="200"/>
    <n v="0"/>
    <n v="112"/>
    <n v="0"/>
    <n v="0.11521352313167255"/>
    <n v="0.25862068965517243"/>
    <n v="1162"/>
    <n v="0"/>
    <n v="2203.04"/>
    <n v="784"/>
    <n v="2203.04"/>
    <n v="2203.04"/>
    <n v="0.98"/>
    <n v="2.0000000000000018E-2"/>
    <n v="0.51690391459074736"/>
    <n v="0.98"/>
    <s v="No"/>
    <n v="1"/>
    <n v="0"/>
    <n v="200"/>
    <n v="0"/>
    <s v="Yes"/>
    <n v="0"/>
    <s v="Camp"/>
    <x v="0"/>
    <s v="Muslim"/>
    <n v="20.181778000000001"/>
    <n v="92.823166999999998"/>
    <s v="MMR012CMP042"/>
    <x v="0"/>
    <n v="47"/>
    <n v="306"/>
    <n v="353"/>
    <m/>
    <m/>
    <m/>
    <m/>
    <n v="392"/>
    <n v="2455"/>
  </r>
  <r>
    <x v="1"/>
    <x v="1"/>
    <x v="1"/>
    <s v="FCDO"/>
    <x v="0"/>
    <x v="1"/>
    <x v="0"/>
    <x v="6"/>
    <n v="400"/>
    <n v="2262"/>
    <n v="5.6550000000000002"/>
    <d v="2022-04-01T00:00:00"/>
    <d v="2022-09-30T00:00:00"/>
    <m/>
    <n v="22"/>
    <n v="25"/>
    <m/>
    <m/>
    <m/>
    <m/>
    <n v="4"/>
    <n v="0.5"/>
    <m/>
    <m/>
    <m/>
    <m/>
    <m/>
    <m/>
    <n v="91"/>
    <n v="104"/>
    <n v="56"/>
    <n v="46"/>
    <n v="1"/>
    <n v="1"/>
    <n v="0.36"/>
    <m/>
    <m/>
    <m/>
    <m/>
    <x v="0"/>
    <m/>
    <n v="11"/>
    <n v="105"/>
    <n v="30"/>
    <n v="44"/>
    <n v="400"/>
    <n v="800"/>
    <n v="0.88"/>
    <n v="1"/>
    <m/>
    <m/>
    <n v="0.91"/>
    <n v="1"/>
    <n v="0.91"/>
    <n v="0.86"/>
    <m/>
    <n v="104"/>
    <m/>
    <m/>
    <m/>
    <m/>
    <m/>
    <m/>
    <s v="Tested"/>
    <s v="no test"/>
    <x v="1"/>
    <n v="1"/>
    <n v="2262"/>
    <n v="4.524"/>
    <n v="0"/>
    <n v="0"/>
    <n v="5"/>
    <n v="0.47599999999999998"/>
    <n v="0.8045977011494253"/>
    <n v="1820"/>
    <n v="24.857142857142858"/>
    <n v="0"/>
    <n v="0"/>
    <n v="113"/>
    <n v="9"/>
    <n v="0.1954022988505747"/>
    <n v="0.125"/>
    <n v="190"/>
    <n v="0"/>
    <n v="2262"/>
    <n v="800"/>
    <n v="2262"/>
    <n v="2262"/>
    <n v="1"/>
    <n v="0"/>
    <n v="8.3996463306808128E-2"/>
    <n v="1"/>
    <s v="No"/>
    <n v="0.91"/>
    <n v="104"/>
    <n v="0"/>
    <n v="0"/>
    <n v="0"/>
    <n v="0"/>
    <s v="Camp"/>
    <x v="0"/>
    <s v="Muslim"/>
    <n v="20.180194"/>
    <n v="92.816638999999995"/>
    <s v="MMR012CMP042"/>
    <x v="0"/>
    <n v="70"/>
    <n v="241"/>
    <n v="311"/>
    <m/>
    <m/>
    <m/>
    <m/>
    <n v="400"/>
    <n v="2228"/>
  </r>
  <r>
    <x v="1"/>
    <x v="3"/>
    <x v="3"/>
    <s v="UNICEF"/>
    <x v="0"/>
    <x v="2"/>
    <x v="0"/>
    <x v="7"/>
    <n v="384"/>
    <n v="1084"/>
    <n v="2.8229166666666665"/>
    <d v="2021-07-01T00:00:00"/>
    <d v="2022-06-30T00:00:00"/>
    <m/>
    <m/>
    <m/>
    <n v="14"/>
    <n v="19"/>
    <m/>
    <n v="1084"/>
    <n v="46"/>
    <n v="1"/>
    <n v="114"/>
    <n v="0.96"/>
    <m/>
    <n v="196"/>
    <m/>
    <m/>
    <n v="94"/>
    <n v="94"/>
    <n v="15"/>
    <n v="94"/>
    <n v="1"/>
    <n v="1"/>
    <n v="1"/>
    <m/>
    <m/>
    <n v="8"/>
    <m/>
    <x v="0"/>
    <m/>
    <n v="126"/>
    <n v="195"/>
    <n v="37"/>
    <n v="43"/>
    <n v="384"/>
    <n v="510"/>
    <n v="0.02"/>
    <n v="0.98"/>
    <n v="8"/>
    <m/>
    <n v="0.98"/>
    <n v="0.98"/>
    <m/>
    <n v="0"/>
    <m/>
    <m/>
    <n v="3"/>
    <m/>
    <m/>
    <m/>
    <m/>
    <m/>
    <s v="Tested"/>
    <s v="Tested"/>
    <x v="1"/>
    <n v="1"/>
    <n v="1084"/>
    <n v="2.1680000000000001"/>
    <n v="0"/>
    <n v="0"/>
    <n v="2"/>
    <n v="0"/>
    <n v="1"/>
    <n v="1084"/>
    <n v="11.531914893617021"/>
    <n v="400"/>
    <n v="0"/>
    <n v="54"/>
    <n v="0"/>
    <n v="0"/>
    <n v="0"/>
    <n v="401"/>
    <n v="0"/>
    <n v="1084"/>
    <n v="510"/>
    <n v="1084"/>
    <n v="1084"/>
    <n v="1"/>
    <n v="0"/>
    <n v="0.36992619926199261"/>
    <n v="1"/>
    <s v="No"/>
    <n v="0"/>
    <n v="3"/>
    <n v="400"/>
    <n v="0"/>
    <s v="Yes"/>
    <s v="UNHCR"/>
    <s v="Camp"/>
    <x v="0"/>
    <s v="Muslim"/>
    <n v="19.424576999999999"/>
    <n v="93.512326000000002"/>
    <s v="MMR012CMP035"/>
    <x v="0"/>
    <n v="0"/>
    <n v="0"/>
    <n v="0"/>
    <m/>
    <m/>
    <m/>
    <m/>
    <n v="334"/>
    <n v="1001"/>
  </r>
  <r>
    <x v="1"/>
    <x v="0"/>
    <x v="0"/>
    <s v="UNICEF, OFDA"/>
    <x v="0"/>
    <x v="0"/>
    <x v="0"/>
    <x v="8"/>
    <n v="1389"/>
    <n v="6680"/>
    <n v="4.8092152627789773"/>
    <s v="01 August 2022, 15 March 2022, 1 April 2022"/>
    <s v="31 July 2023, 14 Dec 2022, 31 March 2023"/>
    <m/>
    <m/>
    <m/>
    <n v="36"/>
    <n v="36"/>
    <n v="3766000"/>
    <n v="6680"/>
    <n v="4"/>
    <n v="0.75"/>
    <n v="6"/>
    <n v="0.5"/>
    <n v="78"/>
    <m/>
    <m/>
    <s v="Water Container (Gora -15 L, Plastic Container - 24L) were distributed to newly registered HH in Census data in 2022"/>
    <n v="230"/>
    <n v="238"/>
    <n v="8"/>
    <n v="138"/>
    <n v="0.99"/>
    <n v="0.99"/>
    <n v="0.99"/>
    <n v="18"/>
    <n v="114"/>
    <m/>
    <m/>
    <x v="0"/>
    <s v="The result of percentage indicators were from the KAP survey conducted in April 2022."/>
    <n v="1376"/>
    <n v="1499"/>
    <n v="1955"/>
    <n v="1850"/>
    <n v="1389"/>
    <n v="1763"/>
    <n v="0.24"/>
    <n v="0.38"/>
    <n v="0"/>
    <m/>
    <n v="1"/>
    <n v="0.49"/>
    <n v="0.95"/>
    <n v="1"/>
    <n v="5.1000000000000004E-3"/>
    <m/>
    <m/>
    <m/>
    <m/>
    <m/>
    <m/>
    <m/>
    <s v="Tested"/>
    <s v="Tested"/>
    <x v="1"/>
    <n v="1"/>
    <n v="6680"/>
    <n v="13.36"/>
    <n v="0"/>
    <n v="0"/>
    <n v="13"/>
    <n v="0"/>
    <n v="0.75958083832335332"/>
    <n v="5074"/>
    <n v="29.043478260869566"/>
    <n v="0"/>
    <n v="0"/>
    <n v="334"/>
    <n v="96"/>
    <n v="0.24041916167664668"/>
    <n v="3.3613445378151259E-2"/>
    <n v="6680"/>
    <n v="0"/>
    <n v="6680"/>
    <n v="1763"/>
    <n v="6680"/>
    <n v="6680"/>
    <n v="1"/>
    <n v="0"/>
    <n v="1"/>
    <n v="1"/>
    <s v="No"/>
    <n v="0.95"/>
    <n v="0"/>
    <n v="0"/>
    <n v="0"/>
    <s v="Yes"/>
    <s v="DRC"/>
    <s v="Camp"/>
    <x v="0"/>
    <s v="Muslim"/>
    <n v="20.090183"/>
    <n v="93.010368999999997"/>
    <s v="MMR012CMP018"/>
    <x v="0"/>
    <n v="95"/>
    <n v="1102"/>
    <n v="1197"/>
    <m/>
    <m/>
    <m/>
    <m/>
    <n v="1387"/>
    <n v="6674"/>
  </r>
  <r>
    <x v="1"/>
    <x v="2"/>
    <x v="2"/>
    <s v="FCDO"/>
    <x v="0"/>
    <x v="1"/>
    <x v="0"/>
    <x v="9"/>
    <n v="656"/>
    <n v="3486"/>
    <n v="5.3140243902439028"/>
    <d v="2022-04-01T00:00:00"/>
    <d v="2022-09-30T00:00:00"/>
    <m/>
    <n v="35"/>
    <n v="39"/>
    <m/>
    <m/>
    <m/>
    <m/>
    <n v="8"/>
    <n v="0.13"/>
    <m/>
    <m/>
    <m/>
    <m/>
    <m/>
    <m/>
    <n v="142"/>
    <n v="228"/>
    <n v="105"/>
    <n v="96"/>
    <n v="1"/>
    <n v="0.88"/>
    <n v="0.53"/>
    <n v="2"/>
    <n v="42"/>
    <n v="8"/>
    <m/>
    <x v="0"/>
    <m/>
    <n v="667"/>
    <n v="1100"/>
    <m/>
    <m/>
    <n v="656"/>
    <n v="1312"/>
    <n v="1"/>
    <n v="1"/>
    <n v="3"/>
    <m/>
    <n v="1"/>
    <n v="1"/>
    <n v="1"/>
    <n v="0.67"/>
    <m/>
    <m/>
    <m/>
    <m/>
    <m/>
    <m/>
    <m/>
    <m/>
    <s v="Tested"/>
    <s v="no test"/>
    <x v="1"/>
    <n v="1"/>
    <n v="3486"/>
    <n v="6.9720000000000004"/>
    <n v="0"/>
    <n v="0"/>
    <n v="7"/>
    <n v="2.7999999999999581E-2"/>
    <n v="0.83820998278829606"/>
    <n v="2922"/>
    <n v="24.549295774647888"/>
    <n v="400"/>
    <n v="0"/>
    <n v="174"/>
    <n v="0"/>
    <n v="0.16179001721170394"/>
    <n v="0.37719298245614036"/>
    <n v="1767"/>
    <n v="0"/>
    <n v="3486"/>
    <n v="1312"/>
    <n v="3486"/>
    <n v="3486"/>
    <n v="1"/>
    <n v="0"/>
    <n v="0.50688468158347677"/>
    <n v="1"/>
    <s v="No"/>
    <n v="1"/>
    <n v="0"/>
    <n v="400"/>
    <n v="0"/>
    <s v="Yes"/>
    <n v="0"/>
    <s v="Camp"/>
    <x v="0"/>
    <s v="Muslim"/>
    <n v="20.185917"/>
    <n v="92.831000000000003"/>
    <s v="MMR012CMP092"/>
    <x v="0"/>
    <n v="88"/>
    <n v="397"/>
    <n v="485"/>
    <m/>
    <m/>
    <m/>
    <m/>
    <n v="657"/>
    <n v="3906"/>
  </r>
  <r>
    <x v="1"/>
    <x v="0"/>
    <x v="0"/>
    <s v="ECHO, OFDA, CDC "/>
    <x v="0"/>
    <x v="0"/>
    <x v="0"/>
    <x v="10"/>
    <n v="1076"/>
    <n v="5024"/>
    <n v="4.6691449814126393"/>
    <s v="01 August 2022, 15 March 2022, 1 April 2022"/>
    <s v="31 July 2023, 14 Dec 2022, 31 March 2023"/>
    <m/>
    <m/>
    <m/>
    <m/>
    <m/>
    <n v="1768448"/>
    <n v="5024"/>
    <n v="2"/>
    <n v="0.5"/>
    <n v="5"/>
    <n v="1"/>
    <n v="17"/>
    <m/>
    <m/>
    <s v="Water Container (Gora -15 L, Plastic Container - 24L) were distributed to newly registered HH in Census data in 2022"/>
    <n v="152"/>
    <n v="158"/>
    <n v="6"/>
    <n v="158"/>
    <n v="0.99"/>
    <n v="1"/>
    <n v="0.99"/>
    <n v="26"/>
    <n v="127"/>
    <m/>
    <m/>
    <x v="0"/>
    <s v="The result of percentage indicators were from the KAP survey conducted in April 2022."/>
    <n v="974"/>
    <n v="1090"/>
    <n v="1516"/>
    <n v="1444"/>
    <n v="1076"/>
    <n v="1294"/>
    <n v="0.94"/>
    <n v="0.56999999999999995"/>
    <n v="1"/>
    <m/>
    <n v="1"/>
    <m/>
    <n v="1"/>
    <n v="1"/>
    <n v="1.0699999999999999E-2"/>
    <n v="4"/>
    <m/>
    <m/>
    <m/>
    <m/>
    <m/>
    <m/>
    <s v="Tested"/>
    <s v="Tested"/>
    <x v="1"/>
    <n v="1"/>
    <n v="5024"/>
    <n v="10.048"/>
    <n v="0"/>
    <n v="0"/>
    <n v="10"/>
    <n v="0"/>
    <n v="0.73387738853503182"/>
    <n v="3687"/>
    <n v="33.05263157894737"/>
    <n v="0"/>
    <n v="0"/>
    <n v="251"/>
    <n v="93"/>
    <n v="0.26612261146496818"/>
    <n v="3.7974683544303799E-2"/>
    <n v="5024"/>
    <n v="0"/>
    <n v="5024"/>
    <n v="1294"/>
    <n v="5024"/>
    <n v="5024"/>
    <n v="1"/>
    <n v="0"/>
    <n v="1"/>
    <n v="1"/>
    <s v="No"/>
    <n v="1"/>
    <n v="4"/>
    <n v="0"/>
    <n v="0"/>
    <s v="Yes"/>
    <s v="LWF"/>
    <s v="Camp"/>
    <x v="1"/>
    <s v="Muslim"/>
    <n v="20.073437999999999"/>
    <n v="93.154551999999995"/>
    <s v="MMR012CMP017"/>
    <x v="0"/>
    <n v="159"/>
    <n v="923"/>
    <n v="1082"/>
    <m/>
    <m/>
    <m/>
    <m/>
    <n v="1059"/>
    <n v="5004"/>
  </r>
  <r>
    <x v="1"/>
    <x v="0"/>
    <x v="0"/>
    <s v="ECHO, OFDA, CDC "/>
    <x v="0"/>
    <x v="0"/>
    <x v="0"/>
    <x v="11"/>
    <n v="1064"/>
    <n v="5137"/>
    <n v="4.8280075187969924"/>
    <s v="01 August 2022, 15 March 2022, 1 April 2022"/>
    <s v="31 July 2023, 14 Dec 2022, 31 March 2023"/>
    <m/>
    <m/>
    <m/>
    <m/>
    <m/>
    <n v="1797950"/>
    <n v="5137"/>
    <m/>
    <m/>
    <m/>
    <m/>
    <n v="82"/>
    <m/>
    <m/>
    <s v="Water Container (Gora -15 L, Plastic Container - 24L) were distributed to newly registered HH in Census data in 2022"/>
    <n v="161"/>
    <n v="197"/>
    <m/>
    <n v="197"/>
    <n v="0.99"/>
    <n v="0.99"/>
    <n v="0.99"/>
    <n v="36"/>
    <n v="91"/>
    <m/>
    <m/>
    <x v="0"/>
    <s v="The result of percentage indicators were from the KAP survey conducted in April 2022."/>
    <n v="1051"/>
    <n v="1120"/>
    <n v="1582"/>
    <n v="1384"/>
    <n v="1064"/>
    <n v="1366"/>
    <n v="0.45"/>
    <n v="0.37"/>
    <n v="0"/>
    <m/>
    <n v="0.92"/>
    <m/>
    <n v="0.99"/>
    <n v="1"/>
    <m/>
    <n v="8"/>
    <m/>
    <m/>
    <m/>
    <m/>
    <m/>
    <m/>
    <s v="no test"/>
    <s v="no test"/>
    <x v="0"/>
    <n v="1"/>
    <n v="5137"/>
    <n v="10.273999999999999"/>
    <n v="0"/>
    <n v="0"/>
    <n v="10"/>
    <n v="0"/>
    <n v="0.78469924080202458"/>
    <n v="4031"/>
    <n v="31.906832298136646"/>
    <n v="0"/>
    <n v="0"/>
    <n v="257"/>
    <n v="60"/>
    <n v="0.21530075919797542"/>
    <n v="0.18274111675126903"/>
    <n v="5137"/>
    <n v="0"/>
    <n v="5137"/>
    <n v="1366"/>
    <n v="5137"/>
    <n v="5137"/>
    <n v="1"/>
    <n v="0"/>
    <n v="1"/>
    <n v="1"/>
    <s v="No"/>
    <n v="0.99"/>
    <n v="8"/>
    <n v="0"/>
    <n v="0"/>
    <s v="Yes"/>
    <s v="LWF"/>
    <s v="Camp"/>
    <x v="0"/>
    <s v="Muslim"/>
    <n v="20.073437999999999"/>
    <n v="93.154551999999995"/>
    <s v="MMR012CMP017"/>
    <x v="0"/>
    <n v="116"/>
    <n v="693"/>
    <n v="809"/>
    <m/>
    <m/>
    <m/>
    <m/>
    <n v="982"/>
    <n v="4828"/>
  </r>
  <r>
    <x v="1"/>
    <x v="2"/>
    <x v="2"/>
    <s v="FCDO"/>
    <x v="0"/>
    <x v="1"/>
    <x v="0"/>
    <x v="12"/>
    <n v="774"/>
    <n v="3095"/>
    <n v="3.9987080103359172"/>
    <d v="2022-04-01T00:00:00"/>
    <d v="2022-09-30T00:00:00"/>
    <m/>
    <n v="72"/>
    <n v="80"/>
    <m/>
    <m/>
    <m/>
    <m/>
    <n v="14"/>
    <n v="0.71"/>
    <m/>
    <m/>
    <m/>
    <m/>
    <m/>
    <m/>
    <n v="164"/>
    <n v="187"/>
    <n v="74"/>
    <n v="83"/>
    <n v="1"/>
    <n v="1"/>
    <n v="0.1"/>
    <m/>
    <n v="19"/>
    <n v="2"/>
    <m/>
    <x v="0"/>
    <m/>
    <n v="628"/>
    <n v="829"/>
    <m/>
    <m/>
    <n v="774"/>
    <n v="1548"/>
    <n v="1"/>
    <n v="1"/>
    <m/>
    <m/>
    <n v="1"/>
    <n v="1"/>
    <n v="1"/>
    <n v="1"/>
    <m/>
    <m/>
    <m/>
    <m/>
    <m/>
    <m/>
    <m/>
    <m/>
    <s v="Tested"/>
    <s v="no test"/>
    <x v="1"/>
    <n v="1"/>
    <n v="3095"/>
    <n v="6.19"/>
    <n v="0"/>
    <n v="0"/>
    <n v="6"/>
    <n v="0"/>
    <n v="1"/>
    <n v="3095"/>
    <n v="18.871951219512194"/>
    <n v="100"/>
    <n v="0"/>
    <n v="155"/>
    <n v="0"/>
    <n v="0"/>
    <n v="0.12299465240641712"/>
    <n v="1457"/>
    <n v="0"/>
    <n v="3095"/>
    <n v="1548"/>
    <n v="3095"/>
    <n v="3095"/>
    <n v="1"/>
    <n v="0"/>
    <n v="0.47075928917609045"/>
    <n v="1"/>
    <s v="No"/>
    <n v="1"/>
    <n v="0"/>
    <n v="100"/>
    <n v="0"/>
    <s v="Yes"/>
    <n v="0"/>
    <s v="Camp"/>
    <x v="0"/>
    <s v="Muslim"/>
    <n v="20.206778"/>
    <n v="92.774193999999994"/>
    <s v="MMR012CMP098"/>
    <x v="0"/>
    <n v="42"/>
    <n v="432"/>
    <n v="474"/>
    <m/>
    <m/>
    <m/>
    <m/>
    <n v="777"/>
    <n v="4735"/>
  </r>
  <r>
    <x v="1"/>
    <x v="2"/>
    <x v="2"/>
    <s v="FCDO"/>
    <x v="0"/>
    <x v="1"/>
    <x v="0"/>
    <x v="13"/>
    <n v="2728"/>
    <n v="13302"/>
    <n v="4.8760997067448679"/>
    <d v="2022-04-01T00:00:00"/>
    <d v="2022-09-30T00:00:00"/>
    <m/>
    <n v="227"/>
    <n v="229"/>
    <m/>
    <m/>
    <m/>
    <m/>
    <n v="88"/>
    <n v="0.8"/>
    <n v="81"/>
    <n v="0.33"/>
    <m/>
    <m/>
    <m/>
    <m/>
    <n v="648"/>
    <n v="689"/>
    <n v="163"/>
    <n v="366"/>
    <n v="1"/>
    <n v="0.97"/>
    <n v="0.1"/>
    <m/>
    <m/>
    <n v="34"/>
    <m/>
    <x v="0"/>
    <m/>
    <n v="2227"/>
    <n v="3064"/>
    <m/>
    <m/>
    <n v="2728"/>
    <n v="5456"/>
    <n v="1"/>
    <n v="1"/>
    <n v="2"/>
    <m/>
    <n v="1"/>
    <n v="1"/>
    <n v="1"/>
    <n v="1"/>
    <m/>
    <m/>
    <m/>
    <m/>
    <m/>
    <m/>
    <m/>
    <m/>
    <s v="Tested"/>
    <s v="Tested"/>
    <x v="1"/>
    <n v="1"/>
    <n v="13302"/>
    <n v="26.603999999999999"/>
    <n v="0"/>
    <n v="0"/>
    <n v="27"/>
    <n v="0.3960000000000008"/>
    <n v="0.97428958051420844"/>
    <n v="12960"/>
    <n v="20.527777777777779"/>
    <n v="1700"/>
    <n v="0"/>
    <n v="665"/>
    <n v="0"/>
    <n v="2.5710419485791558E-2"/>
    <n v="5.9506531204644414E-2"/>
    <n v="5291"/>
    <n v="0"/>
    <n v="13302"/>
    <n v="5456"/>
    <n v="13302"/>
    <n v="13302"/>
    <n v="1"/>
    <n v="0"/>
    <n v="0.39775973537813863"/>
    <n v="1"/>
    <s v="No"/>
    <n v="1"/>
    <n v="0"/>
    <n v="1700"/>
    <n v="0"/>
    <s v="Yes"/>
    <n v="0"/>
    <s v="Camp"/>
    <x v="0"/>
    <s v="Muslim"/>
    <n v="20.18994"/>
    <n v="92.798880999999994"/>
    <s v="MMR012CMP115"/>
    <x v="0"/>
    <n v="168"/>
    <n v="1744"/>
    <n v="1912"/>
    <m/>
    <m/>
    <m/>
    <m/>
    <n v="2640"/>
    <n v="15778"/>
  </r>
  <r>
    <x v="1"/>
    <x v="4"/>
    <x v="4"/>
    <s v="OFDA"/>
    <x v="0"/>
    <x v="1"/>
    <x v="0"/>
    <x v="14"/>
    <n v="2275"/>
    <n v="12495"/>
    <n v="5.4923076923076923"/>
    <d v="2022-06-01T00:00:00"/>
    <d v="2023-05-31T00:00:00"/>
    <m/>
    <n v="196"/>
    <n v="213"/>
    <m/>
    <m/>
    <m/>
    <m/>
    <m/>
    <m/>
    <n v="120"/>
    <n v="0.71"/>
    <m/>
    <m/>
    <m/>
    <m/>
    <n v="827"/>
    <n v="830"/>
    <n v="177"/>
    <n v="200"/>
    <m/>
    <m/>
    <m/>
    <n v="2"/>
    <n v="45"/>
    <m/>
    <m/>
    <x v="0"/>
    <m/>
    <n v="1940"/>
    <n v="3000"/>
    <n v="1830"/>
    <n v="1900"/>
    <n v="2275"/>
    <n v="3118"/>
    <m/>
    <m/>
    <m/>
    <m/>
    <m/>
    <m/>
    <m/>
    <m/>
    <m/>
    <m/>
    <m/>
    <m/>
    <m/>
    <m/>
    <m/>
    <m/>
    <s v="no test"/>
    <s v="Tested"/>
    <x v="1"/>
    <n v="1"/>
    <n v="12495"/>
    <n v="24.99"/>
    <n v="0"/>
    <n v="0"/>
    <n v="25"/>
    <n v="1.0000000000001563E-2"/>
    <n v="1"/>
    <n v="12495"/>
    <n v="15.108827085852479"/>
    <n v="0"/>
    <n v="0"/>
    <n v="625"/>
    <n v="0"/>
    <n v="0"/>
    <n v="3.6144578313253013E-3"/>
    <n v="8670"/>
    <n v="0"/>
    <n v="12495"/>
    <n v="3118"/>
    <n v="12495"/>
    <n v="12495"/>
    <n v="1"/>
    <n v="0"/>
    <n v="0.69387755102040816"/>
    <n v="1"/>
    <s v="No"/>
    <n v="0"/>
    <n v="0"/>
    <n v="0"/>
    <n v="0"/>
    <s v="Yes"/>
    <n v="0"/>
    <s v="Camp"/>
    <x v="0"/>
    <s v="Muslim"/>
    <n v="20.185092000000001"/>
    <n v="92.802295999999998"/>
    <s v="MMR012CMP116"/>
    <x v="0"/>
    <n v="223"/>
    <n v="1507"/>
    <n v="1730"/>
    <m/>
    <m/>
    <m/>
    <m/>
    <n v="2275"/>
    <n v="12341"/>
  </r>
  <r>
    <x v="1"/>
    <x v="4"/>
    <x v="4"/>
    <s v="OFDA"/>
    <x v="0"/>
    <x v="1"/>
    <x v="0"/>
    <x v="15"/>
    <n v="400"/>
    <n v="2698"/>
    <n v="6.7450000000000001"/>
    <d v="2022-06-01T00:00:00"/>
    <d v="2023-05-31T00:00:00"/>
    <m/>
    <n v="41"/>
    <n v="42"/>
    <m/>
    <m/>
    <m/>
    <m/>
    <m/>
    <m/>
    <n v="60"/>
    <n v="0.65"/>
    <m/>
    <m/>
    <m/>
    <m/>
    <n v="149"/>
    <n v="149"/>
    <n v="26"/>
    <n v="85"/>
    <m/>
    <m/>
    <m/>
    <n v="3"/>
    <n v="9"/>
    <m/>
    <m/>
    <x v="0"/>
    <m/>
    <n v="575"/>
    <n v="697"/>
    <n v="426"/>
    <n v="284"/>
    <n v="400"/>
    <n v="667"/>
    <m/>
    <m/>
    <m/>
    <m/>
    <m/>
    <m/>
    <m/>
    <m/>
    <m/>
    <m/>
    <m/>
    <m/>
    <m/>
    <m/>
    <m/>
    <m/>
    <s v="no test"/>
    <s v="Tested"/>
    <x v="1"/>
    <n v="1"/>
    <n v="2698"/>
    <n v="5.3959999999999999"/>
    <n v="0"/>
    <n v="0"/>
    <n v="5"/>
    <n v="0"/>
    <n v="1"/>
    <n v="2698"/>
    <n v="18.107382550335572"/>
    <n v="0"/>
    <n v="0"/>
    <n v="135"/>
    <n v="0"/>
    <n v="0"/>
    <n v="0"/>
    <n v="1982"/>
    <n v="0"/>
    <n v="2698"/>
    <n v="667"/>
    <n v="2698"/>
    <n v="2698"/>
    <n v="1"/>
    <n v="0"/>
    <n v="0.73461823573017049"/>
    <n v="1"/>
    <s v="No"/>
    <n v="0"/>
    <n v="0"/>
    <n v="0"/>
    <n v="0"/>
    <n v="0"/>
    <n v="0"/>
    <s v="Camp"/>
    <x v="0"/>
    <s v="Muslim"/>
    <n v="20.207284999999999"/>
    <n v="92.788177000000005"/>
    <s v="MMR012CMP045"/>
    <x v="0"/>
    <n v="0"/>
    <n v="0"/>
    <n v="0"/>
    <m/>
    <m/>
    <m/>
    <m/>
    <n v="0"/>
    <n v="0"/>
  </r>
  <r>
    <x v="1"/>
    <x v="2"/>
    <x v="2"/>
    <s v="FCDO"/>
    <x v="0"/>
    <x v="1"/>
    <x v="0"/>
    <x v="16"/>
    <n v="2280"/>
    <n v="11564"/>
    <n v="5.0719298245614031"/>
    <d v="2022-04-01T00:00:00"/>
    <d v="2022-09-30T00:00:00"/>
    <m/>
    <n v="183"/>
    <n v="190"/>
    <m/>
    <m/>
    <m/>
    <m/>
    <n v="236"/>
    <n v="0.6"/>
    <n v="74"/>
    <n v="0.34"/>
    <m/>
    <m/>
    <m/>
    <m/>
    <n v="479"/>
    <n v="520"/>
    <n v="135"/>
    <n v="265"/>
    <n v="1"/>
    <n v="1"/>
    <n v="0.6"/>
    <n v="12"/>
    <n v="51"/>
    <n v="40"/>
    <m/>
    <x v="0"/>
    <m/>
    <n v="2755"/>
    <n v="2782"/>
    <m/>
    <m/>
    <n v="2280"/>
    <n v="4560"/>
    <n v="1"/>
    <n v="0.5"/>
    <n v="32"/>
    <m/>
    <n v="1"/>
    <n v="1"/>
    <n v="1"/>
    <n v="1"/>
    <m/>
    <m/>
    <m/>
    <m/>
    <m/>
    <m/>
    <m/>
    <m/>
    <s v="Tested"/>
    <s v="Tested"/>
    <x v="1"/>
    <n v="1"/>
    <n v="11564"/>
    <n v="23.128"/>
    <n v="0"/>
    <n v="0"/>
    <n v="23"/>
    <n v="0"/>
    <n v="0.85359737115185053"/>
    <n v="9871"/>
    <n v="24.141962421711899"/>
    <n v="2000"/>
    <n v="0"/>
    <n v="578"/>
    <n v="58"/>
    <n v="0.14640262884814947"/>
    <n v="7.8846153846153844E-2"/>
    <n v="5537"/>
    <n v="0"/>
    <n v="11564"/>
    <n v="4560"/>
    <n v="11564"/>
    <n v="11564"/>
    <n v="1"/>
    <n v="0"/>
    <n v="0.4788135593220339"/>
    <n v="1"/>
    <s v="No"/>
    <n v="1"/>
    <n v="0"/>
    <n v="2000"/>
    <n v="0"/>
    <s v="Yes"/>
    <n v="0"/>
    <s v="Camp"/>
    <x v="0"/>
    <s v="Muslim"/>
    <n v="20.202525000000001"/>
    <n v="92.792479999999998"/>
    <s v="MMR012CMP045"/>
    <x v="0"/>
    <n v="114"/>
    <n v="1144"/>
    <n v="1258"/>
    <m/>
    <m/>
    <m/>
    <m/>
    <n v="2678"/>
    <n v="14788"/>
  </r>
  <r>
    <x v="1"/>
    <x v="4"/>
    <x v="4"/>
    <s v="BHA-USAID"/>
    <x v="0"/>
    <x v="0"/>
    <x v="0"/>
    <x v="17"/>
    <n v="811"/>
    <n v="2861"/>
    <n v="3.5277435265104811"/>
    <d v="2022-06-01T00:00:00"/>
    <d v="2023-05-31T00:00:00"/>
    <m/>
    <m/>
    <m/>
    <n v="16"/>
    <n v="16"/>
    <m/>
    <n v="2861"/>
    <m/>
    <m/>
    <m/>
    <m/>
    <m/>
    <m/>
    <m/>
    <s v="water testing in STM- IDP, we distributed chlorination water and tested FRC result is 100&amp; good."/>
    <n v="352"/>
    <n v="363"/>
    <n v="7"/>
    <n v="40"/>
    <m/>
    <m/>
    <m/>
    <n v="1"/>
    <m/>
    <m/>
    <m/>
    <x v="0"/>
    <m/>
    <n v="1353"/>
    <n v="1810"/>
    <n v="719"/>
    <n v="811"/>
    <n v="811"/>
    <n v="565"/>
    <n v="1"/>
    <m/>
    <m/>
    <m/>
    <m/>
    <m/>
    <m/>
    <m/>
    <m/>
    <m/>
    <m/>
    <m/>
    <m/>
    <m/>
    <m/>
    <m/>
    <s v="no test"/>
    <s v="no test"/>
    <x v="0"/>
    <n v="1"/>
    <n v="2861"/>
    <n v="5.7220000000000004"/>
    <n v="0"/>
    <n v="0"/>
    <n v="6"/>
    <n v="0.27799999999999958"/>
    <n v="1"/>
    <n v="2861"/>
    <n v="8.1278409090909083"/>
    <n v="0"/>
    <n v="0"/>
    <n v="143"/>
    <n v="0"/>
    <n v="0"/>
    <n v="3.0303030303030304E-2"/>
    <n v="2861"/>
    <n v="1832"/>
    <n v="2861"/>
    <n v="565"/>
    <n v="2861"/>
    <n v="2861"/>
    <n v="1"/>
    <n v="0"/>
    <n v="1"/>
    <n v="1"/>
    <s v="No"/>
    <n v="0"/>
    <n v="0"/>
    <n v="0"/>
    <n v="0"/>
    <s v="Yes"/>
    <s v="DRC"/>
    <s v="Camp"/>
    <x v="0"/>
    <s v="Muslim"/>
    <n v="20.064226000000001"/>
    <n v="92.993758999999997"/>
    <s v="MMR012CMP019"/>
    <x v="0"/>
    <n v="159"/>
    <n v="361"/>
    <n v="520"/>
    <m/>
    <m/>
    <m/>
    <m/>
    <n v="682"/>
    <n v="2588"/>
  </r>
  <r>
    <x v="1"/>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0"/>
    <n v="1"/>
    <n v="0"/>
    <n v="0"/>
    <s v="No"/>
    <n v="0"/>
    <n v="0"/>
    <n v="200"/>
    <n v="50"/>
    <s v="Yes"/>
    <s v="RI"/>
    <s v="Camp"/>
    <x v="0"/>
    <s v="Muslim"/>
    <n v="20.037655000000001"/>
    <n v="93.370037999999994"/>
    <s v="MMR012CMP014"/>
    <x v="0"/>
    <n v="73"/>
    <n v="318"/>
    <n v="391"/>
    <m/>
    <m/>
    <m/>
    <m/>
    <n v="747"/>
    <n v="3495"/>
  </r>
  <r>
    <x v="1"/>
    <x v="1"/>
    <x v="1"/>
    <s v="FCDO"/>
    <x v="0"/>
    <x v="1"/>
    <x v="0"/>
    <x v="19"/>
    <n v="1139"/>
    <n v="6016"/>
    <n v="5.2818261633011412"/>
    <d v="2022-04-01T00:00:00"/>
    <d v="2022-09-30T00:00:00"/>
    <m/>
    <n v="38"/>
    <n v="40"/>
    <m/>
    <m/>
    <m/>
    <m/>
    <m/>
    <m/>
    <m/>
    <m/>
    <m/>
    <m/>
    <m/>
    <m/>
    <n v="222"/>
    <n v="253"/>
    <n v="158"/>
    <n v="101"/>
    <n v="1"/>
    <n v="0.97"/>
    <n v="0.77"/>
    <m/>
    <m/>
    <m/>
    <m/>
    <x v="0"/>
    <s v="percentage indicator result is from the last Satisfaction Survey report conducted in Jan 2022. "/>
    <n v="18"/>
    <n v="140"/>
    <n v="29"/>
    <n v="20"/>
    <n v="1139"/>
    <n v="2278"/>
    <n v="0.94"/>
    <n v="1"/>
    <m/>
    <s v="percentage indicator result is from the last Satisfaction Survey report conducted in Jan 2022. "/>
    <n v="1"/>
    <n v="1"/>
    <n v="1"/>
    <n v="0.9"/>
    <m/>
    <n v="253"/>
    <m/>
    <m/>
    <m/>
    <m/>
    <m/>
    <m/>
    <s v="no test"/>
    <s v="no test"/>
    <x v="0"/>
    <n v="1"/>
    <n v="6016"/>
    <n v="12.032"/>
    <n v="0"/>
    <n v="0"/>
    <n v="12"/>
    <n v="0"/>
    <n v="0.73803191489361697"/>
    <n v="4440"/>
    <n v="27.099099099099099"/>
    <n v="0"/>
    <n v="0"/>
    <n v="301"/>
    <n v="48"/>
    <n v="0.26196808510638303"/>
    <n v="0.1225296442687747"/>
    <n v="207"/>
    <n v="0"/>
    <n v="6016"/>
    <n v="2278"/>
    <n v="6016"/>
    <n v="6016"/>
    <n v="1"/>
    <n v="0"/>
    <n v="3.4408244680851061E-2"/>
    <n v="1"/>
    <s v="No"/>
    <n v="1"/>
    <n v="253"/>
    <n v="0"/>
    <n v="0"/>
    <s v="Yes"/>
    <n v="0"/>
    <s v="Camp"/>
    <x v="2"/>
    <s v="Muslim"/>
    <n v="20.1585"/>
    <n v="92.839416999999997"/>
    <s v="MMR012CMP046"/>
    <x v="0"/>
    <n v="365"/>
    <n v="800"/>
    <n v="1165"/>
    <m/>
    <m/>
    <m/>
    <m/>
    <n v="2062"/>
    <n v="12522"/>
  </r>
  <r>
    <x v="1"/>
    <x v="2"/>
    <x v="2"/>
    <s v="FCDO"/>
    <x v="0"/>
    <x v="1"/>
    <x v="0"/>
    <x v="20"/>
    <n v="1013"/>
    <n v="5950"/>
    <n v="5.8736426456071076"/>
    <d v="2022-04-01T00:00:00"/>
    <d v="2022-09-30T00:00:00"/>
    <m/>
    <n v="67"/>
    <n v="69"/>
    <m/>
    <m/>
    <m/>
    <m/>
    <n v="8"/>
    <n v="1"/>
    <m/>
    <m/>
    <m/>
    <m/>
    <m/>
    <m/>
    <n v="273"/>
    <n v="335"/>
    <n v="136"/>
    <n v="131"/>
    <n v="1"/>
    <n v="0.55000000000000004"/>
    <n v="0.62"/>
    <n v="4"/>
    <n v="38"/>
    <n v="21"/>
    <m/>
    <x v="0"/>
    <m/>
    <n v="737"/>
    <n v="1054"/>
    <m/>
    <m/>
    <n v="1312"/>
    <n v="2624"/>
    <n v="0.53"/>
    <n v="1"/>
    <n v="3"/>
    <m/>
    <n v="0.86"/>
    <n v="0.9"/>
    <n v="1"/>
    <n v="1"/>
    <m/>
    <m/>
    <m/>
    <m/>
    <m/>
    <m/>
    <m/>
    <m/>
    <s v="Tested"/>
    <s v="no test"/>
    <x v="1"/>
    <n v="1"/>
    <n v="5950"/>
    <n v="11.9"/>
    <n v="0"/>
    <n v="0"/>
    <n v="12"/>
    <n v="9.9999999999999645E-2"/>
    <n v="0.93747899159663861"/>
    <n v="5578"/>
    <n v="21.794871794871796"/>
    <n v="1050"/>
    <n v="0"/>
    <n v="298"/>
    <n v="0"/>
    <n v="6.2521008403361389E-2"/>
    <n v="0.18507462686567164"/>
    <n v="1791"/>
    <n v="0"/>
    <n v="5950"/>
    <n v="2624"/>
    <n v="5950"/>
    <n v="5950"/>
    <n v="1"/>
    <n v="0"/>
    <n v="0.30100840336134455"/>
    <n v="1"/>
    <s v="No"/>
    <n v="1"/>
    <n v="0"/>
    <n v="1050"/>
    <n v="0"/>
    <s v="Yes"/>
    <n v="0"/>
    <s v="Camp"/>
    <x v="0"/>
    <s v="Muslim"/>
    <n v="20.179939999999998"/>
    <n v="92.831879000000001"/>
    <s v="MMR012CMP048"/>
    <x v="0"/>
    <n v="250"/>
    <n v="699"/>
    <n v="949"/>
    <m/>
    <m/>
    <m/>
    <m/>
    <n v="1019"/>
    <n v="6906"/>
  </r>
  <r>
    <x v="2"/>
    <x v="0"/>
    <x v="0"/>
    <s v="ECHO, OFDA, CDC "/>
    <x v="0"/>
    <x v="0"/>
    <x v="0"/>
    <x v="0"/>
    <n v="1112"/>
    <n v="5133"/>
    <n v="4.6160071942446042"/>
    <s v="03 June 2020_x000a_01 April 2022_x000a_15 March 2022_x000a_04 August 2022"/>
    <s v="30 September 2022_x000a_31 March 2023_x000a_14 December 2022_x000a_31 December 2022"/>
    <m/>
    <m/>
    <m/>
    <n v="14"/>
    <n v="14"/>
    <m/>
    <n v="5133"/>
    <m/>
    <m/>
    <m/>
    <m/>
    <m/>
    <m/>
    <m/>
    <s v=" Treated water distributed through gravity system and communal tapstands_x000a_Water testing was a challenges during QR3 due to limited access to camps. Few sample could be done with the support of MSF and UNICEF"/>
    <n v="189"/>
    <n v="198"/>
    <n v="76"/>
    <n v="198"/>
    <n v="0.99"/>
    <n v="1"/>
    <n v="0.98"/>
    <n v="27"/>
    <n v="76"/>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997"/>
    <n v="1200"/>
    <n v="938"/>
    <n v="860"/>
    <n v="1112"/>
    <n v="1515"/>
    <n v="0.15"/>
    <n v="0.71"/>
    <m/>
    <m/>
    <n v="0.89"/>
    <m/>
    <n v="0.97"/>
    <n v="1"/>
    <n v="0.04"/>
    <n v="76"/>
    <n v="823"/>
    <m/>
    <m/>
    <m/>
    <m/>
    <m/>
    <s v="no test"/>
    <s v="no test"/>
    <x v="0"/>
    <n v="1"/>
    <n v="5133"/>
    <n v="10.266"/>
    <n v="0"/>
    <n v="0"/>
    <n v="10"/>
    <n v="0"/>
    <n v="0.85641924800311708"/>
    <n v="4396"/>
    <n v="27.158730158730158"/>
    <n v="0"/>
    <n v="0"/>
    <n v="257"/>
    <n v="59"/>
    <n v="0.14358075199688292"/>
    <n v="4.5454545454545456E-2"/>
    <n v="3995"/>
    <n v="0"/>
    <n v="5133"/>
    <n v="1515"/>
    <n v="5133"/>
    <n v="5133"/>
    <n v="1"/>
    <n v="0"/>
    <n v="0.77829729203195008"/>
    <n v="1"/>
    <s v="No"/>
    <n v="0.97"/>
    <n v="899"/>
    <n v="0"/>
    <n v="0"/>
    <s v="Yes"/>
    <s v="LWF"/>
    <s v="Camp"/>
    <x v="0"/>
    <s v="Muslim"/>
    <n v="20.108101999999999"/>
    <n v="92.985095000000001"/>
    <s v="MMR012CMP016"/>
    <x v="0"/>
    <n v="279"/>
    <n v="636"/>
    <n v="915"/>
    <m/>
    <m/>
    <m/>
    <m/>
    <n v="1115"/>
    <n v="5197"/>
  </r>
  <r>
    <x v="2"/>
    <x v="1"/>
    <x v="1"/>
    <s v="FCDO"/>
    <x v="0"/>
    <x v="1"/>
    <x v="0"/>
    <x v="1"/>
    <n v="380"/>
    <n v="2489"/>
    <n v="6.55"/>
    <d v="2022-04-01T00:00:00"/>
    <d v="2022-09-30T00:00:00"/>
    <n v="628"/>
    <n v="23"/>
    <n v="23"/>
    <m/>
    <m/>
    <m/>
    <m/>
    <n v="10"/>
    <n v="0.5"/>
    <n v="2"/>
    <n v="0"/>
    <m/>
    <m/>
    <m/>
    <m/>
    <n v="113"/>
    <n v="120"/>
    <n v="24"/>
    <n v="73"/>
    <n v="1"/>
    <n v="0.64"/>
    <n v="0.91"/>
    <m/>
    <n v="220"/>
    <m/>
    <m/>
    <x v="0"/>
    <s v="WASH in School assessment was conducted during September 2022 in OXSI intervention areas. "/>
    <n v="25"/>
    <n v="304"/>
    <n v="134"/>
    <n v="98"/>
    <n v="380"/>
    <n v="640"/>
    <n v="1"/>
    <n v="1"/>
    <n v="4"/>
    <s v="OXSI conducted WASH in School Assessment in September 2022. "/>
    <n v="1"/>
    <n v="1"/>
    <n v="0.9"/>
    <n v="0.88"/>
    <m/>
    <n v="24"/>
    <m/>
    <m/>
    <m/>
    <m/>
    <m/>
    <m/>
    <s v="Tested"/>
    <s v="Tested"/>
    <x v="1"/>
    <n v="1"/>
    <n v="2489"/>
    <n v="4.9779999999999998"/>
    <n v="0"/>
    <n v="0"/>
    <n v="5"/>
    <n v="2.2000000000000242E-2"/>
    <n v="0.99638408999598227"/>
    <n v="2480"/>
    <n v="22.026548672566371"/>
    <n v="0"/>
    <n v="0"/>
    <n v="124"/>
    <n v="4"/>
    <n v="3.6159100040177306E-3"/>
    <n v="5.8333333333333334E-2"/>
    <n v="561"/>
    <n v="0"/>
    <n v="2489"/>
    <n v="640"/>
    <n v="2489"/>
    <n v="2489"/>
    <n v="1"/>
    <n v="0"/>
    <n v="0.22539172358376858"/>
    <n v="1"/>
    <s v="Yes"/>
    <n v="0.9"/>
    <n v="24"/>
    <n v="0"/>
    <n v="0"/>
    <s v="Yes"/>
    <n v="0"/>
    <s v="Camp"/>
    <x v="0"/>
    <s v="Muslim"/>
    <n v="20.128488999999998"/>
    <n v="92.875814000000005"/>
    <s v="MMR012CMP039"/>
    <x v="0"/>
    <n v="100"/>
    <n v="301"/>
    <n v="401"/>
    <m/>
    <m/>
    <m/>
    <m/>
    <n v="380"/>
    <n v="2435"/>
  </r>
  <r>
    <x v="2"/>
    <x v="1"/>
    <x v="1"/>
    <s v="FCDO"/>
    <x v="0"/>
    <x v="1"/>
    <x v="0"/>
    <x v="2"/>
    <n v="1012"/>
    <n v="5101"/>
    <n v="5.0405138339920947"/>
    <d v="2022-04-01T00:00:00"/>
    <d v="2022-09-30T00:00:00"/>
    <n v="456"/>
    <n v="48"/>
    <n v="51"/>
    <m/>
    <m/>
    <m/>
    <m/>
    <n v="3"/>
    <n v="0.66669999999999996"/>
    <n v="1"/>
    <n v="0"/>
    <m/>
    <m/>
    <m/>
    <m/>
    <n v="225"/>
    <n v="254"/>
    <n v="248"/>
    <n v="433"/>
    <n v="0.97"/>
    <n v="0.87"/>
    <n v="0.42"/>
    <m/>
    <n v="106"/>
    <m/>
    <m/>
    <x v="0"/>
    <s v="WASH in School assessment was conducted during September 2022 in OXSI intervention areas. "/>
    <n v="27.5"/>
    <n v="285"/>
    <n v="189"/>
    <n v="187"/>
    <n v="1012"/>
    <n v="1342"/>
    <n v="0.94"/>
    <n v="1"/>
    <n v="1"/>
    <s v="OXSI conducted WASH in School Assessment in September 2022. "/>
    <n v="1"/>
    <n v="1"/>
    <n v="0.97"/>
    <n v="0.9"/>
    <m/>
    <n v="248"/>
    <m/>
    <m/>
    <m/>
    <m/>
    <m/>
    <m/>
    <s v="Tested"/>
    <s v="Tested"/>
    <x v="1"/>
    <n v="1"/>
    <n v="5101"/>
    <n v="10.202"/>
    <n v="0"/>
    <n v="0"/>
    <n v="10"/>
    <n v="0"/>
    <n v="0.90296020388159182"/>
    <n v="4606"/>
    <n v="22.671111111111109"/>
    <n v="0"/>
    <n v="0"/>
    <n v="255"/>
    <n v="1"/>
    <n v="9.7039796118408184E-2"/>
    <n v="0.1141732283464567"/>
    <n v="688.5"/>
    <n v="0"/>
    <n v="5101"/>
    <n v="1342"/>
    <n v="5101"/>
    <n v="5101"/>
    <n v="1"/>
    <n v="0"/>
    <n v="0.13497353460105863"/>
    <n v="1"/>
    <s v="Yes"/>
    <n v="0.97"/>
    <n v="248"/>
    <n v="0"/>
    <n v="0"/>
    <s v="Yes"/>
    <n v="0"/>
    <s v="Camp"/>
    <x v="0"/>
    <s v="Muslim"/>
    <n v="20.179417000000001"/>
    <n v="92.813028000000003"/>
    <s v="MMR012CMP113"/>
    <x v="0"/>
    <n v="46"/>
    <n v="436"/>
    <n v="482"/>
    <m/>
    <m/>
    <m/>
    <m/>
    <n v="1012"/>
    <n v="5066"/>
  </r>
  <r>
    <x v="2"/>
    <x v="1"/>
    <x v="1"/>
    <s v="FCDO"/>
    <x v="0"/>
    <x v="1"/>
    <x v="0"/>
    <x v="3"/>
    <n v="1346"/>
    <n v="8728"/>
    <n v="6.4843982169390788"/>
    <d v="2022-04-01T00:00:00"/>
    <d v="2022-09-30T00:00:00"/>
    <n v="501"/>
    <n v="76"/>
    <n v="80"/>
    <m/>
    <m/>
    <m/>
    <m/>
    <m/>
    <m/>
    <m/>
    <m/>
    <m/>
    <m/>
    <m/>
    <m/>
    <n v="286"/>
    <n v="328"/>
    <m/>
    <m/>
    <m/>
    <m/>
    <m/>
    <n v="2"/>
    <n v="173"/>
    <m/>
    <m/>
    <x v="0"/>
    <s v="WASH in School assessment was conducted during September 2022 in OXSI intervention areas. "/>
    <n v="27.5"/>
    <n v="285"/>
    <n v="189"/>
    <n v="187"/>
    <n v="1353"/>
    <n v="1797"/>
    <n v="0.94"/>
    <n v="1"/>
    <n v="1"/>
    <s v="OXSI conducted WASH in School Assessment in September 2022. "/>
    <m/>
    <m/>
    <m/>
    <m/>
    <m/>
    <m/>
    <m/>
    <m/>
    <m/>
    <m/>
    <m/>
    <m/>
    <s v="no test"/>
    <s v="no test"/>
    <x v="0"/>
    <n v="1"/>
    <n v="8728"/>
    <n v="17.456"/>
    <n v="0"/>
    <n v="0"/>
    <n v="17"/>
    <n v="0"/>
    <n v="0.67976626947754348"/>
    <n v="5933"/>
    <n v="30.517482517482517"/>
    <n v="0"/>
    <n v="0"/>
    <n v="436"/>
    <n v="108"/>
    <n v="0.32023373052245652"/>
    <n v="0.12804878048780488"/>
    <n v="688.5"/>
    <n v="0"/>
    <n v="8728"/>
    <n v="1797"/>
    <n v="8728"/>
    <n v="8728"/>
    <n v="1"/>
    <n v="0"/>
    <n v="7.8884051329055918E-2"/>
    <n v="1"/>
    <s v="Yes"/>
    <n v="0"/>
    <n v="0"/>
    <n v="0"/>
    <n v="0"/>
    <s v="Yes"/>
    <n v="0"/>
    <s v="Camp"/>
    <x v="0"/>
    <s v="Muslim"/>
    <n v="20.181405999999999"/>
    <n v="92.807552000000001"/>
    <s v="MMR012CMP114"/>
    <x v="0"/>
    <n v="242"/>
    <n v="822"/>
    <n v="1064"/>
    <m/>
    <m/>
    <m/>
    <m/>
    <n v="1346"/>
    <n v="8414"/>
  </r>
  <r>
    <x v="2"/>
    <x v="1"/>
    <x v="1"/>
    <s v="FCDO"/>
    <x v="0"/>
    <x v="1"/>
    <x v="0"/>
    <x v="4"/>
    <n v="1753"/>
    <n v="11715"/>
    <n v="6.6828294352538506"/>
    <d v="2022-04-01T00:00:00"/>
    <d v="2022-09-30T00:00:00"/>
    <n v="896"/>
    <n v="82"/>
    <n v="85"/>
    <m/>
    <m/>
    <m/>
    <m/>
    <n v="54"/>
    <n v="0.68500000000000005"/>
    <m/>
    <m/>
    <m/>
    <m/>
    <m/>
    <m/>
    <n v="530"/>
    <n v="554"/>
    <n v="248"/>
    <n v="398"/>
    <n v="1"/>
    <n v="0.92"/>
    <n v="0.45"/>
    <n v="12"/>
    <n v="165"/>
    <m/>
    <m/>
    <x v="0"/>
    <s v="WASH in School assessment was conducted during September 2022 in OXSI intervention areas. "/>
    <n v="22"/>
    <n v="276"/>
    <n v="487"/>
    <n v="387"/>
    <n v="1850"/>
    <n v="2822"/>
    <n v="0.96"/>
    <n v="1"/>
    <n v="13"/>
    <s v="OXSI conducted WASH in School Assessment in September 2022. "/>
    <n v="1"/>
    <n v="1"/>
    <n v="0.98"/>
    <n v="0.92"/>
    <m/>
    <n v="248"/>
    <m/>
    <m/>
    <m/>
    <m/>
    <m/>
    <m/>
    <s v="Tested"/>
    <s v="no test"/>
    <x v="1"/>
    <n v="1"/>
    <n v="11715"/>
    <n v="23.43"/>
    <n v="0"/>
    <n v="0"/>
    <n v="23"/>
    <n v="0"/>
    <n v="0.93939393939393945"/>
    <n v="11005"/>
    <n v="22.10377358490566"/>
    <n v="0"/>
    <n v="0"/>
    <n v="586"/>
    <n v="32"/>
    <n v="6.0606060606060552E-2"/>
    <n v="4.3321299638989168E-2"/>
    <n v="1172"/>
    <n v="0"/>
    <n v="11715"/>
    <n v="2822"/>
    <n v="11715"/>
    <n v="11715"/>
    <n v="1"/>
    <n v="0"/>
    <n v="0.10004268032437047"/>
    <n v="1"/>
    <s v="Yes"/>
    <n v="0.98"/>
    <n v="248"/>
    <n v="0"/>
    <n v="0"/>
    <s v="Yes"/>
    <n v="0"/>
    <s v="Camp"/>
    <x v="0"/>
    <s v="Muslim"/>
    <n v="20.16846"/>
    <n v="92.827427"/>
    <s v="MMR012CMP041"/>
    <x v="0"/>
    <n v="104"/>
    <n v="810"/>
    <n v="914"/>
    <m/>
    <m/>
    <m/>
    <m/>
    <n v="1713"/>
    <n v="11460"/>
  </r>
  <r>
    <x v="2"/>
    <x v="2"/>
    <x v="2"/>
    <s v="FCDO"/>
    <x v="0"/>
    <x v="1"/>
    <x v="0"/>
    <x v="5"/>
    <n v="400"/>
    <n v="2248"/>
    <n v="5.62"/>
    <d v="2022-04-01T00:00:00"/>
    <d v="2022-09-30T00:00:00"/>
    <n v="550"/>
    <n v="48"/>
    <n v="53"/>
    <m/>
    <m/>
    <m/>
    <m/>
    <n v="65"/>
    <n v="0.36899999999999999"/>
    <n v="81"/>
    <n v="0.24690000000000001"/>
    <m/>
    <m/>
    <m/>
    <m/>
    <n v="87"/>
    <n v="116"/>
    <n v="41"/>
    <n v="112"/>
    <n v="0.82"/>
    <n v="0.73"/>
    <n v="0.64"/>
    <n v="10"/>
    <n v="29"/>
    <n v="4"/>
    <m/>
    <x v="0"/>
    <s v="WASH in School assessment was conducted during September 2022 in OXSI intervention areas."/>
    <n v="48"/>
    <n v="388"/>
    <n v="2021"/>
    <n v="1969"/>
    <n v="392"/>
    <n v="805"/>
    <n v="0.56999999999999995"/>
    <n v="1"/>
    <n v="5"/>
    <s v="OXSI conducted WASH in School Assessment in September 2022."/>
    <n v="1"/>
    <n v="1"/>
    <n v="1"/>
    <n v="1"/>
    <m/>
    <n v="41"/>
    <m/>
    <m/>
    <m/>
    <m/>
    <m/>
    <m/>
    <s v="Tested"/>
    <s v="Tested"/>
    <x v="1"/>
    <n v="1"/>
    <n v="2248"/>
    <n v="4.4960000000000004"/>
    <n v="0"/>
    <n v="0"/>
    <n v="4"/>
    <n v="0"/>
    <n v="0.87588967971530252"/>
    <n v="1969"/>
    <n v="25.839080459770116"/>
    <n v="200"/>
    <n v="0"/>
    <n v="112"/>
    <n v="0"/>
    <n v="0.12411032028469748"/>
    <n v="0.25"/>
    <n v="2248"/>
    <n v="2178"/>
    <n v="2203.04"/>
    <n v="805"/>
    <n v="2203.04"/>
    <n v="2248"/>
    <n v="1"/>
    <n v="0"/>
    <n v="1"/>
    <n v="0.98"/>
    <s v="Yes"/>
    <n v="1"/>
    <n v="41"/>
    <n v="200"/>
    <n v="0"/>
    <s v="Yes"/>
    <n v="0"/>
    <s v="Camp"/>
    <x v="0"/>
    <s v="Muslim"/>
    <n v="20.181778000000001"/>
    <n v="92.823166999999998"/>
    <s v="MMR012CMP042"/>
    <x v="0"/>
    <n v="47"/>
    <n v="306"/>
    <n v="353"/>
    <m/>
    <m/>
    <m/>
    <m/>
    <n v="392"/>
    <n v="2455"/>
  </r>
  <r>
    <x v="2"/>
    <x v="1"/>
    <x v="1"/>
    <s v="FCDO"/>
    <x v="0"/>
    <x v="1"/>
    <x v="0"/>
    <x v="6"/>
    <n v="400"/>
    <n v="2262"/>
    <n v="5.6550000000000002"/>
    <d v="2022-04-01T00:00:00"/>
    <d v="2022-09-30T00:00:00"/>
    <n v="364"/>
    <n v="21"/>
    <n v="25"/>
    <m/>
    <m/>
    <m/>
    <m/>
    <n v="30"/>
    <n v="0.7"/>
    <n v="78"/>
    <n v="0.15379999999999999"/>
    <m/>
    <m/>
    <m/>
    <m/>
    <n v="97"/>
    <n v="104"/>
    <n v="32"/>
    <n v="55"/>
    <n v="1"/>
    <n v="1"/>
    <n v="0.45"/>
    <n v="5"/>
    <n v="198"/>
    <m/>
    <m/>
    <x v="0"/>
    <s v="WASH in School assessment was conducted during September 2022 in OXSI intervention areas. "/>
    <n v="4"/>
    <n v="192"/>
    <n v="99"/>
    <n v="80"/>
    <n v="400"/>
    <n v="568"/>
    <n v="0.88"/>
    <n v="1"/>
    <n v="2"/>
    <s v="OXSI conducted WASH in School Assessment in September 2022. "/>
    <n v="1"/>
    <n v="1"/>
    <n v="1"/>
    <n v="1"/>
    <m/>
    <n v="32"/>
    <m/>
    <m/>
    <m/>
    <m/>
    <m/>
    <m/>
    <s v="Tested"/>
    <s v="Tested"/>
    <x v="1"/>
    <n v="1"/>
    <n v="2262"/>
    <n v="4.524"/>
    <n v="0"/>
    <n v="0"/>
    <n v="5"/>
    <n v="0.47599999999999998"/>
    <n v="0.98938992042440321"/>
    <n v="2238"/>
    <n v="23.319587628865978"/>
    <n v="0"/>
    <n v="0"/>
    <n v="113"/>
    <n v="9"/>
    <n v="1.0610079575596787E-2"/>
    <n v="6.7307692307692304E-2"/>
    <n v="375"/>
    <n v="0"/>
    <n v="2262"/>
    <n v="568"/>
    <n v="2262"/>
    <n v="2262"/>
    <n v="1"/>
    <n v="0"/>
    <n v="0.16578249336870027"/>
    <n v="1"/>
    <s v="Yes"/>
    <n v="1"/>
    <n v="32"/>
    <n v="0"/>
    <n v="0"/>
    <n v="0"/>
    <n v="0"/>
    <s v="Camp"/>
    <x v="0"/>
    <s v="Muslim"/>
    <n v="20.180194"/>
    <n v="92.816638999999995"/>
    <s v="MMR012CMP042"/>
    <x v="0"/>
    <n v="70"/>
    <n v="241"/>
    <n v="311"/>
    <m/>
    <m/>
    <m/>
    <m/>
    <n v="400"/>
    <n v="2228"/>
  </r>
  <r>
    <x v="2"/>
    <x v="3"/>
    <x v="3"/>
    <s v="UNICEF"/>
    <x v="0"/>
    <x v="2"/>
    <x v="0"/>
    <x v="7"/>
    <n v="386"/>
    <n v="1086"/>
    <n v="2.8134715025906734"/>
    <d v="2022-08-18T00:00:00"/>
    <d v="2023-06-17T00:00:00"/>
    <n v="196"/>
    <m/>
    <m/>
    <n v="14"/>
    <n v="19"/>
    <m/>
    <m/>
    <n v="80"/>
    <n v="0.67"/>
    <n v="56"/>
    <n v="0.91"/>
    <m/>
    <n v="209"/>
    <m/>
    <m/>
    <n v="54"/>
    <n v="94"/>
    <n v="7"/>
    <n v="94"/>
    <n v="1"/>
    <n v="1"/>
    <n v="1"/>
    <m/>
    <n v="22"/>
    <n v="8"/>
    <m/>
    <x v="0"/>
    <m/>
    <n v="60"/>
    <n v="193"/>
    <n v="17"/>
    <n v="38"/>
    <n v="386"/>
    <m/>
    <n v="0"/>
    <n v="0.98"/>
    <n v="8"/>
    <s v="CDA cannot provide monthly Hygiene Kits activity because delay transportation from Sittwe to Kyaukpyu."/>
    <n v="0.95"/>
    <n v="0.95"/>
    <m/>
    <n v="0"/>
    <m/>
    <m/>
    <m/>
    <m/>
    <m/>
    <m/>
    <m/>
    <m/>
    <s v="Tested"/>
    <s v="Tested"/>
    <x v="1"/>
    <n v="1"/>
    <n v="1086"/>
    <n v="2.1720000000000002"/>
    <n v="0"/>
    <n v="0"/>
    <n v="2"/>
    <n v="0"/>
    <n v="1"/>
    <n v="1086"/>
    <n v="20.111111111111111"/>
    <n v="400"/>
    <n v="0"/>
    <n v="54"/>
    <n v="0"/>
    <n v="0"/>
    <n v="0.42553191489361702"/>
    <n v="308"/>
    <n v="0"/>
    <n v="1086"/>
    <n v="0"/>
    <n v="1086"/>
    <n v="1086"/>
    <n v="1"/>
    <n v="0"/>
    <n v="0.28360957642725598"/>
    <n v="1"/>
    <s v="Yes"/>
    <n v="0"/>
    <n v="0"/>
    <n v="400"/>
    <n v="0"/>
    <s v="Yes"/>
    <s v="UNHCR"/>
    <s v="Camp"/>
    <x v="0"/>
    <s v="Muslim"/>
    <n v="19.424576999999999"/>
    <n v="93.512326000000002"/>
    <s v="MMR012CMP035"/>
    <x v="0"/>
    <n v="0"/>
    <n v="0"/>
    <n v="0"/>
    <m/>
    <m/>
    <m/>
    <m/>
    <n v="334"/>
    <n v="1001"/>
  </r>
  <r>
    <x v="2"/>
    <x v="0"/>
    <x v="0"/>
    <s v="UNICEF, OFDA"/>
    <x v="0"/>
    <x v="0"/>
    <x v="0"/>
    <x v="8"/>
    <n v="1389"/>
    <n v="6680"/>
    <n v="4.8092152627789773"/>
    <s v="03 June 2020_x000a_01 April 2022_x000a_15 March 2022_x000a_04 August 2022"/>
    <s v="30 September 2022_x000a_31 March 2023_x000a_14 December 2022_x000a_31 December 2022"/>
    <m/>
    <m/>
    <m/>
    <n v="36"/>
    <n v="36"/>
    <m/>
    <n v="6680"/>
    <m/>
    <m/>
    <n v="5"/>
    <n v="1"/>
    <m/>
    <m/>
    <m/>
    <s v=" Treated water distributed through gravity system and communal tapstands_x000a_Water testing was a challenges during QR3 due to limited access to camps. Few sample could be done with the support of MSF and UNICEF"/>
    <n v="230"/>
    <n v="238"/>
    <n v="176"/>
    <n v="238"/>
    <n v="0.99"/>
    <n v="0.99"/>
    <n v="0.99"/>
    <n v="18"/>
    <n v="114"/>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1376"/>
    <n v="1499"/>
    <n v="1070"/>
    <n v="1009"/>
    <n v="1389"/>
    <n v="1763"/>
    <n v="0.24"/>
    <n v="0.38"/>
    <n v="2"/>
    <m/>
    <n v="1"/>
    <m/>
    <n v="0.95"/>
    <n v="1"/>
    <n v="0.01"/>
    <n v="176"/>
    <n v="1097"/>
    <m/>
    <m/>
    <m/>
    <m/>
    <m/>
    <s v="no test"/>
    <s v="Tested"/>
    <x v="1"/>
    <n v="1"/>
    <n v="6680"/>
    <n v="13.36"/>
    <n v="0"/>
    <n v="0"/>
    <n v="13"/>
    <n v="0"/>
    <n v="0.75958083832335332"/>
    <n v="5074"/>
    <n v="29.043478260869566"/>
    <n v="0"/>
    <n v="0"/>
    <n v="334"/>
    <n v="96"/>
    <n v="0.24041916167664668"/>
    <n v="3.3613445378151259E-2"/>
    <n v="4954"/>
    <n v="0"/>
    <n v="6680"/>
    <n v="1763"/>
    <n v="6680"/>
    <n v="6680"/>
    <n v="1"/>
    <n v="0"/>
    <n v="0.74161676646706587"/>
    <n v="1"/>
    <s v="No"/>
    <n v="0.95"/>
    <n v="1273"/>
    <n v="0"/>
    <n v="0"/>
    <s v="Yes"/>
    <s v="DRC"/>
    <s v="Camp"/>
    <x v="0"/>
    <s v="Muslim"/>
    <n v="20.090183"/>
    <n v="93.010368999999997"/>
    <s v="MMR012CMP018"/>
    <x v="0"/>
    <n v="95"/>
    <n v="1102"/>
    <n v="1197"/>
    <m/>
    <m/>
    <m/>
    <m/>
    <n v="1387"/>
    <n v="6674"/>
  </r>
  <r>
    <x v="2"/>
    <x v="2"/>
    <x v="2"/>
    <s v="FCDO"/>
    <x v="0"/>
    <x v="1"/>
    <x v="0"/>
    <x v="9"/>
    <n v="656"/>
    <n v="3486"/>
    <n v="5.3140243902439028"/>
    <d v="2022-04-01T00:00:00"/>
    <d v="2022-09-30T00:00:00"/>
    <n v="537"/>
    <n v="32"/>
    <n v="36"/>
    <m/>
    <m/>
    <m/>
    <m/>
    <n v="44"/>
    <n v="0.56799999999999995"/>
    <n v="85"/>
    <n v="0.188"/>
    <m/>
    <m/>
    <m/>
    <m/>
    <n v="176"/>
    <n v="205"/>
    <n v="174"/>
    <n v="92"/>
    <n v="1"/>
    <n v="0.94"/>
    <n v="0.18"/>
    <n v="4"/>
    <n v="42"/>
    <n v="3"/>
    <m/>
    <x v="0"/>
    <s v="WASH in School assessment was conducted during September 2022 in OXSI intervention areas."/>
    <n v="65"/>
    <n v="345"/>
    <n v="338"/>
    <n v="371"/>
    <n v="656"/>
    <n v="1239"/>
    <n v="1"/>
    <n v="1"/>
    <m/>
    <s v="OXSI conducted WASH in School Assessment in September 2022."/>
    <n v="0.94"/>
    <n v="1"/>
    <n v="1"/>
    <n v="1"/>
    <m/>
    <n v="174"/>
    <m/>
    <m/>
    <m/>
    <m/>
    <m/>
    <m/>
    <s v="Tested"/>
    <s v="Tested"/>
    <x v="1"/>
    <n v="1"/>
    <n v="3486"/>
    <n v="6.9720000000000004"/>
    <n v="0"/>
    <n v="0"/>
    <n v="7"/>
    <n v="2.7999999999999581E-2"/>
    <n v="1"/>
    <n v="3486"/>
    <n v="19.806818181818183"/>
    <n v="150"/>
    <n v="0"/>
    <n v="174"/>
    <n v="0"/>
    <n v="0"/>
    <n v="0.14146341463414633"/>
    <n v="1119"/>
    <n v="0"/>
    <n v="3486"/>
    <n v="1239"/>
    <n v="3486"/>
    <n v="3486"/>
    <n v="1"/>
    <n v="0"/>
    <n v="0.32099827882960413"/>
    <n v="1"/>
    <s v="Yes"/>
    <n v="1"/>
    <n v="174"/>
    <n v="150"/>
    <n v="0"/>
    <s v="Yes"/>
    <n v="0"/>
    <s v="Camp"/>
    <x v="0"/>
    <s v="Muslim"/>
    <n v="20.185917"/>
    <n v="92.831000000000003"/>
    <s v="MMR012CMP092"/>
    <x v="0"/>
    <n v="88"/>
    <n v="397"/>
    <n v="485"/>
    <m/>
    <m/>
    <m/>
    <m/>
    <n v="657"/>
    <n v="3906"/>
  </r>
  <r>
    <x v="2"/>
    <x v="0"/>
    <x v="0"/>
    <s v="ECHO, OFDA, CDC "/>
    <x v="0"/>
    <x v="0"/>
    <x v="0"/>
    <x v="10"/>
    <n v="1076"/>
    <n v="5024"/>
    <n v="4.6691449814126393"/>
    <s v="03 June 2020_x000a_01 April 2022_x000a_15 March 2022_x000a_04 August 2022"/>
    <s v="30 September 2022_x000a_31 March 2023_x000a_14 December 2022_x000a_31 December 2022"/>
    <m/>
    <m/>
    <m/>
    <n v="3"/>
    <n v="3"/>
    <m/>
    <n v="5024"/>
    <m/>
    <m/>
    <n v="3"/>
    <n v="0.67"/>
    <m/>
    <m/>
    <m/>
    <s v="Pond sand filters in place for safe water supply_x000a_Water testing was a challenges during QR3 due to limited access to camps. Few sample could be done with the support of MSF and UNICEF"/>
    <n v="158"/>
    <n v="158"/>
    <n v="100"/>
    <n v="158"/>
    <n v="0.99"/>
    <n v="1"/>
    <n v="0.99"/>
    <n v="26"/>
    <n v="127"/>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974"/>
    <n v="1090"/>
    <n v="901"/>
    <n v="792"/>
    <n v="1076"/>
    <n v="1294"/>
    <n v="0.94"/>
    <n v="0.56999999999999995"/>
    <n v="2"/>
    <m/>
    <n v="1"/>
    <m/>
    <n v="1"/>
    <n v="1"/>
    <n v="0.03"/>
    <n v="100"/>
    <n v="837"/>
    <m/>
    <m/>
    <m/>
    <m/>
    <m/>
    <s v="no test"/>
    <s v="Tested"/>
    <x v="1"/>
    <n v="1"/>
    <n v="5024"/>
    <n v="10.048"/>
    <n v="0"/>
    <n v="0"/>
    <n v="10"/>
    <n v="0"/>
    <n v="0.7577627388535032"/>
    <n v="3807"/>
    <n v="31.797468354430379"/>
    <n v="0"/>
    <n v="0"/>
    <n v="251"/>
    <n v="93"/>
    <n v="0.2422372611464968"/>
    <n v="0"/>
    <n v="3757"/>
    <n v="0"/>
    <n v="5024"/>
    <n v="1294"/>
    <n v="5024"/>
    <n v="5024"/>
    <n v="1"/>
    <n v="0"/>
    <n v="0.74781050955414008"/>
    <n v="1"/>
    <s v="No"/>
    <n v="1"/>
    <n v="937"/>
    <n v="0"/>
    <n v="0"/>
    <s v="Yes"/>
    <s v="LWF"/>
    <s v="Camp"/>
    <x v="1"/>
    <s v="Muslim"/>
    <n v="20.073437999999999"/>
    <n v="93.154551999999995"/>
    <s v="MMR012CMP017"/>
    <x v="0"/>
    <n v="159"/>
    <n v="923"/>
    <n v="1082"/>
    <m/>
    <m/>
    <m/>
    <m/>
    <n v="1059"/>
    <n v="5004"/>
  </r>
  <r>
    <x v="2"/>
    <x v="0"/>
    <x v="0"/>
    <s v="ECHO, OFDA, CDC "/>
    <x v="0"/>
    <x v="0"/>
    <x v="0"/>
    <x v="11"/>
    <n v="1064"/>
    <n v="5137"/>
    <n v="4.8280075187969924"/>
    <s v="03 June 2020_x000a_01 April 2022_x000a_15 March 2022_x000a_04 August 2022"/>
    <s v="30 September 2022_x000a_31 March 2023_x000a_14 December 2022_x000a_31 December 2022"/>
    <m/>
    <m/>
    <m/>
    <n v="2"/>
    <n v="2"/>
    <m/>
    <n v="5137"/>
    <m/>
    <m/>
    <n v="4"/>
    <n v="0"/>
    <m/>
    <m/>
    <m/>
    <s v="Pond sand filters in place for safe water supply_x000a_Water testing was a challenges during QR3 due to limited access to camps. Few sample could be done with the support of MSF and UNICEF"/>
    <n v="191"/>
    <n v="197"/>
    <n v="75"/>
    <n v="197"/>
    <n v="0.99"/>
    <n v="0.99"/>
    <n v="0.99"/>
    <n v="36"/>
    <n v="91"/>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1051"/>
    <n v="1120"/>
    <n v="932"/>
    <n v="769"/>
    <n v="1064"/>
    <n v="1366"/>
    <n v="0.45"/>
    <n v="0.37"/>
    <m/>
    <m/>
    <n v="0.92"/>
    <m/>
    <n v="0.99"/>
    <n v="1"/>
    <m/>
    <n v="75"/>
    <n v="848"/>
    <m/>
    <m/>
    <m/>
    <m/>
    <m/>
    <s v="no test"/>
    <s v="Tested"/>
    <x v="1"/>
    <n v="1"/>
    <n v="5137"/>
    <n v="10.273999999999999"/>
    <n v="0"/>
    <n v="0"/>
    <n v="10"/>
    <n v="0"/>
    <n v="0.90149892933618847"/>
    <n v="4631"/>
    <n v="26.895287958115183"/>
    <n v="0"/>
    <n v="0"/>
    <n v="257"/>
    <n v="60"/>
    <n v="9.850107066381153E-2"/>
    <n v="3.0456852791878174E-2"/>
    <n v="3872"/>
    <n v="0"/>
    <n v="5137"/>
    <n v="1366"/>
    <n v="5137"/>
    <n v="5137"/>
    <n v="1"/>
    <n v="0"/>
    <n v="0.75374732334047112"/>
    <n v="1"/>
    <s v="No"/>
    <n v="0.99"/>
    <n v="923"/>
    <n v="0"/>
    <n v="0"/>
    <s v="Yes"/>
    <s v="LWF"/>
    <s v="Camp"/>
    <x v="0"/>
    <s v="Muslim"/>
    <n v="20.073437999999999"/>
    <n v="93.154551999999995"/>
    <s v="MMR012CMP017"/>
    <x v="0"/>
    <n v="116"/>
    <n v="693"/>
    <n v="809"/>
    <m/>
    <m/>
    <m/>
    <m/>
    <n v="982"/>
    <n v="4828"/>
  </r>
  <r>
    <x v="2"/>
    <x v="2"/>
    <x v="2"/>
    <s v="FCDO"/>
    <x v="0"/>
    <x v="1"/>
    <x v="0"/>
    <x v="12"/>
    <n v="774"/>
    <n v="3095"/>
    <n v="3.9987080103359172"/>
    <d v="2022-04-01T00:00:00"/>
    <d v="2022-09-30T00:00:00"/>
    <n v="719"/>
    <n v="69"/>
    <n v="76"/>
    <m/>
    <m/>
    <m/>
    <m/>
    <n v="93"/>
    <n v="0.51600000000000001"/>
    <n v="84"/>
    <n v="0.28599999999999998"/>
    <m/>
    <m/>
    <m/>
    <m/>
    <n v="159"/>
    <n v="187"/>
    <n v="91"/>
    <n v="114"/>
    <n v="1"/>
    <n v="1"/>
    <n v="0.1"/>
    <m/>
    <n v="19"/>
    <n v="2"/>
    <m/>
    <x v="0"/>
    <s v="WASH in School assessment was conducted during September 2022 in OXSI intervention areas."/>
    <n v="109"/>
    <n v="408"/>
    <n v="862"/>
    <n v="738"/>
    <n v="774"/>
    <n v="1122"/>
    <n v="1"/>
    <n v="1"/>
    <m/>
    <s v="OXSI conducted WASH in School Assessment in September 2022."/>
    <n v="1"/>
    <n v="1"/>
    <n v="1"/>
    <n v="1"/>
    <m/>
    <n v="91"/>
    <m/>
    <m/>
    <m/>
    <m/>
    <m/>
    <m/>
    <s v="Tested"/>
    <s v="Tested"/>
    <x v="1"/>
    <n v="1"/>
    <n v="3095"/>
    <n v="6.19"/>
    <n v="0"/>
    <n v="0"/>
    <n v="6"/>
    <n v="0"/>
    <n v="1"/>
    <n v="3095"/>
    <n v="19.465408805031448"/>
    <n v="100"/>
    <n v="0"/>
    <n v="155"/>
    <n v="0"/>
    <n v="0"/>
    <n v="0.1497326203208556"/>
    <n v="2117"/>
    <n v="0"/>
    <n v="3095"/>
    <n v="1122"/>
    <n v="3095"/>
    <n v="3095"/>
    <n v="1"/>
    <n v="0"/>
    <n v="0.68400646203554116"/>
    <n v="1"/>
    <s v="Yes"/>
    <n v="1"/>
    <n v="91"/>
    <n v="100"/>
    <n v="0"/>
    <s v="Yes"/>
    <n v="0"/>
    <s v="Camp"/>
    <x v="0"/>
    <s v="Muslim"/>
    <n v="20.206778"/>
    <n v="92.774193999999994"/>
    <s v="MMR012CMP098"/>
    <x v="0"/>
    <n v="42"/>
    <n v="432"/>
    <n v="474"/>
    <m/>
    <m/>
    <m/>
    <m/>
    <n v="777"/>
    <n v="4735"/>
  </r>
  <r>
    <x v="2"/>
    <x v="2"/>
    <x v="2"/>
    <s v="FCDO"/>
    <x v="0"/>
    <x v="1"/>
    <x v="0"/>
    <x v="13"/>
    <n v="2728"/>
    <n v="13302"/>
    <n v="4.8760997067448679"/>
    <d v="2022-04-01T00:00:00"/>
    <d v="2022-09-30T00:00:00"/>
    <n v="2058"/>
    <n v="224"/>
    <n v="226"/>
    <m/>
    <m/>
    <m/>
    <m/>
    <n v="135"/>
    <n v="0.67400000000000004"/>
    <n v="177"/>
    <n v="0.20899999999999999"/>
    <m/>
    <m/>
    <m/>
    <m/>
    <n v="628"/>
    <n v="688"/>
    <n v="168"/>
    <n v="362"/>
    <n v="0.99"/>
    <n v="1"/>
    <n v="0.09"/>
    <n v="4"/>
    <n v="120"/>
    <n v="21"/>
    <m/>
    <x v="0"/>
    <s v="WASH in School assessment was conducted during September 2022 in OXSI intervention areas."/>
    <n v="23"/>
    <n v="967"/>
    <n v="1381"/>
    <n v="1265"/>
    <n v="2728"/>
    <n v="6512"/>
    <n v="0.96"/>
    <n v="1"/>
    <n v="13"/>
    <s v="OXSI conducted WASH in School Assessment in September 2022."/>
    <n v="1"/>
    <n v="1"/>
    <n v="1"/>
    <n v="1"/>
    <m/>
    <n v="168"/>
    <m/>
    <m/>
    <m/>
    <m/>
    <m/>
    <m/>
    <s v="Tested"/>
    <s v="Tested"/>
    <x v="1"/>
    <n v="1"/>
    <n v="13302"/>
    <n v="26.603999999999999"/>
    <n v="0"/>
    <n v="0"/>
    <n v="27"/>
    <n v="0.3960000000000008"/>
    <n v="0.95925424748158172"/>
    <n v="12760"/>
    <n v="21.181528662420384"/>
    <n v="1050"/>
    <n v="0"/>
    <n v="665"/>
    <n v="0"/>
    <n v="4.0745752518418277E-2"/>
    <n v="8.7209302325581398E-2"/>
    <n v="3636"/>
    <n v="0"/>
    <n v="13302"/>
    <n v="6512"/>
    <n v="13302"/>
    <n v="13302"/>
    <n v="1"/>
    <n v="0"/>
    <n v="0.27334235453315292"/>
    <n v="1"/>
    <s v="Yes"/>
    <n v="1"/>
    <n v="168"/>
    <n v="1050"/>
    <n v="0"/>
    <s v="Yes"/>
    <n v="0"/>
    <s v="Camp"/>
    <x v="0"/>
    <s v="Muslim"/>
    <n v="20.18994"/>
    <n v="92.798880999999994"/>
    <s v="MMR012CMP115"/>
    <x v="0"/>
    <n v="168"/>
    <n v="1744"/>
    <n v="1912"/>
    <m/>
    <m/>
    <m/>
    <m/>
    <n v="2640"/>
    <n v="15778"/>
  </r>
  <r>
    <x v="2"/>
    <x v="4"/>
    <x v="4"/>
    <s v="OFDA"/>
    <x v="0"/>
    <x v="1"/>
    <x v="0"/>
    <x v="14"/>
    <n v="2275"/>
    <n v="12495"/>
    <n v="5.4923076923076923"/>
    <d v="2022-06-01T00:00:00"/>
    <d v="2023-05-31T00:00:00"/>
    <m/>
    <n v="176"/>
    <n v="213"/>
    <m/>
    <m/>
    <m/>
    <m/>
    <n v="240"/>
    <n v="0.65"/>
    <n v="240"/>
    <m/>
    <m/>
    <m/>
    <m/>
    <m/>
    <n v="825"/>
    <n v="830"/>
    <n v="215"/>
    <n v="387"/>
    <m/>
    <m/>
    <m/>
    <n v="2"/>
    <n v="45"/>
    <m/>
    <m/>
    <x v="0"/>
    <m/>
    <n v="1513"/>
    <n v="2327"/>
    <n v="1442"/>
    <n v="1529"/>
    <m/>
    <m/>
    <m/>
    <m/>
    <m/>
    <m/>
    <m/>
    <m/>
    <m/>
    <m/>
    <m/>
    <m/>
    <m/>
    <m/>
    <m/>
    <m/>
    <m/>
    <m/>
    <s v="Tested"/>
    <s v="Tested"/>
    <x v="1"/>
    <n v="1"/>
    <n v="12495"/>
    <n v="24.99"/>
    <n v="0"/>
    <n v="0"/>
    <n v="25"/>
    <n v="1.0000000000001563E-2"/>
    <n v="1"/>
    <n v="12495"/>
    <n v="15.145454545454545"/>
    <n v="0"/>
    <n v="0"/>
    <n v="625"/>
    <n v="0"/>
    <n v="0"/>
    <n v="6.024096385542169E-3"/>
    <n v="6811"/>
    <n v="0"/>
    <n v="0"/>
    <n v="0"/>
    <n v="0"/>
    <n v="6811"/>
    <n v="0.54509803921568623"/>
    <n v="0.45490196078431377"/>
    <n v="0.54509803921568623"/>
    <n v="0"/>
    <s v="No"/>
    <n v="0"/>
    <n v="0"/>
    <n v="0"/>
    <n v="0"/>
    <s v="Yes"/>
    <n v="0"/>
    <s v="Camp"/>
    <x v="0"/>
    <s v="Muslim"/>
    <n v="20.185092000000001"/>
    <n v="92.802295999999998"/>
    <s v="MMR012CMP116"/>
    <x v="0"/>
    <n v="223"/>
    <n v="1507"/>
    <n v="1730"/>
    <m/>
    <m/>
    <m/>
    <m/>
    <n v="2275"/>
    <n v="12341"/>
  </r>
  <r>
    <x v="2"/>
    <x v="4"/>
    <x v="4"/>
    <s v="OFDA"/>
    <x v="0"/>
    <x v="1"/>
    <x v="0"/>
    <x v="15"/>
    <n v="400"/>
    <n v="2698"/>
    <n v="6.7450000000000001"/>
    <d v="2022-06-01T00:00:00"/>
    <d v="2023-05-31T00:00:00"/>
    <m/>
    <n v="32"/>
    <n v="42"/>
    <m/>
    <m/>
    <m/>
    <m/>
    <n v="122"/>
    <n v="0.69"/>
    <n v="122"/>
    <m/>
    <m/>
    <m/>
    <m/>
    <m/>
    <n v="140"/>
    <n v="149"/>
    <n v="89"/>
    <n v="162"/>
    <m/>
    <m/>
    <m/>
    <n v="3"/>
    <n v="9"/>
    <m/>
    <m/>
    <x v="0"/>
    <m/>
    <n v="349"/>
    <n v="556"/>
    <n v="330"/>
    <n v="211"/>
    <m/>
    <m/>
    <m/>
    <m/>
    <m/>
    <m/>
    <m/>
    <m/>
    <m/>
    <m/>
    <m/>
    <m/>
    <m/>
    <m/>
    <m/>
    <m/>
    <m/>
    <m/>
    <s v="Tested"/>
    <s v="Tested"/>
    <x v="1"/>
    <n v="1"/>
    <n v="2698"/>
    <n v="5.3959999999999999"/>
    <n v="0"/>
    <n v="0"/>
    <n v="5"/>
    <n v="0"/>
    <n v="1"/>
    <n v="2698"/>
    <n v="19.271428571428572"/>
    <n v="0"/>
    <n v="0"/>
    <n v="135"/>
    <n v="0"/>
    <n v="0"/>
    <n v="6.0402684563758392E-2"/>
    <n v="1446"/>
    <n v="0"/>
    <n v="0"/>
    <n v="0"/>
    <n v="0"/>
    <n v="1446"/>
    <n v="0.53595255744996295"/>
    <n v="0.46404744255003705"/>
    <n v="0.53595255744996295"/>
    <n v="0"/>
    <s v="No"/>
    <n v="0"/>
    <n v="0"/>
    <n v="0"/>
    <n v="0"/>
    <n v="0"/>
    <n v="0"/>
    <s v="Camp"/>
    <x v="0"/>
    <s v="Muslim"/>
    <n v="20.207284999999999"/>
    <n v="92.788177000000005"/>
    <s v="MMR012CMP045"/>
    <x v="0"/>
    <n v="0"/>
    <n v="0"/>
    <n v="0"/>
    <m/>
    <m/>
    <m/>
    <m/>
    <n v="0"/>
    <n v="0"/>
  </r>
  <r>
    <x v="2"/>
    <x v="2"/>
    <x v="2"/>
    <s v="FCDO"/>
    <x v="0"/>
    <x v="1"/>
    <x v="0"/>
    <x v="16"/>
    <n v="2280"/>
    <n v="11564"/>
    <n v="5.0719298245614031"/>
    <d v="2022-04-01T00:00:00"/>
    <d v="2022-09-30T00:00:00"/>
    <n v="2187"/>
    <n v="181"/>
    <n v="193"/>
    <m/>
    <m/>
    <m/>
    <m/>
    <n v="5"/>
    <n v="0.8"/>
    <m/>
    <m/>
    <m/>
    <m/>
    <m/>
    <m/>
    <n v="486"/>
    <n v="520"/>
    <n v="159"/>
    <n v="262"/>
    <n v="1"/>
    <n v="0.97"/>
    <n v="0.87"/>
    <n v="4"/>
    <n v="51"/>
    <n v="57"/>
    <m/>
    <x v="0"/>
    <s v="WASH in School assessment was conducted during September 2022 in OXSI intervention areas."/>
    <m/>
    <n v="413"/>
    <n v="442"/>
    <n v="407"/>
    <n v="4570"/>
    <n v="2280"/>
    <n v="1"/>
    <n v="1"/>
    <n v="35"/>
    <s v="OXSI conducted WASH in School Assessment in September 2022."/>
    <n v="1"/>
    <n v="1"/>
    <n v="1"/>
    <n v="1"/>
    <m/>
    <n v="159"/>
    <m/>
    <m/>
    <m/>
    <m/>
    <m/>
    <m/>
    <s v="Tested"/>
    <s v="no test"/>
    <x v="1"/>
    <n v="1"/>
    <n v="11564"/>
    <n v="23.128"/>
    <n v="0"/>
    <n v="0"/>
    <n v="23"/>
    <n v="0"/>
    <n v="0.85186786579038398"/>
    <n v="9851"/>
    <n v="23.794238683127571"/>
    <n v="2850"/>
    <n v="0"/>
    <n v="578"/>
    <n v="58"/>
    <n v="0.14813213420961602"/>
    <n v="6.5384615384615388E-2"/>
    <n v="1262"/>
    <n v="0"/>
    <n v="11564"/>
    <n v="2280"/>
    <n v="11564"/>
    <n v="11564"/>
    <n v="1"/>
    <n v="0"/>
    <n v="0.10913178830854375"/>
    <n v="1"/>
    <s v="Yes"/>
    <n v="1"/>
    <n v="159"/>
    <n v="2850"/>
    <n v="0"/>
    <s v="Yes"/>
    <n v="0"/>
    <s v="Camp"/>
    <x v="0"/>
    <s v="Muslim"/>
    <n v="20.202525000000001"/>
    <n v="92.792479999999998"/>
    <s v="MMR012CMP045"/>
    <x v="0"/>
    <n v="114"/>
    <n v="1144"/>
    <n v="1258"/>
    <m/>
    <m/>
    <m/>
    <m/>
    <n v="2678"/>
    <n v="14788"/>
  </r>
  <r>
    <x v="2"/>
    <x v="4"/>
    <x v="4"/>
    <s v="BHA-USAID"/>
    <x v="0"/>
    <x v="0"/>
    <x v="0"/>
    <x v="17"/>
    <n v="811"/>
    <n v="2861"/>
    <n v="3.5277435265104811"/>
    <d v="2022-06-01T00:00:00"/>
    <d v="2023-05-31T00:00:00"/>
    <m/>
    <m/>
    <m/>
    <n v="8"/>
    <n v="8"/>
    <m/>
    <m/>
    <m/>
    <m/>
    <m/>
    <m/>
    <m/>
    <m/>
    <m/>
    <s v="Sin Tet Maw IDP has not fecal coliform testing, we distributed chlorination water monthly."/>
    <n v="355"/>
    <n v="363"/>
    <m/>
    <n v="166"/>
    <m/>
    <m/>
    <m/>
    <n v="1"/>
    <m/>
    <m/>
    <m/>
    <x v="0"/>
    <m/>
    <n v="449"/>
    <n v="555"/>
    <n v="79"/>
    <n v="101"/>
    <m/>
    <m/>
    <m/>
    <m/>
    <m/>
    <m/>
    <m/>
    <m/>
    <m/>
    <m/>
    <m/>
    <m/>
    <m/>
    <m/>
    <m/>
    <m/>
    <m/>
    <m/>
    <s v="no test"/>
    <s v="no test"/>
    <x v="0"/>
    <n v="0.69905627403005943"/>
    <n v="2000"/>
    <n v="4"/>
    <n v="0.30094372596994057"/>
    <n v="861"/>
    <n v="6"/>
    <n v="2"/>
    <n v="1"/>
    <n v="2861"/>
    <n v="8.0591549295774652"/>
    <n v="0"/>
    <n v="0"/>
    <n v="143"/>
    <n v="0"/>
    <n v="0"/>
    <n v="2.2038567493112948E-2"/>
    <n v="1184"/>
    <n v="0"/>
    <n v="0"/>
    <n v="0"/>
    <n v="0"/>
    <n v="1184"/>
    <n v="0.41384131422579518"/>
    <n v="0.58615868577420482"/>
    <n v="0.41384131422579518"/>
    <n v="0"/>
    <s v="No"/>
    <n v="0"/>
    <n v="0"/>
    <n v="0"/>
    <n v="0"/>
    <s v="Yes"/>
    <s v="DRC"/>
    <s v="Camp"/>
    <x v="0"/>
    <s v="Muslim"/>
    <n v="20.064226000000001"/>
    <n v="92.993758999999997"/>
    <s v="MMR012CMP019"/>
    <x v="0"/>
    <n v="159"/>
    <n v="361"/>
    <n v="520"/>
    <m/>
    <m/>
    <m/>
    <m/>
    <n v="682"/>
    <n v="2588"/>
  </r>
  <r>
    <x v="2"/>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0"/>
    <n v="1"/>
    <n v="0"/>
    <n v="0"/>
    <s v="No"/>
    <n v="0"/>
    <n v="0"/>
    <n v="200"/>
    <n v="50"/>
    <s v="Yes"/>
    <s v="RI"/>
    <s v="Camp"/>
    <x v="0"/>
    <s v="Muslim"/>
    <n v="20.037655000000001"/>
    <n v="93.370037999999994"/>
    <s v="MMR012CMP014"/>
    <x v="0"/>
    <n v="73"/>
    <n v="318"/>
    <n v="391"/>
    <m/>
    <m/>
    <m/>
    <m/>
    <n v="747"/>
    <n v="3495"/>
  </r>
  <r>
    <x v="2"/>
    <x v="1"/>
    <x v="1"/>
    <s v="FCDO"/>
    <x v="0"/>
    <x v="1"/>
    <x v="0"/>
    <x v="19"/>
    <n v="2038"/>
    <n v="12972"/>
    <n v="6.3650637880274781"/>
    <d v="2022-04-01T00:00:00"/>
    <d v="2022-09-30T00:00:00"/>
    <n v="1027"/>
    <n v="38"/>
    <n v="40"/>
    <m/>
    <m/>
    <m/>
    <m/>
    <n v="46"/>
    <n v="0.58689999999999998"/>
    <n v="88"/>
    <n v="0.23799999999999999"/>
    <m/>
    <m/>
    <m/>
    <m/>
    <n v="212"/>
    <n v="253"/>
    <n v="133"/>
    <n v="189"/>
    <n v="1"/>
    <n v="0.83"/>
    <n v="0.47"/>
    <m/>
    <n v="913"/>
    <m/>
    <m/>
    <x v="0"/>
    <s v="WASH in School assessment was conducted during September 2022 in OXSI intervention areas. "/>
    <n v="8"/>
    <n v="108"/>
    <n v="308"/>
    <n v="311"/>
    <n v="1126"/>
    <n v="3339"/>
    <n v="1"/>
    <n v="1"/>
    <n v="15"/>
    <s v="OXSI conducted WASH in School Assessment during September 2022. "/>
    <n v="1"/>
    <n v="1"/>
    <n v="1"/>
    <n v="0.9"/>
    <m/>
    <n v="133"/>
    <m/>
    <m/>
    <m/>
    <m/>
    <m/>
    <m/>
    <s v="Tested"/>
    <s v="Tested"/>
    <x v="1"/>
    <n v="0.73234659266111624"/>
    <n v="9500"/>
    <n v="19"/>
    <n v="0.26765340733888376"/>
    <n v="3472"/>
    <n v="26"/>
    <n v="7"/>
    <n v="0.39724020968239282"/>
    <n v="5153"/>
    <n v="61.188679245283019"/>
    <n v="0"/>
    <n v="0"/>
    <n v="649"/>
    <n v="396"/>
    <n v="0.60275979031760718"/>
    <n v="0.16205533596837945"/>
    <n v="735"/>
    <n v="0"/>
    <n v="7167.0618253189405"/>
    <n v="3339"/>
    <n v="7167.0618253189405"/>
    <n v="7167.0618253189405"/>
    <n v="0.55250245338567228"/>
    <n v="0.44749754661432772"/>
    <n v="5.6660499537465311E-2"/>
    <n v="0.55250245338567228"/>
    <s v="Yes"/>
    <n v="1"/>
    <n v="133"/>
    <n v="0"/>
    <n v="0"/>
    <s v="Yes"/>
    <n v="0"/>
    <s v="Camp"/>
    <x v="2"/>
    <s v="Muslim"/>
    <n v="20.1585"/>
    <n v="92.839416999999997"/>
    <s v="MMR012CMP046"/>
    <x v="0"/>
    <n v="365"/>
    <n v="800"/>
    <n v="1165"/>
    <m/>
    <m/>
    <m/>
    <m/>
    <n v="2062"/>
    <n v="12522"/>
  </r>
  <r>
    <x v="2"/>
    <x v="2"/>
    <x v="2"/>
    <s v="FCDO"/>
    <x v="0"/>
    <x v="1"/>
    <x v="0"/>
    <x v="20"/>
    <n v="1013"/>
    <n v="5950"/>
    <n v="5.8736426456071076"/>
    <d v="2022-04-01T00:00:00"/>
    <d v="2022-09-30T00:00:00"/>
    <n v="742"/>
    <n v="63"/>
    <n v="69"/>
    <m/>
    <m/>
    <m/>
    <m/>
    <n v="83"/>
    <n v="0.54200000000000004"/>
    <n v="155"/>
    <n v="0.2"/>
    <m/>
    <m/>
    <m/>
    <m/>
    <n v="251"/>
    <n v="317"/>
    <n v="130"/>
    <n v="180"/>
    <n v="1"/>
    <n v="0.59"/>
    <n v="0.66"/>
    <m/>
    <n v="38"/>
    <n v="7"/>
    <m/>
    <x v="0"/>
    <s v="WASH in School assessment was conducted during September 2022 in OXSI intervention areas."/>
    <n v="157"/>
    <n v="472"/>
    <n v="784"/>
    <n v="829"/>
    <n v="1013"/>
    <n v="2623"/>
    <n v="0.6"/>
    <n v="1"/>
    <n v="0"/>
    <s v="OXSI conducted WASH in School Assessment in September 2022."/>
    <n v="0.62"/>
    <n v="0.83"/>
    <n v="0.96"/>
    <n v="0.8"/>
    <m/>
    <n v="130"/>
    <m/>
    <m/>
    <m/>
    <m/>
    <m/>
    <m/>
    <s v="Tested"/>
    <s v="Tested"/>
    <x v="1"/>
    <n v="1"/>
    <n v="5950"/>
    <n v="11.9"/>
    <n v="0"/>
    <n v="0"/>
    <n v="12"/>
    <n v="9.9999999999999645E-2"/>
    <n v="0.85008403361344542"/>
    <n v="5058"/>
    <n v="23.705179282868524"/>
    <n v="350"/>
    <n v="0"/>
    <n v="298"/>
    <n v="0"/>
    <n v="0.14991596638655458"/>
    <n v="0.20820189274447951"/>
    <n v="2242"/>
    <n v="0"/>
    <n v="5950"/>
    <n v="2623"/>
    <n v="5950"/>
    <n v="5950"/>
    <n v="1"/>
    <n v="0"/>
    <n v="0.37680672268907561"/>
    <n v="1"/>
    <s v="Yes"/>
    <n v="0.96"/>
    <n v="130"/>
    <n v="350"/>
    <n v="0"/>
    <s v="Yes"/>
    <n v="0"/>
    <s v="Camp"/>
    <x v="0"/>
    <s v="Muslim"/>
    <n v="20.179939999999998"/>
    <n v="92.831879000000001"/>
    <s v="MMR012CMP048"/>
    <x v="0"/>
    <n v="250"/>
    <n v="699"/>
    <n v="949"/>
    <m/>
    <m/>
    <m/>
    <m/>
    <n v="1019"/>
    <n v="6906"/>
  </r>
  <r>
    <x v="3"/>
    <x v="0"/>
    <x v="0"/>
    <s v="ECHO, OFDA, CDC "/>
    <x v="0"/>
    <x v="0"/>
    <x v="0"/>
    <x v="0"/>
    <n v="1112"/>
    <n v="5133"/>
    <n v="4.6160071942446042"/>
    <s v="01 April 2022_x000a_4 August 2022_x000a_15 March 2022_x000a_3 October 2022"/>
    <s v="31 March 2023_x000a_30 June 2023_x000a_28 February 2023_x000a_2 October 2023"/>
    <n v="0"/>
    <m/>
    <m/>
    <n v="14"/>
    <n v="14"/>
    <m/>
    <n v="5133"/>
    <m/>
    <m/>
    <n v="5"/>
    <n v="0.4"/>
    <n v="0"/>
    <m/>
    <m/>
    <m/>
    <n v="183"/>
    <n v="198"/>
    <n v="55"/>
    <n v="183"/>
    <n v="0.98"/>
    <n v="1"/>
    <m/>
    <n v="27"/>
    <n v="76"/>
    <m/>
    <m/>
    <x v="0"/>
    <s v="The percentage results are from the KAP survey conducted in Oct 2022"/>
    <n v="997"/>
    <n v="1200"/>
    <n v="938"/>
    <n v="860"/>
    <m/>
    <m/>
    <n v="0.56000000000000005"/>
    <n v="0.81"/>
    <m/>
    <s v="The percentage results are from the KAP survey conducted in Oct 2022_x000a_SI faced lack of TA to access to the camps and to deliver materials as well starting from 22nd of  October to December. It resulted that the hygiene kits could not provide to the beneficiaries in Pauktaw to be benefitted. (For V45 and V46)"/>
    <n v="0.9"/>
    <n v="0.96"/>
    <n v="0.99"/>
    <n v="0.95"/>
    <m/>
    <n v="76"/>
    <m/>
    <m/>
    <m/>
    <m/>
    <m/>
    <m/>
    <s v="no test"/>
    <s v="Tested"/>
    <x v="1"/>
    <n v="1"/>
    <n v="5133"/>
    <n v="10.266"/>
    <n v="0"/>
    <n v="0"/>
    <n v="10"/>
    <n v="0"/>
    <n v="0.83304110656536134"/>
    <n v="4276"/>
    <n v="28.049180327868854"/>
    <n v="0"/>
    <n v="0"/>
    <n v="257"/>
    <n v="59"/>
    <n v="0.16695889343463866"/>
    <n v="7.575757575757576E-2"/>
    <n v="3995"/>
    <n v="0"/>
    <n v="0"/>
    <n v="0"/>
    <n v="0"/>
    <n v="3995"/>
    <n v="0.77829729203195008"/>
    <n v="0.22170270796804992"/>
    <n v="0.77829729203195008"/>
    <n v="0"/>
    <s v="Yes"/>
    <n v="0.99"/>
    <n v="76"/>
    <n v="0"/>
    <n v="0"/>
    <s v="Yes"/>
    <s v="LWF"/>
    <s v="Camp"/>
    <x v="0"/>
    <s v="Muslim"/>
    <n v="20.108101999999999"/>
    <n v="92.985095000000001"/>
    <s v="MMR012CMP016"/>
    <x v="0"/>
    <m/>
    <m/>
    <n v="0"/>
    <m/>
    <m/>
    <m/>
    <m/>
    <n v="1115"/>
    <n v="5197"/>
  </r>
  <r>
    <x v="3"/>
    <x v="1"/>
    <x v="1"/>
    <s v="FCDO/UNOPS"/>
    <x v="0"/>
    <x v="1"/>
    <x v="0"/>
    <x v="1"/>
    <n v="380"/>
    <n v="2489"/>
    <n v="6.55"/>
    <d v="2022-10-01T00:00:00"/>
    <d v="2023-03-31T00:00:00"/>
    <n v="628"/>
    <n v="23"/>
    <n v="23"/>
    <m/>
    <m/>
    <m/>
    <m/>
    <n v="21"/>
    <n v="0.76"/>
    <n v="81"/>
    <n v="0.38"/>
    <n v="380"/>
    <m/>
    <m/>
    <m/>
    <n v="112"/>
    <n v="120"/>
    <n v="23"/>
    <n v="82"/>
    <n v="1"/>
    <n v="0.64"/>
    <n v="0.91"/>
    <m/>
    <n v="220"/>
    <m/>
    <m/>
    <x v="0"/>
    <s v="The result of percentage indicators are from the Satisfaction Suvey conducted on July 2022. The next survey will be on Feb 2023 and WASH in School assessment is on-going process and the result will be reported in next quarter. "/>
    <n v="1"/>
    <n v="193"/>
    <n v="301"/>
    <n v="260"/>
    <n v="379"/>
    <n v="640"/>
    <n v="1"/>
    <n v="1"/>
    <m/>
    <s v="The result of percentage indicators are from the Satisfaction Suvey conducted in July 2022. The next survey will be in Feb 2023 and WASH in School assessment is on-going process and the result will be reported in next quarter. "/>
    <n v="1"/>
    <n v="1"/>
    <n v="0.9"/>
    <n v="0.88"/>
    <m/>
    <n v="23"/>
    <m/>
    <n v="10"/>
    <m/>
    <m/>
    <m/>
    <m/>
    <s v="Tested"/>
    <s v="Tested"/>
    <x v="1"/>
    <n v="1"/>
    <n v="2489"/>
    <n v="4.9779999999999998"/>
    <n v="0"/>
    <n v="0"/>
    <n v="5"/>
    <n v="2.2000000000000242E-2"/>
    <n v="0.98834873443149862"/>
    <n v="2460"/>
    <n v="22.223214285714285"/>
    <n v="0"/>
    <n v="0"/>
    <n v="124"/>
    <n v="4"/>
    <n v="1.1651265568501379E-2"/>
    <n v="6.6666666666666666E-2"/>
    <n v="755"/>
    <n v="0"/>
    <n v="2482.4499999999998"/>
    <n v="640"/>
    <n v="2482.4499999999998"/>
    <n v="2482.4499999999998"/>
    <n v="0.99736842105263146"/>
    <n v="2.6315789473685403E-3"/>
    <n v="0.30333467255926072"/>
    <n v="0.99736842105263157"/>
    <s v="Yes"/>
    <n v="0.9"/>
    <n v="33"/>
    <n v="0"/>
    <n v="0"/>
    <s v="Yes"/>
    <n v="0"/>
    <s v="Camp"/>
    <x v="0"/>
    <s v="Muslim"/>
    <n v="20.128488999999998"/>
    <n v="92.875814000000005"/>
    <s v="MMR012CMP039"/>
    <x v="0"/>
    <m/>
    <m/>
    <n v="0"/>
    <m/>
    <m/>
    <m/>
    <m/>
    <n v="380"/>
    <n v="2435"/>
  </r>
  <r>
    <x v="3"/>
    <x v="1"/>
    <x v="1"/>
    <s v="FCDO/UNOPS"/>
    <x v="0"/>
    <x v="1"/>
    <x v="0"/>
    <x v="2"/>
    <n v="1012"/>
    <n v="5101"/>
    <n v="5.0405138339920947"/>
    <d v="2022-10-01T00:00:00"/>
    <d v="2023-03-31T00:00:00"/>
    <n v="456"/>
    <n v="48"/>
    <n v="51"/>
    <m/>
    <m/>
    <m/>
    <m/>
    <n v="65"/>
    <n v="0.74"/>
    <n v="72"/>
    <n v="0.19"/>
    <n v="1012"/>
    <m/>
    <m/>
    <m/>
    <n v="235"/>
    <n v="254"/>
    <n v="171"/>
    <n v="459"/>
    <n v="0.97"/>
    <n v="0.87"/>
    <n v="0.42"/>
    <m/>
    <n v="106"/>
    <m/>
    <m/>
    <x v="0"/>
    <s v="The result of percentage indicators are from the Satisfaction Suvey conducted on July 2022. The next survey will be on Feb 2023 and WASH in School assessment is on-going process and the result will be reported in next quarter. "/>
    <n v="51"/>
    <n v="240"/>
    <n v="725.5"/>
    <n v="750"/>
    <n v="495"/>
    <n v="1342"/>
    <n v="0.94"/>
    <m/>
    <m/>
    <s v="The result of percentage indicators are from the Satisfaction Suvey conducted in July 2022. The next survey will be in Feb 2023 and WASH in School assessment is on-going process and the result will be reported in next quarter. "/>
    <n v="1"/>
    <n v="1"/>
    <n v="0.97"/>
    <n v="0.9"/>
    <m/>
    <n v="85.5"/>
    <m/>
    <n v="34"/>
    <m/>
    <m/>
    <m/>
    <m/>
    <s v="Tested"/>
    <s v="Tested"/>
    <x v="1"/>
    <n v="1"/>
    <n v="5101"/>
    <n v="10.202"/>
    <n v="0"/>
    <n v="0"/>
    <n v="10"/>
    <n v="0"/>
    <n v="0.94216820231327192"/>
    <n v="4806"/>
    <n v="21.706382978723404"/>
    <n v="0"/>
    <n v="0"/>
    <n v="255"/>
    <n v="1"/>
    <n v="5.7831797686728081E-2"/>
    <n v="7.4803149606299218E-2"/>
    <n v="1766.5"/>
    <n v="0"/>
    <n v="2495.054347826087"/>
    <n v="1342"/>
    <n v="2495.054347826087"/>
    <n v="2495.054347826087"/>
    <n v="0.4891304347826087"/>
    <n v="0.51086956521739135"/>
    <n v="0.34630464614781414"/>
    <n v="0.4891304347826087"/>
    <s v="Yes"/>
    <n v="0.97"/>
    <n v="119.5"/>
    <n v="0"/>
    <n v="0"/>
    <s v="Yes"/>
    <n v="0"/>
    <s v="Camp"/>
    <x v="0"/>
    <s v="Muslim"/>
    <n v="20.179417000000001"/>
    <n v="92.813028000000003"/>
    <s v="MMR012CMP113"/>
    <x v="0"/>
    <m/>
    <m/>
    <n v="0"/>
    <m/>
    <m/>
    <m/>
    <m/>
    <n v="1012"/>
    <n v="5066"/>
  </r>
  <r>
    <x v="3"/>
    <x v="1"/>
    <x v="1"/>
    <s v="FCDO/UNOPS"/>
    <x v="0"/>
    <x v="1"/>
    <x v="0"/>
    <x v="3"/>
    <n v="1346"/>
    <n v="8728"/>
    <n v="6.4843982169390788"/>
    <d v="2022-10-01T00:00:00"/>
    <d v="2023-03-31T00:00:00"/>
    <n v="501"/>
    <n v="76"/>
    <n v="80"/>
    <m/>
    <m/>
    <m/>
    <m/>
    <n v="75"/>
    <n v="0.8"/>
    <n v="46"/>
    <n v="0.26"/>
    <n v="1353"/>
    <m/>
    <m/>
    <m/>
    <n v="219"/>
    <n v="328"/>
    <m/>
    <m/>
    <m/>
    <m/>
    <m/>
    <m/>
    <n v="173"/>
    <m/>
    <m/>
    <x v="0"/>
    <s v="The result of percentage indicators are from the Satisfaction Suvey conducted on July 2022. The next survey will be on Feb 2023 and WASH in School assessment is on-going process and the result will be reported in next quarter. "/>
    <n v="51"/>
    <n v="240"/>
    <n v="725.5"/>
    <n v="750"/>
    <n v="495"/>
    <n v="1797"/>
    <n v="0.94"/>
    <m/>
    <m/>
    <s v="The result of percentage indicators are from the Satisfaction Suvey conducted in July 2022. The next survey will be in Feb 2023 and WASH in School assessment is on-going process and the result will be reported in next quarter. "/>
    <n v="1"/>
    <n v="1"/>
    <n v="0.97"/>
    <n v="0.9"/>
    <m/>
    <n v="85.5"/>
    <m/>
    <n v="18"/>
    <m/>
    <m/>
    <m/>
    <m/>
    <s v="Tested"/>
    <s v="Tested"/>
    <x v="1"/>
    <n v="1"/>
    <n v="8728"/>
    <n v="17.456"/>
    <n v="0"/>
    <n v="0"/>
    <n v="17"/>
    <n v="0"/>
    <n v="0.52165444546287809"/>
    <n v="4553"/>
    <n v="39.853881278538815"/>
    <n v="0"/>
    <n v="0"/>
    <n v="436"/>
    <n v="108"/>
    <n v="0.47834555453712191"/>
    <n v="0.33231707317073172"/>
    <n v="1766.5"/>
    <n v="0"/>
    <n v="3209.7771173848441"/>
    <n v="1797"/>
    <n v="3209.7771173848441"/>
    <n v="3209.7771173848441"/>
    <n v="0.36775631500742945"/>
    <n v="0.63224368499257055"/>
    <n v="0.20239459211732355"/>
    <n v="0.36775631500742945"/>
    <s v="Yes"/>
    <n v="0.97"/>
    <n v="103.5"/>
    <n v="0"/>
    <n v="0"/>
    <s v="Yes"/>
    <n v="0"/>
    <s v="Camp"/>
    <x v="0"/>
    <s v="Muslim"/>
    <n v="20.181405999999999"/>
    <n v="92.807552000000001"/>
    <s v="MMR012CMP114"/>
    <x v="0"/>
    <m/>
    <m/>
    <n v="0"/>
    <m/>
    <m/>
    <m/>
    <m/>
    <n v="1346"/>
    <n v="8414"/>
  </r>
  <r>
    <x v="3"/>
    <x v="1"/>
    <x v="1"/>
    <s v="FCDO/UNOPS"/>
    <x v="0"/>
    <x v="1"/>
    <x v="0"/>
    <x v="4"/>
    <n v="1753"/>
    <n v="11715"/>
    <n v="6.6828294352538506"/>
    <d v="2022-10-01T00:00:00"/>
    <d v="2023-03-31T00:00:00"/>
    <n v="896"/>
    <n v="82"/>
    <n v="85"/>
    <m/>
    <m/>
    <m/>
    <m/>
    <n v="74"/>
    <n v="0.63"/>
    <n v="97"/>
    <n v="0.27"/>
    <n v="1850"/>
    <m/>
    <m/>
    <m/>
    <n v="513"/>
    <n v="554"/>
    <n v="139"/>
    <n v="427"/>
    <n v="1"/>
    <n v="0.92"/>
    <n v="0.45"/>
    <m/>
    <n v="165"/>
    <m/>
    <m/>
    <x v="0"/>
    <s v="The result of percentage indicators are from the Satisfaction Suvey conducted in July 2022. The next survey will be in Feb 2023 and WASH in School assessment is on-going process and the result will be reported in next quarter. "/>
    <n v="13"/>
    <n v="219"/>
    <n v="583"/>
    <n v="455"/>
    <n v="1850"/>
    <n v="2822"/>
    <n v="0.96"/>
    <n v="1"/>
    <m/>
    <s v="The result of percentage indicators are from the Satisfaction Suvey conducted in July 2022. The next survey will be in Feb 2023 and WASH in School assessment is on-going process and the result will be reported in next quarter. "/>
    <n v="1"/>
    <n v="1"/>
    <n v="1"/>
    <n v="1"/>
    <m/>
    <n v="139"/>
    <m/>
    <n v="14"/>
    <m/>
    <m/>
    <m/>
    <m/>
    <s v="Tested"/>
    <s v="Tested"/>
    <x v="1"/>
    <n v="1"/>
    <n v="11715"/>
    <n v="23.43"/>
    <n v="0"/>
    <n v="0"/>
    <n v="23"/>
    <n v="0"/>
    <n v="0.88988476312419973"/>
    <n v="10425"/>
    <n v="22.836257309941519"/>
    <n v="0"/>
    <n v="0"/>
    <n v="586"/>
    <n v="32"/>
    <n v="0.11011523687580027"/>
    <n v="7.4007220216606495E-2"/>
    <n v="1270"/>
    <n v="0"/>
    <n v="11715"/>
    <n v="2822"/>
    <n v="11715"/>
    <n v="11715"/>
    <n v="1"/>
    <n v="0"/>
    <n v="0.10840802390098164"/>
    <n v="1"/>
    <s v="Yes"/>
    <n v="1"/>
    <n v="153"/>
    <n v="0"/>
    <n v="0"/>
    <s v="Yes"/>
    <n v="0"/>
    <s v="Camp"/>
    <x v="0"/>
    <s v="Muslim"/>
    <n v="20.16846"/>
    <n v="92.827427"/>
    <s v="MMR012CMP041"/>
    <x v="0"/>
    <m/>
    <m/>
    <n v="0"/>
    <m/>
    <m/>
    <m/>
    <m/>
    <n v="1713"/>
    <n v="11460"/>
  </r>
  <r>
    <x v="3"/>
    <x v="2"/>
    <x v="2"/>
    <s v="FCDO"/>
    <x v="0"/>
    <x v="1"/>
    <x v="0"/>
    <x v="5"/>
    <n v="400"/>
    <n v="2248"/>
    <n v="5.62"/>
    <d v="2022-04-01T00:00:00"/>
    <d v="2022-09-30T00:00:00"/>
    <n v="550"/>
    <n v="47"/>
    <n v="53"/>
    <m/>
    <m/>
    <m/>
    <m/>
    <n v="12"/>
    <n v="0.25"/>
    <n v="4"/>
    <n v="0"/>
    <m/>
    <m/>
    <m/>
    <m/>
    <n v="95"/>
    <n v="116"/>
    <m/>
    <m/>
    <n v="0.82"/>
    <n v="0.73"/>
    <n v="0.64"/>
    <n v="10"/>
    <n v="29"/>
    <n v="4"/>
    <m/>
    <x v="0"/>
    <m/>
    <n v="397"/>
    <n v="952"/>
    <n v="2397"/>
    <n v="2365"/>
    <n v="392"/>
    <n v="1176"/>
    <n v="0.56999999999999995"/>
    <m/>
    <n v="5"/>
    <m/>
    <n v="1"/>
    <n v="1"/>
    <n v="1"/>
    <n v="1"/>
    <m/>
    <n v="41"/>
    <m/>
    <m/>
    <m/>
    <m/>
    <m/>
    <m/>
    <s v="Tested"/>
    <s v="Tested"/>
    <x v="1"/>
    <n v="1"/>
    <n v="2248"/>
    <n v="4.4960000000000004"/>
    <n v="0"/>
    <n v="0"/>
    <n v="4"/>
    <n v="0"/>
    <n v="0.9470640569395018"/>
    <n v="2129"/>
    <n v="23.663157894736841"/>
    <n v="200"/>
    <n v="0"/>
    <n v="112"/>
    <n v="0"/>
    <n v="5.2935943060498203E-2"/>
    <n v="0.18103448275862069"/>
    <n v="2248"/>
    <n v="3863"/>
    <n v="2203.04"/>
    <n v="1176"/>
    <n v="2203.04"/>
    <n v="2248"/>
    <n v="1"/>
    <n v="0"/>
    <n v="1"/>
    <n v="0.98"/>
    <s v="Yes"/>
    <n v="1"/>
    <n v="41"/>
    <n v="200"/>
    <n v="0"/>
    <s v="Yes"/>
    <n v="0"/>
    <s v="Camp"/>
    <x v="0"/>
    <s v="Muslim"/>
    <n v="20.181778000000001"/>
    <n v="92.823166999999998"/>
    <s v="MMR012CMP042"/>
    <x v="0"/>
    <m/>
    <m/>
    <n v="0"/>
    <m/>
    <m/>
    <m/>
    <m/>
    <n v="392"/>
    <n v="2455"/>
  </r>
  <r>
    <x v="3"/>
    <x v="1"/>
    <x v="1"/>
    <s v="FCDO/UNOPS"/>
    <x v="0"/>
    <x v="1"/>
    <x v="0"/>
    <x v="6"/>
    <n v="400"/>
    <n v="2262"/>
    <n v="5.6550000000000002"/>
    <d v="2022-10-01T00:00:00"/>
    <d v="2023-03-31T00:00:00"/>
    <n v="364"/>
    <n v="25"/>
    <n v="25"/>
    <m/>
    <m/>
    <m/>
    <m/>
    <n v="1"/>
    <n v="0"/>
    <n v="2"/>
    <n v="0.5"/>
    <n v="400"/>
    <m/>
    <m/>
    <m/>
    <n v="79"/>
    <n v="104"/>
    <n v="53"/>
    <n v="57"/>
    <n v="1"/>
    <n v="1"/>
    <n v="0.45"/>
    <m/>
    <n v="198"/>
    <m/>
    <m/>
    <x v="0"/>
    <s v="The result of percentage indicators are from the Satisfaction Suvey conducted in July 2022. The next survey will be in Feb 2023 and WASH in School assessment is on-going process and the result will be reported in next quarter. "/>
    <n v="9"/>
    <n v="170"/>
    <n v="204"/>
    <n v="209"/>
    <n v="400"/>
    <n v="568"/>
    <n v="0.88"/>
    <n v="1"/>
    <m/>
    <s v="The result of percentage indicators are from the Satisfaction Suvey conducted in July 2022. The next survey will be in Feb 2023 and WASH in School assessment is on-going process and the result will be reported in next quarter. "/>
    <n v="1"/>
    <n v="1"/>
    <n v="1"/>
    <n v="1"/>
    <m/>
    <n v="53"/>
    <m/>
    <n v="3"/>
    <m/>
    <m/>
    <m/>
    <m/>
    <s v="Tested"/>
    <s v="Tested"/>
    <x v="1"/>
    <n v="1"/>
    <n v="2262"/>
    <n v="4.524"/>
    <n v="0"/>
    <n v="0"/>
    <n v="5"/>
    <n v="0.47599999999999998"/>
    <n v="0.78603006189213087"/>
    <n v="1778"/>
    <n v="28.632911392405063"/>
    <n v="0"/>
    <n v="0"/>
    <n v="113"/>
    <n v="9"/>
    <n v="0.21396993810786913"/>
    <n v="0.24038461538461539"/>
    <n v="592"/>
    <n v="0"/>
    <n v="2262"/>
    <n v="568"/>
    <n v="2262"/>
    <n v="2262"/>
    <n v="1"/>
    <n v="0"/>
    <n v="0.26171529619805484"/>
    <n v="1"/>
    <s v="Yes"/>
    <n v="1"/>
    <n v="56"/>
    <n v="0"/>
    <n v="0"/>
    <n v="0"/>
    <n v="0"/>
    <s v="Camp"/>
    <x v="0"/>
    <s v="Muslim"/>
    <n v="20.180194"/>
    <n v="92.816638999999995"/>
    <s v="MMR012CMP042"/>
    <x v="0"/>
    <m/>
    <m/>
    <n v="0"/>
    <m/>
    <m/>
    <m/>
    <m/>
    <n v="400"/>
    <n v="2228"/>
  </r>
  <r>
    <x v="3"/>
    <x v="3"/>
    <x v="3"/>
    <s v="UNICEF"/>
    <x v="0"/>
    <x v="2"/>
    <x v="0"/>
    <x v="7"/>
    <n v="386"/>
    <n v="1086"/>
    <n v="2.8134715025906734"/>
    <d v="2022-08-18T00:00:00"/>
    <d v="2023-06-17T00:00:00"/>
    <n v="187"/>
    <m/>
    <m/>
    <n v="14"/>
    <n v="19"/>
    <m/>
    <m/>
    <n v="48"/>
    <n v="0.75"/>
    <n v="112"/>
    <n v="0.94"/>
    <m/>
    <n v="210"/>
    <m/>
    <m/>
    <n v="93"/>
    <n v="94"/>
    <n v="32"/>
    <n v="94"/>
    <n v="1"/>
    <n v="1"/>
    <n v="1"/>
    <m/>
    <n v="22"/>
    <n v="8"/>
    <m/>
    <x v="0"/>
    <m/>
    <n v="83"/>
    <n v="365"/>
    <n v="83"/>
    <n v="118"/>
    <n v="386"/>
    <m/>
    <n v="0"/>
    <n v="0.98"/>
    <n v="8"/>
    <m/>
    <n v="0.95"/>
    <n v="0.95"/>
    <m/>
    <n v="0"/>
    <m/>
    <m/>
    <m/>
    <m/>
    <m/>
    <m/>
    <m/>
    <m/>
    <s v="Tested"/>
    <s v="Tested"/>
    <x v="1"/>
    <n v="1"/>
    <n v="1086"/>
    <n v="2.1720000000000002"/>
    <n v="0"/>
    <n v="0"/>
    <n v="2"/>
    <n v="0"/>
    <n v="1"/>
    <n v="1086"/>
    <n v="11.67741935483871"/>
    <n v="400"/>
    <n v="0"/>
    <n v="54"/>
    <n v="0"/>
    <n v="0"/>
    <n v="1.0638297872340425E-2"/>
    <n v="649"/>
    <n v="0"/>
    <n v="1086"/>
    <n v="0"/>
    <n v="1086"/>
    <n v="1086"/>
    <n v="1"/>
    <n v="0"/>
    <n v="0.59760589318600366"/>
    <n v="1"/>
    <s v="Yes"/>
    <n v="0"/>
    <n v="0"/>
    <n v="400"/>
    <n v="0"/>
    <s v="Yes"/>
    <s v="UNHCR"/>
    <s v="Camp"/>
    <x v="0"/>
    <s v="Muslim"/>
    <n v="19.424576999999999"/>
    <n v="93.512326000000002"/>
    <s v="MMR012CMP035"/>
    <x v="0"/>
    <m/>
    <m/>
    <n v="0"/>
    <m/>
    <m/>
    <m/>
    <m/>
    <n v="334"/>
    <n v="1001"/>
  </r>
  <r>
    <x v="3"/>
    <x v="0"/>
    <x v="0"/>
    <s v="UNICEF, OFDA"/>
    <x v="0"/>
    <x v="0"/>
    <x v="0"/>
    <x v="8"/>
    <n v="1389"/>
    <n v="6680"/>
    <n v="4.8092152627789773"/>
    <s v="01 April 2022_x000a_4 August 2022_x000a_15 March 2022_x000a_3 October 2022"/>
    <s v="31 March 2023_x000a_30 June 2023_x000a_28 February 2023_x000a_2 October 2023"/>
    <n v="0"/>
    <m/>
    <m/>
    <n v="36"/>
    <n v="36"/>
    <m/>
    <n v="6680"/>
    <m/>
    <m/>
    <n v="18"/>
    <n v="0.89"/>
    <n v="0"/>
    <m/>
    <m/>
    <m/>
    <n v="230"/>
    <n v="238"/>
    <n v="116"/>
    <n v="174"/>
    <n v="1"/>
    <n v="1"/>
    <m/>
    <n v="18"/>
    <n v="114"/>
    <m/>
    <m/>
    <x v="0"/>
    <s v="The percentage results are from the KAP survey conducted in Oct 2022"/>
    <n v="1376"/>
    <n v="1499"/>
    <n v="1070"/>
    <n v="1009"/>
    <m/>
    <m/>
    <n v="0.7"/>
    <n v="0.52"/>
    <m/>
    <s v="The percentage results are from the KAP survey conducted in Oct 2022._x000a_SI faced lack of TA to access to the camps and to deliver materials as well starting from 22nd of October to December. It resulted that the hygiene kits could not provide to the beneficiaries in Pauktaw to be benefitted. (For V45 and V46)"/>
    <n v="0.96"/>
    <n v="0.93"/>
    <n v="1"/>
    <n v="1"/>
    <m/>
    <n v="176"/>
    <m/>
    <m/>
    <m/>
    <m/>
    <m/>
    <m/>
    <s v="no test"/>
    <s v="Tested"/>
    <x v="1"/>
    <n v="1"/>
    <n v="6680"/>
    <n v="13.36"/>
    <n v="0"/>
    <n v="0"/>
    <n v="13"/>
    <n v="0"/>
    <n v="0.75958083832335332"/>
    <n v="5074"/>
    <n v="29.043478260869566"/>
    <n v="0"/>
    <n v="0"/>
    <n v="334"/>
    <n v="96"/>
    <n v="0.24041916167664668"/>
    <n v="3.3613445378151259E-2"/>
    <n v="4954"/>
    <n v="0"/>
    <n v="0"/>
    <n v="0"/>
    <n v="0"/>
    <n v="4954"/>
    <n v="0.74161676646706587"/>
    <n v="0.25838323353293413"/>
    <n v="0.74161676646706587"/>
    <n v="0"/>
    <s v="Yes"/>
    <n v="1"/>
    <n v="176"/>
    <n v="0"/>
    <n v="0"/>
    <s v="Yes"/>
    <s v="DRC"/>
    <s v="Camp"/>
    <x v="0"/>
    <s v="Muslim"/>
    <n v="20.090183"/>
    <n v="93.010368999999997"/>
    <s v="MMR012CMP018"/>
    <x v="0"/>
    <m/>
    <m/>
    <n v="0"/>
    <m/>
    <m/>
    <m/>
    <m/>
    <n v="1387"/>
    <n v="6674"/>
  </r>
  <r>
    <x v="3"/>
    <x v="2"/>
    <x v="2"/>
    <s v="FCDO"/>
    <x v="0"/>
    <x v="1"/>
    <x v="0"/>
    <x v="9"/>
    <n v="656"/>
    <n v="3486"/>
    <n v="5.3140243902439028"/>
    <d v="2022-04-01T00:00:00"/>
    <d v="2022-09-30T00:00:00"/>
    <n v="537"/>
    <n v="34"/>
    <n v="36"/>
    <m/>
    <m/>
    <m/>
    <m/>
    <n v="2"/>
    <n v="0.5"/>
    <m/>
    <m/>
    <m/>
    <m/>
    <m/>
    <m/>
    <n v="162"/>
    <n v="205"/>
    <m/>
    <m/>
    <n v="1"/>
    <n v="0.94"/>
    <n v="0.18"/>
    <n v="4"/>
    <n v="42"/>
    <n v="3"/>
    <m/>
    <x v="0"/>
    <m/>
    <n v="564"/>
    <n v="1107"/>
    <n v="629"/>
    <n v="665"/>
    <n v="656"/>
    <n v="1648"/>
    <n v="1"/>
    <n v="1"/>
    <m/>
    <m/>
    <n v="0.94"/>
    <n v="1"/>
    <n v="1"/>
    <n v="1"/>
    <m/>
    <n v="174"/>
    <m/>
    <m/>
    <m/>
    <m/>
    <m/>
    <m/>
    <s v="Tested"/>
    <s v="no test"/>
    <x v="1"/>
    <n v="1"/>
    <n v="3486"/>
    <n v="6.9720000000000004"/>
    <n v="0"/>
    <n v="0"/>
    <n v="7"/>
    <n v="2.7999999999999581E-2"/>
    <n v="0.9644291451520367"/>
    <n v="3362"/>
    <n v="21.518518518518519"/>
    <n v="150"/>
    <n v="0"/>
    <n v="174"/>
    <n v="0"/>
    <n v="3.5570854847963296E-2"/>
    <n v="0.2097560975609756"/>
    <n v="2965"/>
    <n v="0"/>
    <n v="3486"/>
    <n v="1648"/>
    <n v="3486"/>
    <n v="3486"/>
    <n v="1"/>
    <n v="0"/>
    <n v="0.85054503729202524"/>
    <n v="1"/>
    <s v="Yes"/>
    <n v="1"/>
    <n v="174"/>
    <n v="150"/>
    <n v="0"/>
    <s v="Yes"/>
    <n v="0"/>
    <s v="Camp"/>
    <x v="0"/>
    <s v="Muslim"/>
    <n v="20.185917"/>
    <n v="92.831000000000003"/>
    <s v="MMR012CMP092"/>
    <x v="0"/>
    <m/>
    <m/>
    <n v="0"/>
    <m/>
    <m/>
    <m/>
    <m/>
    <n v="657"/>
    <n v="3906"/>
  </r>
  <r>
    <x v="3"/>
    <x v="0"/>
    <x v="0"/>
    <s v="ECHO, OFDA, CDC "/>
    <x v="0"/>
    <x v="0"/>
    <x v="0"/>
    <x v="10"/>
    <n v="1076"/>
    <n v="5024"/>
    <n v="4.6691449814126393"/>
    <s v="01 April 2022_x000a_4 August 2022_x000a_15 March 2022_x000a_3 October 2022"/>
    <s v="31 March 2023_x000a_30 June 2023_x000a_28 February 2023_x000a_2 October 2023"/>
    <n v="0"/>
    <m/>
    <m/>
    <n v="3"/>
    <n v="3"/>
    <m/>
    <n v="5024"/>
    <n v="0"/>
    <n v="0"/>
    <n v="3"/>
    <n v="0.67"/>
    <n v="0"/>
    <m/>
    <m/>
    <m/>
    <n v="154"/>
    <n v="158"/>
    <n v="20"/>
    <n v="154"/>
    <n v="1"/>
    <n v="1"/>
    <m/>
    <n v="26"/>
    <n v="127"/>
    <m/>
    <m/>
    <x v="0"/>
    <s v="The percentage results are from the KAP survey conducted in Oct 2022"/>
    <n v="974"/>
    <n v="1090"/>
    <n v="901"/>
    <n v="792"/>
    <m/>
    <m/>
    <n v="0.36"/>
    <m/>
    <m/>
    <s v="The percentage results are from the KAP survey conducted in Oct 2022. _x000a_The data under V47 is under review and it will be reported at the next quarter.SI faced lack of TA to access to the camps and to deliver materials as well starting from 22nd of  October to December. It resulted that the hygiene kits could not provide to the beneficiaries in Pauktaw to be benefitted. (For V45 and V46)"/>
    <n v="0.95"/>
    <n v="0.97"/>
    <n v="1"/>
    <n v="0.97"/>
    <m/>
    <n v="100"/>
    <m/>
    <m/>
    <m/>
    <m/>
    <m/>
    <m/>
    <s v="Tested"/>
    <s v="Tested"/>
    <x v="1"/>
    <n v="1"/>
    <n v="5024"/>
    <n v="10.048"/>
    <n v="0"/>
    <n v="0"/>
    <n v="10"/>
    <n v="0"/>
    <n v="0.74183917197452232"/>
    <n v="3727"/>
    <n v="32.623376623376622"/>
    <n v="0"/>
    <n v="0"/>
    <n v="251"/>
    <n v="93"/>
    <n v="0.25816082802547768"/>
    <n v="2.5316455696202531E-2"/>
    <n v="3757"/>
    <n v="0"/>
    <n v="0"/>
    <n v="0"/>
    <n v="0"/>
    <n v="3757"/>
    <n v="0.74781050955414008"/>
    <n v="0.25218949044585992"/>
    <n v="0.74781050955414008"/>
    <n v="0"/>
    <s v="Yes"/>
    <n v="1"/>
    <n v="100"/>
    <n v="0"/>
    <n v="0"/>
    <s v="Yes"/>
    <s v="LWF"/>
    <s v="Camp"/>
    <x v="1"/>
    <s v="Muslim"/>
    <n v="20.073437999999999"/>
    <n v="93.154551999999995"/>
    <s v="MMR012CMP017"/>
    <x v="0"/>
    <m/>
    <m/>
    <n v="0"/>
    <m/>
    <m/>
    <m/>
    <m/>
    <n v="1059"/>
    <n v="5004"/>
  </r>
  <r>
    <x v="3"/>
    <x v="0"/>
    <x v="0"/>
    <s v="ECHO, OFDA, CDC "/>
    <x v="0"/>
    <x v="0"/>
    <x v="0"/>
    <x v="11"/>
    <n v="1064"/>
    <n v="5137"/>
    <n v="4.8280075187969924"/>
    <s v="01 April 2022_x000a_4 August 2022_x000a_15 March 2022_x000a_3 October 2022"/>
    <s v="31 March 2023_x000a_30 June 2023_x000a_28 February 2023_x000a_2 October 2023"/>
    <n v="0"/>
    <m/>
    <m/>
    <n v="3"/>
    <n v="3"/>
    <m/>
    <n v="5137"/>
    <n v="0"/>
    <n v="0"/>
    <n v="3"/>
    <n v="0"/>
    <n v="0"/>
    <m/>
    <m/>
    <m/>
    <n v="196"/>
    <n v="197"/>
    <n v="25"/>
    <n v="196"/>
    <n v="0.98"/>
    <n v="0.96"/>
    <m/>
    <n v="36"/>
    <n v="91"/>
    <m/>
    <m/>
    <x v="0"/>
    <s v="The percentage results are from the KAP survey conducted in Oct 2022"/>
    <n v="1051"/>
    <n v="1120"/>
    <n v="932"/>
    <n v="769"/>
    <m/>
    <m/>
    <n v="0.59"/>
    <n v="0.84"/>
    <m/>
    <s v="The percentage results are from the KAP survey conducted in Oct 2022. _x000a_SI faced lack of TA to access to the camps and to deliver materials as well starting from 22nd of October to December. It resulted that the hygiene kits could not provide to the beneficiaries in Pauktaw to be benefitted. (For V45 and V46)"/>
    <n v="0.93"/>
    <n v="0.97"/>
    <n v="0.86"/>
    <n v="0.8"/>
    <m/>
    <n v="75"/>
    <m/>
    <m/>
    <m/>
    <m/>
    <m/>
    <m/>
    <s v="Tested"/>
    <s v="Tested"/>
    <x v="1"/>
    <n v="1"/>
    <n v="5137"/>
    <n v="10.273999999999999"/>
    <n v="0"/>
    <n v="0"/>
    <n v="10"/>
    <n v="0"/>
    <n v="0.92096554409188247"/>
    <n v="4731"/>
    <n v="26.209183673469386"/>
    <n v="0"/>
    <n v="0"/>
    <n v="257"/>
    <n v="60"/>
    <n v="7.9034455908117529E-2"/>
    <n v="5.076142131979695E-3"/>
    <n v="3872"/>
    <n v="0"/>
    <n v="0"/>
    <n v="0"/>
    <n v="0"/>
    <n v="3872"/>
    <n v="0.75374732334047112"/>
    <n v="0.24625267665952888"/>
    <n v="0.75374732334047112"/>
    <n v="0"/>
    <s v="Yes"/>
    <n v="0.86"/>
    <n v="75"/>
    <n v="0"/>
    <n v="0"/>
    <s v="Yes"/>
    <s v="LWF"/>
    <s v="Camp"/>
    <x v="0"/>
    <s v="Muslim"/>
    <n v="20.073437999999999"/>
    <n v="93.154551999999995"/>
    <s v="MMR012CMP017"/>
    <x v="0"/>
    <m/>
    <m/>
    <n v="0"/>
    <m/>
    <m/>
    <m/>
    <m/>
    <n v="982"/>
    <n v="4828"/>
  </r>
  <r>
    <x v="3"/>
    <x v="2"/>
    <x v="2"/>
    <s v="FCDO"/>
    <x v="0"/>
    <x v="1"/>
    <x v="0"/>
    <x v="12"/>
    <n v="774"/>
    <n v="3095"/>
    <n v="3.9987080103359172"/>
    <d v="2022-04-01T00:00:00"/>
    <d v="2022-09-30T00:00:00"/>
    <n v="719"/>
    <n v="64"/>
    <n v="76"/>
    <m/>
    <m/>
    <m/>
    <m/>
    <n v="17"/>
    <n v="0.41"/>
    <n v="5"/>
    <n v="0.2"/>
    <m/>
    <m/>
    <m/>
    <m/>
    <n v="160"/>
    <n v="187"/>
    <m/>
    <m/>
    <n v="1"/>
    <n v="1"/>
    <n v="0.1"/>
    <m/>
    <n v="19"/>
    <n v="2"/>
    <m/>
    <x v="0"/>
    <m/>
    <n v="2147"/>
    <n v="2423"/>
    <n v="1510"/>
    <n v="1488"/>
    <n v="774"/>
    <n v="2250"/>
    <n v="1"/>
    <n v="1"/>
    <m/>
    <m/>
    <n v="1"/>
    <n v="1"/>
    <n v="1"/>
    <n v="1"/>
    <m/>
    <n v="91"/>
    <m/>
    <m/>
    <m/>
    <m/>
    <m/>
    <m/>
    <s v="Tested"/>
    <s v="Tested"/>
    <x v="1"/>
    <n v="1"/>
    <n v="3095"/>
    <n v="6.19"/>
    <n v="0"/>
    <n v="0"/>
    <n v="6"/>
    <n v="0"/>
    <n v="1"/>
    <n v="3095"/>
    <n v="19.34375"/>
    <n v="100"/>
    <n v="0"/>
    <n v="155"/>
    <n v="0"/>
    <n v="0"/>
    <n v="0.14438502673796791"/>
    <n v="3095"/>
    <n v="4473"/>
    <n v="3095"/>
    <n v="2250"/>
    <n v="3095"/>
    <n v="3095"/>
    <n v="1"/>
    <n v="0"/>
    <n v="1"/>
    <n v="1"/>
    <s v="Yes"/>
    <n v="1"/>
    <n v="91"/>
    <n v="100"/>
    <n v="0"/>
    <s v="Yes"/>
    <n v="0"/>
    <s v="Camp"/>
    <x v="0"/>
    <s v="Muslim"/>
    <n v="20.206778"/>
    <n v="92.774193999999994"/>
    <s v="MMR012CMP098"/>
    <x v="0"/>
    <m/>
    <m/>
    <n v="0"/>
    <m/>
    <m/>
    <m/>
    <m/>
    <n v="777"/>
    <n v="4735"/>
  </r>
  <r>
    <x v="3"/>
    <x v="2"/>
    <x v="2"/>
    <s v="FCDO"/>
    <x v="0"/>
    <x v="1"/>
    <x v="0"/>
    <x v="13"/>
    <n v="2728"/>
    <n v="13302"/>
    <n v="4.8760997067448679"/>
    <d v="2022-04-01T00:00:00"/>
    <d v="2022-09-30T00:00:00"/>
    <n v="2058"/>
    <n v="215"/>
    <n v="226"/>
    <m/>
    <m/>
    <m/>
    <m/>
    <n v="170"/>
    <n v="0.76"/>
    <n v="83"/>
    <n v="0.16"/>
    <m/>
    <m/>
    <m/>
    <m/>
    <n v="467"/>
    <n v="688"/>
    <m/>
    <m/>
    <n v="0.99"/>
    <n v="1"/>
    <n v="0.09"/>
    <n v="4"/>
    <n v="120"/>
    <n v="21"/>
    <m/>
    <x v="0"/>
    <m/>
    <n v="679"/>
    <n v="2028"/>
    <n v="2022"/>
    <n v="1900"/>
    <n v="2728"/>
    <n v="7161"/>
    <n v="0.96"/>
    <n v="1"/>
    <n v="13"/>
    <m/>
    <n v="1"/>
    <n v="1"/>
    <n v="1"/>
    <n v="1"/>
    <m/>
    <n v="168"/>
    <m/>
    <m/>
    <m/>
    <m/>
    <m/>
    <m/>
    <s v="Tested"/>
    <s v="Tested"/>
    <x v="1"/>
    <n v="1"/>
    <n v="13302"/>
    <n v="26.603999999999999"/>
    <n v="0"/>
    <n v="0"/>
    <n v="27"/>
    <n v="0.3960000000000008"/>
    <n v="0.71718538565629231"/>
    <n v="9540"/>
    <n v="28.483940042826553"/>
    <n v="1050"/>
    <n v="0"/>
    <n v="665"/>
    <n v="0"/>
    <n v="0.28281461434370769"/>
    <n v="0.32122093023255816"/>
    <n v="6629"/>
    <n v="0"/>
    <n v="13302"/>
    <n v="7161"/>
    <n v="13302"/>
    <n v="13302"/>
    <n v="1"/>
    <n v="0"/>
    <n v="0.49834611336641105"/>
    <n v="1"/>
    <s v="Yes"/>
    <n v="1"/>
    <n v="168"/>
    <n v="1050"/>
    <n v="0"/>
    <s v="Yes"/>
    <n v="0"/>
    <s v="Camp"/>
    <x v="0"/>
    <s v="Muslim"/>
    <n v="20.18994"/>
    <n v="92.798880999999994"/>
    <s v="MMR012CMP115"/>
    <x v="0"/>
    <m/>
    <m/>
    <n v="0"/>
    <m/>
    <m/>
    <m/>
    <m/>
    <n v="2640"/>
    <n v="15778"/>
  </r>
  <r>
    <x v="3"/>
    <x v="4"/>
    <x v="4"/>
    <s v="OFDA"/>
    <x v="0"/>
    <x v="1"/>
    <x v="0"/>
    <x v="14"/>
    <n v="2275"/>
    <n v="12495"/>
    <n v="5.4923076923076923"/>
    <d v="2022-06-01T00:00:00"/>
    <d v="2023-05-31T00:00:00"/>
    <m/>
    <n v="195"/>
    <n v="211"/>
    <m/>
    <m/>
    <m/>
    <m/>
    <m/>
    <m/>
    <n v="493"/>
    <n v="0.68"/>
    <m/>
    <m/>
    <m/>
    <m/>
    <n v="797"/>
    <n v="808"/>
    <n v="369"/>
    <n v="845"/>
    <m/>
    <m/>
    <m/>
    <m/>
    <m/>
    <m/>
    <m/>
    <x v="0"/>
    <m/>
    <n v="2546"/>
    <n v="3118"/>
    <n v="3557"/>
    <n v="3274"/>
    <m/>
    <n v="3118"/>
    <m/>
    <m/>
    <m/>
    <m/>
    <m/>
    <m/>
    <m/>
    <m/>
    <m/>
    <m/>
    <m/>
    <m/>
    <m/>
    <m/>
    <m/>
    <m/>
    <s v="no test"/>
    <s v="Tested"/>
    <x v="1"/>
    <n v="1"/>
    <n v="12495"/>
    <n v="24.99"/>
    <n v="0"/>
    <n v="0"/>
    <n v="25"/>
    <n v="1.0000000000001563E-2"/>
    <n v="1"/>
    <n v="12495"/>
    <n v="15.677540777917189"/>
    <n v="0"/>
    <n v="0"/>
    <n v="625"/>
    <n v="0"/>
    <n v="0"/>
    <n v="1.3613861386138614E-2"/>
    <n v="12495"/>
    <n v="0"/>
    <n v="0"/>
    <n v="3118"/>
    <n v="3118"/>
    <n v="12495"/>
    <n v="1"/>
    <n v="0"/>
    <n v="1"/>
    <n v="0"/>
    <s v="No"/>
    <n v="0"/>
    <n v="0"/>
    <n v="0"/>
    <n v="0"/>
    <s v="Yes"/>
    <n v="0"/>
    <s v="Camp"/>
    <x v="0"/>
    <s v="Muslim"/>
    <n v="20.185092000000001"/>
    <n v="92.802295999999998"/>
    <s v="MMR012CMP116"/>
    <x v="0"/>
    <m/>
    <m/>
    <n v="0"/>
    <m/>
    <m/>
    <m/>
    <m/>
    <n v="2275"/>
    <n v="12341"/>
  </r>
  <r>
    <x v="3"/>
    <x v="4"/>
    <x v="4"/>
    <s v="OFDA"/>
    <x v="0"/>
    <x v="1"/>
    <x v="0"/>
    <x v="15"/>
    <n v="400"/>
    <n v="2698"/>
    <n v="6.7450000000000001"/>
    <d v="2022-06-01T00:00:00"/>
    <d v="2023-05-31T00:00:00"/>
    <m/>
    <n v="35"/>
    <n v="42"/>
    <m/>
    <m/>
    <m/>
    <m/>
    <m/>
    <m/>
    <n v="248"/>
    <n v="0.78"/>
    <m/>
    <m/>
    <m/>
    <m/>
    <n v="150"/>
    <n v="150"/>
    <n v="173"/>
    <n v="372"/>
    <m/>
    <m/>
    <m/>
    <n v="2"/>
    <m/>
    <m/>
    <m/>
    <x v="0"/>
    <m/>
    <n v="592"/>
    <n v="727"/>
    <n v="712"/>
    <n v="667"/>
    <m/>
    <n v="727"/>
    <m/>
    <m/>
    <m/>
    <m/>
    <m/>
    <m/>
    <m/>
    <m/>
    <m/>
    <m/>
    <m/>
    <m/>
    <m/>
    <m/>
    <m/>
    <m/>
    <s v="no test"/>
    <s v="Tested"/>
    <x v="1"/>
    <n v="1"/>
    <n v="2698"/>
    <n v="5.3959999999999999"/>
    <n v="0"/>
    <n v="0"/>
    <n v="5"/>
    <n v="0"/>
    <n v="1"/>
    <n v="2698"/>
    <n v="17.986666666666668"/>
    <n v="0"/>
    <n v="0"/>
    <n v="135"/>
    <n v="0"/>
    <n v="0"/>
    <n v="0"/>
    <n v="2698"/>
    <n v="0"/>
    <n v="0"/>
    <n v="727"/>
    <n v="727"/>
    <n v="2698"/>
    <n v="1"/>
    <n v="0"/>
    <n v="1"/>
    <n v="0"/>
    <s v="No"/>
    <n v="0"/>
    <n v="0"/>
    <n v="0"/>
    <n v="0"/>
    <n v="0"/>
    <n v="0"/>
    <s v="Camp"/>
    <x v="0"/>
    <s v="Muslim"/>
    <n v="20.207284999999999"/>
    <n v="92.788177000000005"/>
    <s v="MMR012CMP045"/>
    <x v="0"/>
    <m/>
    <m/>
    <n v="0"/>
    <m/>
    <m/>
    <m/>
    <m/>
    <n v="0"/>
    <n v="0"/>
  </r>
  <r>
    <x v="3"/>
    <x v="2"/>
    <x v="2"/>
    <s v="FCDO"/>
    <x v="0"/>
    <x v="1"/>
    <x v="0"/>
    <x v="16"/>
    <n v="2280"/>
    <n v="11564"/>
    <n v="5.0719298245614031"/>
    <d v="2022-04-01T00:00:00"/>
    <d v="2022-09-30T00:00:00"/>
    <n v="2187"/>
    <n v="171"/>
    <n v="193"/>
    <m/>
    <m/>
    <m/>
    <m/>
    <n v="207"/>
    <n v="0.79"/>
    <n v="97"/>
    <n v="0.27"/>
    <m/>
    <m/>
    <m/>
    <m/>
    <n v="479"/>
    <n v="520"/>
    <m/>
    <m/>
    <n v="1"/>
    <n v="0.97"/>
    <n v="0.87"/>
    <n v="4"/>
    <n v="51"/>
    <n v="57"/>
    <m/>
    <x v="0"/>
    <m/>
    <n v="1299"/>
    <n v="2170"/>
    <n v="1441"/>
    <n v="1390"/>
    <n v="2280"/>
    <n v="5995"/>
    <n v="1"/>
    <n v="1"/>
    <n v="35"/>
    <m/>
    <n v="1"/>
    <n v="1"/>
    <n v="1"/>
    <n v="1"/>
    <m/>
    <n v="159"/>
    <m/>
    <m/>
    <m/>
    <m/>
    <m/>
    <m/>
    <s v="Tested"/>
    <s v="Tested"/>
    <x v="1"/>
    <n v="1"/>
    <n v="11564"/>
    <n v="23.128"/>
    <n v="0"/>
    <n v="0"/>
    <n v="23"/>
    <n v="0"/>
    <n v="0.83976132826011762"/>
    <n v="9711"/>
    <n v="24.141962421711899"/>
    <n v="2850"/>
    <n v="0"/>
    <n v="578"/>
    <n v="58"/>
    <n v="0.16023867173988238"/>
    <n v="7.8846153846153844E-2"/>
    <n v="6300"/>
    <n v="0"/>
    <n v="11564"/>
    <n v="5995"/>
    <n v="11564"/>
    <n v="11564"/>
    <n v="1"/>
    <n v="0"/>
    <n v="0.5447941888619855"/>
    <n v="1"/>
    <s v="Yes"/>
    <n v="1"/>
    <n v="159"/>
    <n v="2850"/>
    <n v="0"/>
    <s v="Yes"/>
    <n v="0"/>
    <s v="Camp"/>
    <x v="0"/>
    <s v="Muslim"/>
    <n v="20.202525000000001"/>
    <n v="92.792479999999998"/>
    <s v="MMR012CMP045"/>
    <x v="0"/>
    <m/>
    <m/>
    <n v="0"/>
    <m/>
    <m/>
    <m/>
    <m/>
    <n v="2678"/>
    <n v="14788"/>
  </r>
  <r>
    <x v="3"/>
    <x v="4"/>
    <x v="4"/>
    <s v="BHA-USAID"/>
    <x v="0"/>
    <x v="0"/>
    <x v="0"/>
    <x v="17"/>
    <n v="811"/>
    <n v="2861"/>
    <n v="3.5277435265104811"/>
    <d v="2022-06-01T00:00:00"/>
    <d v="2023-05-31T00:00:00"/>
    <m/>
    <m/>
    <m/>
    <n v="8"/>
    <n v="8"/>
    <m/>
    <m/>
    <m/>
    <m/>
    <m/>
    <m/>
    <m/>
    <m/>
    <m/>
    <m/>
    <n v="354"/>
    <n v="365"/>
    <n v="8"/>
    <n v="244"/>
    <m/>
    <m/>
    <m/>
    <n v="1"/>
    <m/>
    <m/>
    <m/>
    <x v="0"/>
    <m/>
    <n v="761"/>
    <n v="897"/>
    <n v="638"/>
    <n v="565"/>
    <m/>
    <n v="897"/>
    <n v="1"/>
    <m/>
    <m/>
    <m/>
    <m/>
    <m/>
    <m/>
    <m/>
    <m/>
    <m/>
    <m/>
    <m/>
    <m/>
    <m/>
    <m/>
    <m/>
    <s v="no test"/>
    <s v="no test"/>
    <x v="0"/>
    <n v="0.69905627403005943"/>
    <n v="2000"/>
    <n v="4"/>
    <n v="0.30094372596994057"/>
    <n v="861"/>
    <n v="6"/>
    <n v="2"/>
    <n v="1"/>
    <n v="2861"/>
    <n v="8.0819209039548028"/>
    <n v="0"/>
    <n v="0"/>
    <n v="143"/>
    <n v="0"/>
    <n v="0"/>
    <n v="3.0136986301369864E-2"/>
    <n v="2861"/>
    <n v="0"/>
    <n v="0"/>
    <n v="897"/>
    <n v="897"/>
    <n v="2861"/>
    <n v="1"/>
    <n v="0"/>
    <n v="1"/>
    <n v="0"/>
    <s v="No"/>
    <n v="0"/>
    <n v="0"/>
    <n v="0"/>
    <n v="0"/>
    <s v="Yes"/>
    <s v="DRC"/>
    <s v="Camp"/>
    <x v="0"/>
    <s v="Muslim"/>
    <n v="20.064226000000001"/>
    <n v="92.993758999999997"/>
    <s v="MMR012CMP019"/>
    <x v="0"/>
    <m/>
    <m/>
    <n v="0"/>
    <m/>
    <m/>
    <m/>
    <m/>
    <n v="682"/>
    <n v="2588"/>
  </r>
  <r>
    <x v="3"/>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0"/>
    <n v="1"/>
    <n v="0"/>
    <n v="0"/>
    <s v="No"/>
    <n v="0"/>
    <n v="0"/>
    <n v="200"/>
    <n v="50"/>
    <s v="Yes"/>
    <s v="RI"/>
    <s v="Camp"/>
    <x v="0"/>
    <s v="Muslim"/>
    <n v="20.037655000000001"/>
    <n v="93.370037999999994"/>
    <s v="MMR012CMP014"/>
    <x v="0"/>
    <m/>
    <m/>
    <n v="0"/>
    <m/>
    <m/>
    <m/>
    <m/>
    <n v="747"/>
    <n v="3495"/>
  </r>
  <r>
    <x v="3"/>
    <x v="1"/>
    <x v="1"/>
    <s v="FCDO/UNOPS"/>
    <x v="0"/>
    <x v="1"/>
    <x v="0"/>
    <x v="19"/>
    <n v="2038"/>
    <n v="12972"/>
    <n v="6.3650637880274781"/>
    <d v="2022-10-01T00:00:00"/>
    <d v="2023-03-31T00:00:00"/>
    <n v="1027"/>
    <n v="32"/>
    <n v="40"/>
    <m/>
    <m/>
    <m/>
    <m/>
    <n v="2"/>
    <n v="0.5"/>
    <n v="2"/>
    <n v="0"/>
    <n v="1128"/>
    <m/>
    <m/>
    <m/>
    <n v="221"/>
    <n v="253"/>
    <n v="90"/>
    <n v="180"/>
    <n v="1"/>
    <n v="0.83"/>
    <n v="0.47"/>
    <m/>
    <n v="913"/>
    <m/>
    <m/>
    <x v="0"/>
    <s v="The result of percentage indicators are from the Satisfaction Suvey conducted in July 2022. The next survey will be in Feb 2023 and WASH in School assessment is on-going process and the result will be reported in next quarter. "/>
    <n v="8"/>
    <n v="76"/>
    <n v="464"/>
    <n v="406"/>
    <n v="1123"/>
    <n v="3339"/>
    <n v="1"/>
    <n v="1"/>
    <m/>
    <s v="The result of percentage indicators are from the Satisfaction Suvey conducted in July 2022. The next survey will be in Feb 2023 and WASH in School assessment is on-going process and the result will be reported in next quarter. "/>
    <n v="1"/>
    <n v="1"/>
    <n v="1"/>
    <n v="0.9"/>
    <m/>
    <n v="90"/>
    <n v="0"/>
    <n v="20"/>
    <m/>
    <m/>
    <m/>
    <m/>
    <s v="Tested"/>
    <s v="Tested"/>
    <x v="1"/>
    <n v="0.6167129201356768"/>
    <n v="7999.9999999999991"/>
    <n v="15.999999999999998"/>
    <n v="0.3832870798643232"/>
    <n v="4972.0000000000009"/>
    <n v="26"/>
    <n v="10.000000000000002"/>
    <n v="0.41111625038544558"/>
    <n v="5333"/>
    <n v="58.696832579185518"/>
    <n v="0"/>
    <n v="0"/>
    <n v="649"/>
    <n v="396"/>
    <n v="0.58888374961455447"/>
    <n v="0.12648221343873517"/>
    <n v="954"/>
    <n v="0"/>
    <n v="7147.9666339548576"/>
    <n v="3339"/>
    <n v="7147.9666339548576"/>
    <n v="7147.9666339548576"/>
    <n v="0.55103042198233565"/>
    <n v="0.44896957801766435"/>
    <n v="7.3543015726179467E-2"/>
    <n v="0.55103042198233565"/>
    <s v="Yes"/>
    <n v="1"/>
    <n v="110"/>
    <n v="0"/>
    <n v="0"/>
    <s v="Yes"/>
    <n v="0"/>
    <s v="Camp"/>
    <x v="2"/>
    <s v="Muslim"/>
    <n v="20.1585"/>
    <n v="92.839416999999997"/>
    <s v="MMR012CMP046"/>
    <x v="0"/>
    <m/>
    <m/>
    <n v="0"/>
    <m/>
    <m/>
    <m/>
    <m/>
    <n v="2062"/>
    <n v="12522"/>
  </r>
  <r>
    <x v="3"/>
    <x v="2"/>
    <x v="2"/>
    <s v="FCDO"/>
    <x v="0"/>
    <x v="1"/>
    <x v="0"/>
    <x v="20"/>
    <n v="1013"/>
    <n v="5950"/>
    <n v="5.8736426456071076"/>
    <d v="2022-04-01T00:00:00"/>
    <d v="2022-09-30T00:00:00"/>
    <n v="742"/>
    <n v="62"/>
    <n v="69"/>
    <m/>
    <m/>
    <m/>
    <m/>
    <n v="6"/>
    <n v="0.67"/>
    <m/>
    <m/>
    <m/>
    <m/>
    <m/>
    <m/>
    <n v="202"/>
    <n v="317"/>
    <m/>
    <m/>
    <m/>
    <m/>
    <m/>
    <m/>
    <n v="38"/>
    <n v="7"/>
    <m/>
    <x v="0"/>
    <m/>
    <n v="610"/>
    <n v="1322"/>
    <n v="2285"/>
    <n v="2184"/>
    <n v="1312"/>
    <n v="3872"/>
    <n v="0.6"/>
    <n v="1"/>
    <n v="0"/>
    <m/>
    <n v="0.62"/>
    <n v="0.83"/>
    <n v="0.96"/>
    <n v="0.8"/>
    <m/>
    <n v="130"/>
    <m/>
    <m/>
    <m/>
    <m/>
    <m/>
    <m/>
    <s v="Tested"/>
    <s v="no test"/>
    <x v="1"/>
    <n v="1"/>
    <n v="5950"/>
    <n v="11.9"/>
    <n v="0"/>
    <n v="0"/>
    <n v="12"/>
    <n v="9.9999999999999645E-2"/>
    <n v="0.68537815126050416"/>
    <n v="4078"/>
    <n v="29.455445544554454"/>
    <n v="350"/>
    <n v="0"/>
    <n v="298"/>
    <n v="0"/>
    <n v="0.31462184873949584"/>
    <n v="0.36277602523659308"/>
    <n v="5950"/>
    <n v="451"/>
    <n v="5950"/>
    <n v="3872"/>
    <n v="5950"/>
    <n v="5950"/>
    <n v="1"/>
    <n v="0"/>
    <n v="1"/>
    <n v="1"/>
    <s v="Yes"/>
    <n v="0.96"/>
    <n v="130"/>
    <n v="350"/>
    <n v="0"/>
    <s v="Yes"/>
    <n v="0"/>
    <s v="Camp"/>
    <x v="0"/>
    <s v="Muslim"/>
    <n v="20.179939999999998"/>
    <n v="92.831879000000001"/>
    <s v="MMR012CMP048"/>
    <x v="0"/>
    <m/>
    <m/>
    <n v="0"/>
    <m/>
    <m/>
    <m/>
    <m/>
    <n v="1019"/>
    <n v="69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141"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3:C9" firstHeaderRow="1" firstDataRow="1" firstDataCol="3"/>
  <pivotFields count="123">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m="1" x="2"/>
        <item m="1" x="3"/>
        <item x="0"/>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6">
    <i>
      <x v="3"/>
      <x v="3"/>
      <x v="3"/>
    </i>
    <i r="1">
      <x v="27"/>
      <x v="28"/>
    </i>
    <i r="1">
      <x v="30"/>
      <x v="31"/>
    </i>
    <i r="1">
      <x v="35"/>
      <x v="34"/>
    </i>
    <i r="1">
      <x v="36"/>
      <x v="35"/>
    </i>
    <i r="1">
      <x v="40"/>
      <x v="39"/>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0"/>
        <item x="1"/>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65"/>
  </colFields>
  <colItems count="2">
    <i>
      <x/>
    </i>
    <i>
      <x v="1"/>
    </i>
  </colItems>
  <pageFields count="3">
    <pageField fld="0" hier="-1"/>
    <pageField fld="105" item="0" hier="-1"/>
    <pageField fld="6" hier="-1"/>
  </pageFields>
  <dataFields count="1">
    <dataField name="Count of Warter quality test done" fld="65" subtotal="count" baseField="0" baseItem="0"/>
  </dataFields>
  <formats count="8">
    <format dxfId="165">
      <pivotArea field="4" type="button" dataOnly="0" labelOnly="1" outline="0" axis="axisRow" fieldPosition="0"/>
    </format>
    <format dxfId="164">
      <pivotArea type="all" dataOnly="0" outline="0" fieldPosition="0"/>
    </format>
    <format dxfId="163">
      <pivotArea outline="0" collapsedLevelsAreSubtotals="1" fieldPosition="0"/>
    </format>
    <format dxfId="162">
      <pivotArea field="4" type="button" dataOnly="0" labelOnly="1" outline="0" axis="axisRow" fieldPosition="0"/>
    </format>
    <format dxfId="161">
      <pivotArea dataOnly="0" labelOnly="1" fieldPosition="0">
        <references count="1">
          <reference field="4" count="0"/>
        </references>
      </pivotArea>
    </format>
    <format dxfId="160">
      <pivotArea type="all" dataOnly="0" outline="0" fieldPosition="0"/>
    </format>
    <format dxfId="159">
      <pivotArea outline="0" collapsedLevelsAreSubtotals="1" fieldPosition="0"/>
    </format>
    <format dxfId="158">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23">
    <pivotField axis="axisPage" subtotalTop="0" multipleItemSelectionAllowed="1" showAll="0">
      <items count="27">
        <item m="1" x="24"/>
        <item m="1" x="10"/>
        <item m="1" x="25"/>
        <item m="1" x="17"/>
        <item m="1" x="6"/>
        <item m="1" x="4"/>
        <item m="1" x="23"/>
        <item m="1" x="19"/>
        <item m="1" x="21"/>
        <item m="1" x="22"/>
        <item m="1" x="13"/>
        <item m="1" x="15"/>
        <item m="1" x="20"/>
        <item m="1" x="18"/>
        <item h="1" m="1" x="8"/>
        <item h="1" m="1" x="11"/>
        <item h="1" m="1" x="14"/>
        <item m="1" x="16"/>
        <item h="1" m="1" x="5"/>
        <item m="1" x="7"/>
        <item h="1" m="1" x="9"/>
        <item h="1" m="1" x="12"/>
        <item h="1" x="0"/>
        <item h="1" x="1"/>
        <item h="1" x="2"/>
        <item h="1"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05" hier="-1"/>
  </pageFields>
  <formats count="17">
    <format dxfId="182">
      <pivotArea type="all" dataOnly="0" outline="0" fieldPosition="0"/>
    </format>
    <format dxfId="181">
      <pivotArea outline="0" collapsedLevelsAreSubtotals="1" fieldPosition="0"/>
    </format>
    <format dxfId="180">
      <pivotArea field="4" type="button" dataOnly="0" labelOnly="1" outline="0"/>
    </format>
    <format dxfId="179">
      <pivotArea dataOnly="0" labelOnly="1" grandRow="1" outline="0" fieldPosition="0"/>
    </format>
    <format dxfId="178">
      <pivotArea type="all" dataOnly="0" outline="0" fieldPosition="0"/>
    </format>
    <format dxfId="177">
      <pivotArea outline="0" collapsedLevelsAreSubtotals="1" fieldPosition="0"/>
    </format>
    <format dxfId="176">
      <pivotArea type="origin" dataOnly="0" labelOnly="1" outline="0" fieldPosition="0"/>
    </format>
    <format dxfId="175">
      <pivotArea field="105" type="button" dataOnly="0" labelOnly="1" outline="0" axis="axisPage" fieldPosition="1"/>
    </format>
    <format dxfId="174">
      <pivotArea type="topRight" dataOnly="0" labelOnly="1" outline="0" fieldPosition="0"/>
    </format>
    <format dxfId="173">
      <pivotArea dataOnly="0" labelOnly="1" fieldPosition="0">
        <references count="1">
          <reference field="105" count="0"/>
        </references>
      </pivotArea>
    </format>
    <format dxfId="172">
      <pivotArea type="all" dataOnly="0" outline="0" fieldPosition="0"/>
    </format>
    <format dxfId="171">
      <pivotArea outline="0" collapsedLevelsAreSubtotals="1" fieldPosition="0"/>
    </format>
    <format dxfId="170">
      <pivotArea field="4" type="button" dataOnly="0" labelOnly="1" outline="0"/>
    </format>
    <format dxfId="169">
      <pivotArea field="4" type="button" dataOnly="0" labelOnly="1" outline="0"/>
    </format>
    <format dxfId="168">
      <pivotArea field="4" type="button" dataOnly="0" labelOnly="1" outline="0"/>
    </format>
    <format dxfId="167">
      <pivotArea field="4" type="button" dataOnly="0" labelOnly="1" outline="0"/>
    </format>
    <format dxfId="166">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141"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16:C119" firstHeaderRow="1" firstDataRow="1" firstDataCol="1" rowPageCount="3"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05" hier="-1"/>
  </pageFields>
  <dataFields count="3">
    <dataField name="Average of %_of_Men_that_feel_safe_to_use_latrines_when_they_need_to_(or_at_day/night)'?" fld="32" subtotal="average" baseField="0" baseItem="1" numFmtId="9"/>
    <dataField name="Average of %_of_Women_that_feel_safe_to_use_latrines_when_they_need_to_(or_at_day/night)?" fld="33" subtotal="average" baseField="0" baseItem="1" numFmtId="9"/>
    <dataField name="Average of %_of_Children_that_feel_safe_to_use_latrines_when_they_need_to_(or_at_day/night)?" fld="34" subtotal="average" baseField="0" baseItem="0"/>
  </dataFields>
  <formats count="13">
    <format dxfId="195">
      <pivotArea field="4" type="button" dataOnly="0" labelOnly="1" outline="0" axis="axisPage" fieldPosition="1"/>
    </format>
    <format dxfId="194">
      <pivotArea type="all" dataOnly="0" outline="0" fieldPosition="0"/>
    </format>
    <format dxfId="193">
      <pivotArea outline="0" collapsedLevelsAreSubtotals="1" fieldPosition="0"/>
    </format>
    <format dxfId="192">
      <pivotArea type="origin" dataOnly="0" labelOnly="1" outline="0" fieldPosition="0"/>
    </format>
    <format dxfId="191">
      <pivotArea type="topRight" dataOnly="0" labelOnly="1" outline="0" fieldPosition="0"/>
    </format>
    <format dxfId="190">
      <pivotArea field="-2" type="button" dataOnly="0" labelOnly="1" outline="0" axis="axisRow" fieldPosition="0"/>
    </format>
    <format dxfId="189">
      <pivotArea type="all" dataOnly="0" outline="0" fieldPosition="0"/>
    </format>
    <format dxfId="188">
      <pivotArea outline="0" collapsedLevelsAreSubtotals="1" fieldPosition="0"/>
    </format>
    <format dxfId="187">
      <pivotArea field="4" type="button" dataOnly="0" labelOnly="1" outline="0" axis="axisPage" fieldPosition="1"/>
    </format>
    <format dxfId="186">
      <pivotArea dataOnly="0" labelOnly="1" outline="0" fieldPosition="0">
        <references count="1">
          <reference field="4" count="1">
            <x v="1"/>
          </reference>
        </references>
      </pivotArea>
    </format>
    <format dxfId="185">
      <pivotArea outline="0" collapsedLevelsAreSubtotals="1" fieldPosition="0">
        <references count="1">
          <reference field="4294967294" count="1" selected="0">
            <x v="1"/>
          </reference>
        </references>
      </pivotArea>
    </format>
    <format dxfId="184">
      <pivotArea outline="0" collapsedLevelsAreSubtotals="1" fieldPosition="0">
        <references count="1">
          <reference field="4294967294" count="1" selected="0">
            <x v="0"/>
          </reference>
        </references>
      </pivotArea>
    </format>
    <format dxfId="183">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78:E182" firstHeaderRow="0" firstDataRow="1" firstDataCol="1" rowPageCount="1" colPageCount="1"/>
  <pivotFields count="123">
    <pivotField axis="axisRow" subtotalTop="0" multipleItemSelectionAllowed="1" showAll="0">
      <items count="27">
        <item m="1" x="24"/>
        <item m="1" x="10"/>
        <item m="1" x="25"/>
        <item m="1" x="17"/>
        <item m="1" x="6"/>
        <item m="1" x="4"/>
        <item m="1" x="23"/>
        <item m="1" x="19"/>
        <item m="1" x="21"/>
        <item m="1" x="22"/>
        <item m="1" x="13"/>
        <item m="1" x="15"/>
        <item m="1" x="20"/>
        <item m="1" x="18"/>
        <item m="1" x="8"/>
        <item m="1" x="11"/>
        <item m="1" x="14"/>
        <item m="1" x="16"/>
        <item m="1" x="5"/>
        <item m="1" x="7"/>
        <item m="1" x="9"/>
        <item m="1" x="12"/>
        <item x="0"/>
        <item x="1"/>
        <item x="2"/>
        <item x="3"/>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2"/>
    </i>
    <i>
      <x v="23"/>
    </i>
    <i>
      <x v="24"/>
    </i>
    <i>
      <x v="25"/>
    </i>
  </rowItems>
  <colFields count="1">
    <field x="-2"/>
  </colFields>
  <colItems count="3">
    <i>
      <x/>
    </i>
    <i i="1">
      <x v="1"/>
    </i>
    <i i="2">
      <x v="2"/>
    </i>
  </colItems>
  <pageFields count="1">
    <pageField fld="105" item="0" hier="-1"/>
  </pageFields>
  <dataFields count="3">
    <dataField name="  #_of_functional_children_latrines" fld="35" baseField="0" baseItem="0" numFmtId="164"/>
    <dataField name="  #_of_latrines_desludged " fld="31" baseField="0" baseItem="0" numFmtId="1"/>
    <dataField name="  #_latrines_repaired" fld="30" baseField="0" baseItem="0" numFmtId="1"/>
  </dataFields>
  <formats count="15">
    <format dxfId="210">
      <pivotArea type="all" dataOnly="0" outline="0" fieldPosition="0"/>
    </format>
    <format dxfId="209">
      <pivotArea outline="0" collapsedLevelsAreSubtotals="1" fieldPosition="0"/>
    </format>
    <format dxfId="208">
      <pivotArea type="origin" dataOnly="0" labelOnly="1" outline="0" fieldPosition="0"/>
    </format>
    <format dxfId="207">
      <pivotArea type="topRight" dataOnly="0" labelOnly="1" outline="0" fieldPosition="0"/>
    </format>
    <format dxfId="206">
      <pivotArea field="4" type="button" dataOnly="0" labelOnly="1" outline="0"/>
    </format>
    <format dxfId="205">
      <pivotArea dataOnly="0" labelOnly="1" grandRow="1" outline="0" fieldPosition="0"/>
    </format>
    <format dxfId="204">
      <pivotArea dataOnly="0" labelOnly="1" grandCol="1" outline="0" fieldPosition="0"/>
    </format>
    <format dxfId="203">
      <pivotArea type="all" dataOnly="0" outline="0" fieldPosition="0"/>
    </format>
    <format dxfId="202">
      <pivotArea outline="0" collapsedLevelsAreSubtotals="1" fieldPosition="0"/>
    </format>
    <format dxfId="201">
      <pivotArea type="all" dataOnly="0" outline="0" fieldPosition="0"/>
    </format>
    <format dxfId="200">
      <pivotArea outline="0" collapsedLevelsAreSubtotals="1" fieldPosition="0"/>
    </format>
    <format dxfId="199">
      <pivotArea dataOnly="0" labelOnly="1" outline="0" axis="axisValues" fieldPosition="0"/>
    </format>
    <format dxfId="198">
      <pivotArea outline="0" collapsedLevelsAreSubtotals="1" fieldPosition="0">
        <references count="1">
          <reference field="4294967294" count="1" selected="0">
            <x v="0"/>
          </reference>
        </references>
      </pivotArea>
    </format>
    <format dxfId="197">
      <pivotArea outline="0" collapsedLevelsAreSubtotals="1" fieldPosition="0">
        <references count="1">
          <reference field="4294967294" count="2" selected="0">
            <x v="1"/>
            <x v="2"/>
          </reference>
        </references>
      </pivotArea>
    </format>
    <format dxfId="196">
      <pivotArea dataOnly="0" labelOnly="1" outline="0" fieldPosition="0">
        <references count="1">
          <reference field="4294967294" count="2">
            <x v="1"/>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B30:D31" firstHeaderRow="0" firstDataRow="1"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05" hier="-1"/>
  </pageFields>
  <dataFields count="2">
    <dataField name="Coverage" fld="68" baseField="77" baseItem="1" numFmtId="1"/>
    <dataField name="Gap" fld="72" baseField="77" baseItem="1" numFmtId="1"/>
  </dataFields>
  <formats count="11">
    <format dxfId="221">
      <pivotArea type="all" dataOnly="0" outline="0" fieldPosition="0"/>
    </format>
    <format dxfId="220">
      <pivotArea outline="0" collapsedLevelsAreSubtotals="1" fieldPosition="0"/>
    </format>
    <format dxfId="219">
      <pivotArea type="all" dataOnly="0" outline="0" fieldPosition="0"/>
    </format>
    <format dxfId="218">
      <pivotArea dataOnly="0" labelOnly="1" outline="0" fieldPosition="0">
        <references count="1">
          <reference field="4294967294" count="2">
            <x v="0"/>
            <x v="1"/>
          </reference>
        </references>
      </pivotArea>
    </format>
    <format dxfId="217">
      <pivotArea outline="0" fieldPosition="0">
        <references count="1">
          <reference field="4294967294" count="1">
            <x v="0"/>
          </reference>
        </references>
      </pivotArea>
    </format>
    <format dxfId="216">
      <pivotArea outline="0" fieldPosition="0">
        <references count="1">
          <reference field="4294967294" count="1">
            <x v="1"/>
          </reference>
        </references>
      </pivotArea>
    </format>
    <format dxfId="215">
      <pivotArea type="all" dataOnly="0" outline="0" fieldPosition="0"/>
    </format>
    <format dxfId="214">
      <pivotArea outline="0" collapsedLevelsAreSubtotals="1" fieldPosition="0"/>
    </format>
    <format dxfId="213">
      <pivotArea dataOnly="0" labelOnly="1" outline="0" fieldPosition="0">
        <references count="1">
          <reference field="4294967294" count="2">
            <x v="0"/>
            <x v="1"/>
          </reference>
        </references>
      </pivotArea>
    </format>
    <format dxfId="212">
      <pivotArea field="4" type="button" dataOnly="0" labelOnly="1" outline="0" axis="axisPage" fieldPosition="1"/>
    </format>
    <format dxfId="211">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14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278:L300" firstHeaderRow="0" firstDataRow="1" firstDataCol="4" rowPageCount="1" colPageCount="1"/>
  <pivotFields count="123">
    <pivotField axis="axisPage" compact="0" outline="0" subtotalTop="0" multipleItemSelectionAllowed="1" showAll="0" defaultSubtotal="0">
      <items count="26">
        <item m="1" x="24"/>
        <item m="1" x="10"/>
        <item m="1" x="25"/>
        <item m="1" x="17"/>
        <item m="1" x="6"/>
        <item m="1" x="4"/>
        <item m="1" x="23"/>
        <item m="1" x="19"/>
        <item m="1" x="21"/>
        <item m="1" x="22"/>
        <item m="1" x="13"/>
        <item m="1" x="15"/>
        <item m="1" x="20"/>
        <item m="1" x="18"/>
        <item h="1" m="1" x="8"/>
        <item h="1" m="1" x="11"/>
        <item h="1" m="1" x="14"/>
        <item m="1" x="16"/>
        <item h="1" m="1" x="5"/>
        <item h="1" m="1" x="7"/>
        <item h="1" m="1" x="9"/>
        <item m="1" x="12"/>
        <item h="1" x="0"/>
        <item h="1" x="1"/>
        <item h="1" x="2"/>
        <item x="3"/>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49" outline="0" showAll="0"/>
    <pivotField compact="0" numFmtId="49"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00"/>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69" subtotal="average" baseField="85" baseItem="1" numFmtId="9"/>
    <dataField name="% LATRINE GAP" fld="80" subtotal="average" baseField="85" baseItem="1" numFmtId="9"/>
    <dataField name="% HYGIENE GAP" fld="89" subtotal="average" baseField="85" baseItem="1" numFmtId="9"/>
  </dataFields>
  <formats count="48">
    <format dxfId="269">
      <pivotArea type="all" dataOnly="0" outline="0" fieldPosition="0"/>
    </format>
    <format dxfId="268">
      <pivotArea outline="0" collapsedLevelsAreSubtotals="1" fieldPosition="0"/>
    </format>
    <format dxfId="267">
      <pivotArea field="4" type="button" dataOnly="0" labelOnly="1" outline="0" axis="axisRow" fieldPosition="0"/>
    </format>
    <format dxfId="266">
      <pivotArea dataOnly="0" labelOnly="1" grandRow="1" outline="0" fieldPosition="0"/>
    </format>
    <format dxfId="265">
      <pivotArea type="all" dataOnly="0" outline="0" fieldPosition="0"/>
    </format>
    <format dxfId="264">
      <pivotArea dataOnly="0" labelOnly="1" grandRow="1" outline="0" fieldPosition="0"/>
    </format>
    <format dxfId="263">
      <pivotArea type="all" dataOnly="0" outline="0" fieldPosition="0"/>
    </format>
    <format dxfId="262">
      <pivotArea type="origin" dataOnly="0" labelOnly="1" outline="0" fieldPosition="0"/>
    </format>
    <format dxfId="261">
      <pivotArea field="105" type="button" dataOnly="0" labelOnly="1" outline="0"/>
    </format>
    <format dxfId="260">
      <pivotArea type="topRight" dataOnly="0" labelOnly="1" outline="0" fieldPosition="0"/>
    </format>
    <format dxfId="259">
      <pivotArea type="all" dataOnly="0" outline="0" fieldPosition="0"/>
    </format>
    <format dxfId="258">
      <pivotArea outline="0" collapsedLevelsAreSubtotals="1" fieldPosition="0"/>
    </format>
    <format dxfId="257">
      <pivotArea type="origin" dataOnly="0" labelOnly="1" outline="0" fieldPosition="0"/>
    </format>
    <format dxfId="256">
      <pivotArea field="105" type="button" dataOnly="0" labelOnly="1" outline="0"/>
    </format>
    <format dxfId="255">
      <pivotArea type="topRight" dataOnly="0" labelOnly="1" outline="0" fieldPosition="0"/>
    </format>
    <format dxfId="254">
      <pivotArea outline="0" fieldPosition="0">
        <references count="1">
          <reference field="4294967294" count="3" selected="0">
            <x v="3"/>
            <x v="4"/>
            <x v="5"/>
          </reference>
        </references>
      </pivotArea>
    </format>
    <format dxfId="253">
      <pivotArea outline="0" fieldPosition="0">
        <references count="1">
          <reference field="4294967294" count="2" selected="0">
            <x v="1"/>
            <x v="2"/>
          </reference>
        </references>
      </pivotArea>
    </format>
    <format dxfId="252">
      <pivotArea type="all" dataOnly="0" outline="0" fieldPosition="0"/>
    </format>
    <format dxfId="251">
      <pivotArea outline="0" collapsedLevelsAreSubtotals="1" fieldPosition="0"/>
    </format>
    <format dxfId="250">
      <pivotArea field="4" type="button" dataOnly="0" labelOnly="1" outline="0" axis="axisRow" fieldPosition="0"/>
    </format>
    <format dxfId="249">
      <pivotArea field="5" type="button" dataOnly="0" labelOnly="1" outline="0" axis="axisRow" fieldPosition="1"/>
    </format>
    <format dxfId="248">
      <pivotArea field="7" type="button" dataOnly="0" labelOnly="1" outline="0" axis="axisRow" fieldPosition="2"/>
    </format>
    <format dxfId="247">
      <pivotArea field="100" type="button" dataOnly="0" labelOnly="1" outline="0" axis="axisRow" fieldPosition="3"/>
    </format>
    <format dxfId="246">
      <pivotArea dataOnly="0" labelOnly="1" outline="0" fieldPosition="0">
        <references count="1">
          <reference field="4" count="0"/>
        </references>
      </pivotArea>
    </format>
    <format dxfId="245">
      <pivotArea dataOnly="0" labelOnly="1" outline="0" fieldPosition="0">
        <references count="1">
          <reference field="4" count="0" defaultSubtotal="1"/>
        </references>
      </pivotArea>
    </format>
    <format dxfId="244">
      <pivotArea dataOnly="0" labelOnly="1" outline="0" fieldPosition="0">
        <references count="2">
          <reference field="4" count="1" selected="0">
            <x v="0"/>
          </reference>
          <reference field="5" count="8">
            <x v="1"/>
            <x v="12"/>
            <x v="17"/>
            <x v="18"/>
            <x v="28"/>
            <x v="31"/>
            <x v="33"/>
            <x v="35"/>
          </reference>
        </references>
      </pivotArea>
    </format>
    <format dxfId="243">
      <pivotArea dataOnly="0" labelOnly="1" outline="0" fieldPosition="0">
        <references count="2">
          <reference field="4" count="1" selected="0">
            <x v="1"/>
          </reference>
          <reference field="5" count="7">
            <x v="8"/>
            <x v="9"/>
            <x v="15"/>
            <x v="19"/>
            <x v="27"/>
            <x v="30"/>
            <x v="32"/>
          </reference>
        </references>
      </pivotArea>
    </format>
    <format dxfId="242">
      <pivotArea dataOnly="0" labelOnly="1" outline="0" fieldPosition="0">
        <references count="2">
          <reference field="4" count="1" selected="0">
            <x v="2"/>
          </reference>
          <reference field="5" count="4">
            <x v="6"/>
            <x v="7"/>
            <x v="13"/>
            <x v="20"/>
          </reference>
        </references>
      </pivotArea>
    </format>
    <format dxfId="241">
      <pivotArea dataOnly="0" labelOnly="1" outline="0" fieldPosition="0">
        <references count="3">
          <reference field="4" count="1" selected="0">
            <x v="0"/>
          </reference>
          <reference field="5" count="1" selected="0">
            <x v="1"/>
          </reference>
          <reference field="7" count="1">
            <x v="47"/>
          </reference>
        </references>
      </pivotArea>
    </format>
    <format dxfId="240">
      <pivotArea dataOnly="0" labelOnly="1" outline="0" fieldPosition="0">
        <references count="3">
          <reference field="4" count="1" selected="0">
            <x v="0"/>
          </reference>
          <reference field="5" count="1" selected="0">
            <x v="12"/>
          </reference>
          <reference field="7" count="2">
            <x v="256"/>
            <x v="262"/>
          </reference>
        </references>
      </pivotArea>
    </format>
    <format dxfId="239">
      <pivotArea dataOnly="0" labelOnly="1" outline="0" fieldPosition="0">
        <references count="3">
          <reference field="4" count="1" selected="0">
            <x v="0"/>
          </reference>
          <reference field="5" count="1" selected="0">
            <x v="17"/>
          </reference>
          <reference field="7" count="2">
            <x v="110"/>
            <x v="282"/>
          </reference>
        </references>
      </pivotArea>
    </format>
    <format dxfId="238">
      <pivotArea dataOnly="0" labelOnly="1" outline="0" fieldPosition="0">
        <references count="3">
          <reference field="4" count="1" selected="0">
            <x v="0"/>
          </reference>
          <reference field="5" count="1" selected="0">
            <x v="18"/>
          </reference>
          <reference field="7" count="3">
            <x v="154"/>
            <x v="284"/>
            <x v="299"/>
          </reference>
        </references>
      </pivotArea>
    </format>
    <format dxfId="237">
      <pivotArea dataOnly="0" labelOnly="1" outline="0" fieldPosition="0">
        <references count="3">
          <reference field="4" count="1" selected="0">
            <x v="0"/>
          </reference>
          <reference field="5" count="1" selected="0">
            <x v="28"/>
          </reference>
          <reference field="7" count="2">
            <x v="125"/>
            <x v="529"/>
          </reference>
        </references>
      </pivotArea>
    </format>
    <format dxfId="236">
      <pivotArea dataOnly="0" labelOnly="1" outline="0" fieldPosition="0">
        <references count="3">
          <reference field="4" count="1" selected="0">
            <x v="0"/>
          </reference>
          <reference field="5" count="1" selected="0">
            <x v="31"/>
          </reference>
          <reference field="7" count="1">
            <x v="205"/>
          </reference>
        </references>
      </pivotArea>
    </format>
    <format dxfId="235">
      <pivotArea dataOnly="0" labelOnly="1" outline="0" fieldPosition="0">
        <references count="3">
          <reference field="4" count="1" selected="0">
            <x v="0"/>
          </reference>
          <reference field="5" count="1" selected="0">
            <x v="33"/>
          </reference>
          <reference field="7" count="1">
            <x v="466"/>
          </reference>
        </references>
      </pivotArea>
    </format>
    <format dxfId="234">
      <pivotArea dataOnly="0" labelOnly="1" outline="0" fieldPosition="0">
        <references count="3">
          <reference field="4" count="1" selected="0">
            <x v="0"/>
          </reference>
          <reference field="5" count="1" selected="0">
            <x v="35"/>
          </reference>
          <reference field="7" count="1">
            <x v="100"/>
          </reference>
        </references>
      </pivotArea>
    </format>
    <format dxfId="233">
      <pivotArea dataOnly="0" labelOnly="1" outline="0" fieldPosition="0">
        <references count="3">
          <reference field="4" count="1" selected="0">
            <x v="1"/>
          </reference>
          <reference field="5" count="1" selected="0">
            <x v="8"/>
          </reference>
          <reference field="7" count="1">
            <x v="132"/>
          </reference>
        </references>
      </pivotArea>
    </format>
    <format dxfId="232">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231">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230">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229">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228">
      <pivotArea dataOnly="0" labelOnly="1" outline="0" fieldPosition="0">
        <references count="3">
          <reference field="4" count="1" selected="0">
            <x v="1"/>
          </reference>
          <reference field="5" count="1" selected="0">
            <x v="30"/>
          </reference>
          <reference field="7" count="3">
            <x v="19"/>
            <x v="351"/>
            <x v="352"/>
          </reference>
        </references>
      </pivotArea>
    </format>
    <format dxfId="227">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226">
      <pivotArea dataOnly="0" labelOnly="1" outline="0" fieldPosition="0">
        <references count="3">
          <reference field="4" count="1" selected="0">
            <x v="2"/>
          </reference>
          <reference field="5" count="1" selected="0">
            <x v="6"/>
          </reference>
          <reference field="7" count="1">
            <x v="248"/>
          </reference>
        </references>
      </pivotArea>
    </format>
    <format dxfId="225">
      <pivotArea dataOnly="0" labelOnly="1" outline="0" fieldPosition="0">
        <references count="3">
          <reference field="4" count="1" selected="0">
            <x v="2"/>
          </reference>
          <reference field="5" count="1" selected="0">
            <x v="7"/>
          </reference>
          <reference field="7" count="1">
            <x v="372"/>
          </reference>
        </references>
      </pivotArea>
    </format>
    <format dxfId="224">
      <pivotArea dataOnly="0" labelOnly="1" outline="0" fieldPosition="0">
        <references count="3">
          <reference field="4" count="1" selected="0">
            <x v="2"/>
          </reference>
          <reference field="5" count="1" selected="0">
            <x v="13"/>
          </reference>
          <reference field="7" count="1">
            <x v="250"/>
          </reference>
        </references>
      </pivotArea>
    </format>
    <format dxfId="223">
      <pivotArea dataOnly="0" labelOnly="1" outline="0" fieldPosition="0">
        <references count="3">
          <reference field="4" count="1" selected="0">
            <x v="2"/>
          </reference>
          <reference field="5" count="1" selected="0">
            <x v="20"/>
          </reference>
          <reference field="7" count="1">
            <x v="111"/>
          </reference>
        </references>
      </pivotArea>
    </format>
    <format dxfId="222">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154"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22">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4" level="1">
        <member name="[WWWW].[#_Water samples_Tested_at_water_source].&amp;[1]"/>
        <member name="[WWWW].[#_Water samples_Tested_at_water_source].&amp;[2]"/>
        <member name="[WWWW].[#_Water samples_Tested_at_water_source].&amp;[3]"/>
        <member name="[WWWW].[#_Water samples_Tested_at_water_source].&amp;[4]"/>
        <member name="[WWWW].[#_Water samples_Tested_at_water_source].&amp;[5]"/>
        <member name="[WWWW].[#_Water samples_Tested_at_water_source].&amp;[6]"/>
        <member name="[WWWW].[#_Water samples_Tested_at_water_source].&amp;[8]"/>
        <member name="[WWWW].[#_Water samples_Tested_at_water_source].&amp;[10]"/>
        <member name="[WWWW].[#_Water samples_Tested_at_water_source].&amp;[12]"/>
        <member name="[WWWW].[#_Water samples_Tested_at_water_source].&amp;[14]"/>
        <member name="[WWWW].[#_Water samples_Tested_at_water_source].&amp;[17]"/>
        <member name="[WWWW].[#_Water samples_Tested_at_water_source].&amp;[21]"/>
        <member name="[WWWW].[#_Water samples_Tested_at_water_source].&amp;[30]"/>
        <member name="[WWWW].[#_Water samples_Tested_at_water_source].&amp;[36]"/>
        <member name="[WWWW].[#_Water samples_Tested_at_water_source].&amp;[44]"/>
        <member name="[WWWW].[#_Water samples_Tested_at_water_source].&amp;[46]"/>
        <member name="[WWWW].[#_Water samples_Tested_at_water_source].&amp;[48]"/>
        <member name="[WWWW].[#_Water samples_Tested_at_water_source].&amp;[54]"/>
        <member name="[WWWW].[#_Water samples_Tested_at_water_source].&amp;[65]"/>
        <member name="[WWWW].[#_Water samples_Tested_at_water_source].&amp;[66]"/>
        <member name="[WWWW].[#_Water samples_Tested_at_water_source].&amp;[68]"/>
        <member name="[WWWW].[#_Water samples_Tested_at_water_source].&amp;[74]"/>
        <member name="[WWWW].[#_Water samples_Tested_at_water_source].&amp;[75]"/>
        <member name="[WWWW].[#_Water samples_Tested_at_water_source].&amp;[80]"/>
        <member name="[WWWW].[#_Water samples_Tested_at_water_source].&amp;[83]"/>
        <member name="[WWWW].[#_Water samples_Tested_at_water_source].&amp;[88]"/>
        <member name="[WWWW].[#_Water samples_Tested_at_water_source].&amp;[91]"/>
        <member name="[WWWW].[#_Water samples_Tested_at_water_source].&amp;[93]"/>
        <member name="[WWWW].[#_Water samples_Tested_at_water_source].&amp;[122]"/>
        <member name="[WWWW].[#_Water samples_Tested_at_water_source].&amp;[135]"/>
        <member name="[WWWW].[#_Water samples_Tested_at_water_source].&amp;[170]"/>
        <member name="[WWWW].[#_Water samples_Tested_at_water_source].&amp;[207]"/>
        <member name="[WWWW].[#_Water samples_Tested_at_water_source].&amp;[236]"/>
        <member name="[WWWW].[#_Water samples_Tested_at_water_source].&amp;[24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141"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22:C223" firstHeaderRow="0" firstDataRow="1" firstDataCol="0" rowPageCount="2" colPageCount="1"/>
  <pivotFields count="123">
    <pivotField axis="axisPage" subtotalTop="0" multipleItemSelectionAllowed="1" showAll="0">
      <items count="27">
        <item h="1"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5" item="0" hier="-1"/>
  </pageFields>
  <dataFields count="2">
    <dataField name="Average of %_of_women_and_girls_who_report_that_they_have_an_adequate_system_for_disposing_of_used_sanitary_pads" fld="47" subtotal="average" baseField="0" baseItem="1"/>
    <dataField name="Average of %_of_affected_people_who_report_handwashing_at_key_times" fld="48" subtotal="average" baseField="0" baseItem="1"/>
  </dataFields>
  <formats count="10">
    <format dxfId="279">
      <pivotArea type="all" dataOnly="0" outline="0" fieldPosition="0"/>
    </format>
    <format dxfId="278">
      <pivotArea type="all" dataOnly="0" outline="0" fieldPosition="0"/>
    </format>
    <format dxfId="277">
      <pivotArea outline="0" collapsedLevelsAreSubtotals="1" fieldPosition="0"/>
    </format>
    <format dxfId="276">
      <pivotArea field="4" type="button" dataOnly="0" labelOnly="1" outline="0"/>
    </format>
    <format dxfId="275">
      <pivotArea dataOnly="0" labelOnly="1" grandRow="1" outline="0" fieldPosition="0"/>
    </format>
    <format dxfId="274">
      <pivotArea type="all" dataOnly="0" outline="0" fieldPosition="0"/>
    </format>
    <format dxfId="273">
      <pivotArea outline="0" collapsedLevelsAreSubtotals="1" fieldPosition="0"/>
    </format>
    <format dxfId="272">
      <pivotArea field="4" type="button" dataOnly="0" labelOnly="1" outline="0"/>
    </format>
    <format dxfId="271">
      <pivotArea dataOnly="0" labelOnly="1" grandRow="1" outline="0" fieldPosition="0"/>
    </format>
    <format dxfId="270">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P102:S106" firstHeaderRow="0" firstDataRow="1" firstDataCol="1" rowPageCount="3"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05" hier="-1"/>
  </pageFields>
  <dataFields count="3">
    <dataField name="# latrines (target)" fld="78" baseField="0" baseItem="0"/>
    <dataField name="Sum of #_Functional_adult_latrines" fld="28" baseField="6" baseItem="0"/>
    <dataField name="Sum of Latrines_Gap" fld="122" baseField="0" baseItem="0"/>
  </dataFields>
  <formats count="12">
    <format dxfId="291">
      <pivotArea field="4" type="button" dataOnly="0" labelOnly="1" outline="0" axis="axisPage" fieldPosition="1"/>
    </format>
    <format dxfId="290">
      <pivotArea type="all" dataOnly="0" outline="0" fieldPosition="0"/>
    </format>
    <format dxfId="289">
      <pivotArea outline="0" collapsedLevelsAreSubtotals="1" fieldPosition="0"/>
    </format>
    <format dxfId="288">
      <pivotArea type="origin" dataOnly="0" labelOnly="1" outline="0" fieldPosition="0"/>
    </format>
    <format dxfId="287">
      <pivotArea type="topRight" dataOnly="0" labelOnly="1" outline="0" fieldPosition="0"/>
    </format>
    <format dxfId="286">
      <pivotArea field="-2" type="button" dataOnly="0" labelOnly="1" outline="0" axis="axisCol" fieldPosition="0"/>
    </format>
    <format dxfId="285">
      <pivotArea type="all" dataOnly="0" outline="0" fieldPosition="0"/>
    </format>
    <format dxfId="284">
      <pivotArea outline="0" collapsedLevelsAreSubtotals="1" fieldPosition="0"/>
    </format>
    <format dxfId="283">
      <pivotArea dataOnly="0" labelOnly="1" outline="0" fieldPosition="0">
        <references count="1">
          <reference field="4294967294" count="1">
            <x v="0"/>
          </reference>
        </references>
      </pivotArea>
    </format>
    <format dxfId="282">
      <pivotArea field="4" type="button" dataOnly="0" labelOnly="1" outline="0" axis="axisPage" fieldPosition="1"/>
    </format>
    <format dxfId="281">
      <pivotArea dataOnly="0" labelOnly="1" outline="0" fieldPosition="0">
        <references count="1">
          <reference field="4" count="1">
            <x v="1"/>
          </reference>
        </references>
      </pivotArea>
    </format>
    <format dxfId="280">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155"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22">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33" level="1">
        <member name="[WWWW].[#_Water samples_Tested_at_HH].&amp;[1]"/>
        <member name="[WWWW].[#_Water samples_Tested_at_HH].&amp;[2]"/>
        <member name="[WWWW].[#_Water samples_Tested_at_HH].&amp;[3]"/>
        <member name="[WWWW].[#_Water samples_Tested_at_HH].&amp;[4]"/>
        <member name="[WWWW].[#_Water samples_Tested_at_HH].&amp;[5]"/>
        <member name="[WWWW].[#_Water samples_Tested_at_HH].&amp;[6]"/>
        <member name="[WWWW].[#_Water samples_Tested_at_HH].&amp;[8]"/>
        <member name="[WWWW].[#_Water samples_Tested_at_HH].&amp;[18]"/>
        <member name="[WWWW].[#_Water samples_Tested_at_HH].&amp;[20]"/>
        <member name="[WWWW].[#_Water samples_Tested_at_HH].&amp;[46]"/>
        <member name="[WWWW].[#_Water samples_Tested_at_HH].&amp;[56]"/>
        <member name="[WWWW].[#_Water samples_Tested_at_HH].&amp;[60]"/>
        <member name="[WWWW].[#_Water samples_Tested_at_HH].&amp;[69]"/>
        <member name="[WWWW].[#_Water samples_Tested_at_HH].&amp;[72]"/>
        <member name="[WWWW].[#_Water samples_Tested_at_HH].&amp;[74]"/>
        <member name="[WWWW].[#_Water samples_Tested_at_HH].&amp;[76]"/>
        <member name="[WWWW].[#_Water samples_Tested_at_HH].&amp;[78]"/>
        <member name="[WWWW].[#_Water samples_Tested_at_HH].&amp;[81]"/>
        <member name="[WWWW].[#_Water samples_Tested_at_HH].&amp;[83]"/>
        <member name="[WWWW].[#_Water samples_Tested_at_HH].&amp;[84]"/>
        <member name="[WWWW].[#_Water samples_Tested_at_HH].&amp;[85]"/>
        <member name="[WWWW].[#_Water samples_Tested_at_HH].&amp;[88]"/>
        <member name="[WWWW].[#_Water samples_Tested_at_HH].&amp;[90]"/>
        <member name="[WWWW].[#_Water samples_Tested_at_HH].&amp;[97]"/>
        <member name="[WWWW].[#_Water samples_Tested_at_HH].&amp;[112]"/>
        <member name="[WWWW].[#_Water samples_Tested_at_HH].&amp;[114]"/>
        <member name="[WWWW].[#_Water samples_Tested_at_HH].&amp;[120]"/>
        <member name="[WWWW].[#_Water samples_Tested_at_HH].&amp;[122]"/>
        <member name="[WWWW].[#_Water samples_Tested_at_HH].&amp;[155]"/>
        <member name="[WWWW].[#_Water samples_Tested_at_HH].&amp;[177]"/>
        <member name="[WWWW].[#_Water samples_Tested_at_HH].&amp;[240]"/>
        <member name="[WWWW].[#_Water samples_Tested_at_HH].&amp;[248]"/>
        <member name="[WWWW].[#_Water samples_Tested_at_HH].&amp;[49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DA61142-5074-4237-832C-3812D1566100}" name="PivotTable8" cacheId="15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B8" firstHeaderRow="1" firstDataRow="1" firstDataCol="1"/>
  <pivotFields count="2">
    <pivotField axis="axisRow"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5">
    <i>
      <x/>
    </i>
    <i>
      <x v="1"/>
    </i>
    <i>
      <x v="2"/>
    </i>
    <i>
      <x v="3"/>
    </i>
    <i t="grand">
      <x/>
    </i>
  </rowItems>
  <colItems count="1">
    <i/>
  </colItems>
  <dataFields count="1">
    <dataField name="Distinct Count of WASH implementing agency" fld="1" subtotal="count" baseField="0" baseItem="0">
      <extLst>
        <ext xmlns:x15="http://schemas.microsoft.com/office/spreadsheetml/2010/11/main" uri="{FABC7310-3BB5-11E1-824E-6D434824019B}">
          <x15:dataField isCountDistinct="1"/>
        </ext>
      </extLst>
    </dataField>
  </dataFields>
  <chartFormats count="1">
    <chartFormat chart="1" format="0" series="1">
      <pivotArea type="data" outline="0" fieldPosition="0">
        <references count="1">
          <reference field="4294967294" count="1" selected="0">
            <x v="0"/>
          </reference>
        </references>
      </pivotArea>
    </chartFormat>
  </chartFormats>
  <pivotHierarchies count="12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WASH implementing agency"/>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141"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46:D51" firstHeaderRow="0" firstDataRow="1" firstDataCol="1" rowPageCount="2" colPageCount="1"/>
  <pivotFields count="123">
    <pivotField axis="axisRow" subtotalTop="0" multipleItemSelectionAllowed="1" showAll="0">
      <items count="27">
        <item m="1" x="24"/>
        <item m="1" x="10"/>
        <item m="1" x="17"/>
        <item h="1" m="1" x="4"/>
        <item m="1" x="25"/>
        <item m="1" x="6"/>
        <item m="1" x="23"/>
        <item m="1" x="19"/>
        <item m="1" x="21"/>
        <item m="1" x="22"/>
        <item m="1" x="13"/>
        <item m="1" x="15"/>
        <item m="1" x="20"/>
        <item m="1" x="18"/>
        <item m="1" x="8"/>
        <item m="1" x="11"/>
        <item m="1" x="14"/>
        <item m="1" x="16"/>
        <item m="1" x="5"/>
        <item m="1" x="7"/>
        <item m="1" x="9"/>
        <item m="1" x="12"/>
        <item x="0"/>
        <item x="1"/>
        <item x="2"/>
        <item x="3"/>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5">
    <i>
      <x v="22"/>
    </i>
    <i>
      <x v="23"/>
    </i>
    <i>
      <x v="24"/>
    </i>
    <i>
      <x v="25"/>
    </i>
    <i t="grand">
      <x/>
    </i>
  </rowItems>
  <colFields count="1">
    <field x="-2"/>
  </colFields>
  <colItems count="2">
    <i>
      <x/>
    </i>
    <i i="1">
      <x v="1"/>
    </i>
  </colItems>
  <pageFields count="2">
    <pageField fld="105"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300">
      <pivotArea field="4" type="button" dataOnly="0" labelOnly="1" outline="0"/>
    </format>
    <format dxfId="299">
      <pivotArea type="all" dataOnly="0" outline="0" fieldPosition="0"/>
    </format>
    <format dxfId="298">
      <pivotArea outline="0" collapsedLevelsAreSubtotals="1" fieldPosition="0"/>
    </format>
    <format dxfId="297">
      <pivotArea field="4" type="button" dataOnly="0" labelOnly="1" outline="0"/>
    </format>
    <format dxfId="296">
      <pivotArea type="all" dataOnly="0" outline="0" fieldPosition="0"/>
    </format>
    <format dxfId="295">
      <pivotArea type="all" dataOnly="0" outline="0" fieldPosition="0"/>
    </format>
    <format dxfId="294">
      <pivotArea outline="0" collapsedLevelsAreSubtotals="1" fieldPosition="0"/>
    </format>
    <format dxfId="293">
      <pivotArea field="4" type="button" dataOnly="0" labelOnly="1" outline="0"/>
    </format>
    <format dxfId="292">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141" dataOnRows="1"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chartFormat="11">
  <location ref="B236:C241" firstHeaderRow="1" firstDataRow="1" firstDataCol="1" rowPageCount="2" colPageCount="1"/>
  <pivotFields count="123">
    <pivotField axis="axisPage" subtotalTop="0" multipleItemSelectionAllowed="1" showAll="0">
      <items count="27">
        <item h="1"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49" subtotalTop="0" showAll="0"/>
    <pivotField numFmtId="49"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05" item="0" hier="-1"/>
  </pageFields>
  <dataFields count="5">
    <dataField name=" Total PoP " fld="9" baseField="0" baseItem="0"/>
    <dataField name="Men" fld="41" baseField="0" baseItem="0"/>
    <dataField name="Women" fld="42" baseField="0" baseItem="0"/>
    <dataField name="Boys" fld="43" baseField="0" baseItem="0"/>
    <dataField name="Girls" fld="44" baseField="0" baseItem="0"/>
  </dataFields>
  <formats count="10">
    <format dxfId="310">
      <pivotArea type="all" dataOnly="0" outline="0" fieldPosition="0"/>
    </format>
    <format dxfId="309">
      <pivotArea type="all" dataOnly="0" outline="0" fieldPosition="0"/>
    </format>
    <format dxfId="308">
      <pivotArea outline="0" collapsedLevelsAreSubtotals="1" fieldPosition="0"/>
    </format>
    <format dxfId="307">
      <pivotArea field="4" type="button" dataOnly="0" labelOnly="1" outline="0"/>
    </format>
    <format dxfId="306">
      <pivotArea dataOnly="0" labelOnly="1" grandRow="1" outline="0" fieldPosition="0"/>
    </format>
    <format dxfId="305">
      <pivotArea type="all" dataOnly="0" outline="0" fieldPosition="0"/>
    </format>
    <format dxfId="304">
      <pivotArea outline="0" collapsedLevelsAreSubtotals="1" fieldPosition="0"/>
    </format>
    <format dxfId="303">
      <pivotArea field="4" type="button" dataOnly="0" labelOnly="1" outline="0"/>
    </format>
    <format dxfId="302">
      <pivotArea dataOnly="0" labelOnly="1" grandRow="1" outline="0" fieldPosition="0"/>
    </format>
    <format dxfId="301">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141"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F254:G256" firstHeaderRow="1" firstDataRow="2" firstDataCol="1" rowPageCount="2" colPageCount="1"/>
  <pivotFields count="123">
    <pivotField axis="axisPage" subtotalTop="0" multipleItemSelectionAllowed="1" showAll="0">
      <items count="27">
        <item m="1" x="24"/>
        <item m="1" x="10"/>
        <item m="1" x="25"/>
        <item m="1" x="17"/>
        <item m="1" x="6"/>
        <item m="1" x="4"/>
        <item m="1" x="23"/>
        <item m="1" x="19"/>
        <item m="1" x="21"/>
        <item m="1" x="22"/>
        <item m="1" x="13"/>
        <item m="1" x="15"/>
        <item m="1" x="20"/>
        <item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1">
        <item x="0"/>
        <item m="1" x="2"/>
        <item m="1" x="9"/>
        <item m="1" x="8"/>
        <item m="1" x="1"/>
        <item m="1" x="4"/>
        <item m="1" x="3"/>
        <item m="1" x="5"/>
        <item m="1" x="7"/>
        <item m="1" x="10"/>
        <item m="1" x="6"/>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05"/>
  </colFields>
  <colItems count="1">
    <i>
      <x/>
    </i>
  </colItems>
  <pageFields count="2">
    <pageField fld="0" hier="-1"/>
    <pageField fld="4" hier="-1"/>
  </pageFields>
  <dataFields count="1">
    <dataField name="Count of Site Name" fld="7" subtotal="count" baseField="0" baseItem="0"/>
  </dataFields>
  <formats count="19">
    <format dxfId="329">
      <pivotArea type="all" dataOnly="0" outline="0" fieldPosition="0"/>
    </format>
    <format dxfId="328">
      <pivotArea outline="0" collapsedLevelsAreSubtotals="1" fieldPosition="0"/>
    </format>
    <format dxfId="327">
      <pivotArea field="4" type="button" dataOnly="0" labelOnly="1" outline="0" axis="axisPage" fieldPosition="1"/>
    </format>
    <format dxfId="326">
      <pivotArea dataOnly="0" labelOnly="1" fieldPosition="0">
        <references count="1">
          <reference field="4" count="0"/>
        </references>
      </pivotArea>
    </format>
    <format dxfId="325">
      <pivotArea dataOnly="0" labelOnly="1" grandRow="1" outline="0" fieldPosition="0"/>
    </format>
    <format dxfId="324">
      <pivotArea dataOnly="0" labelOnly="1" outline="0" fieldPosition="0">
        <references count="1">
          <reference field="4294967294" count="1">
            <x v="0"/>
          </reference>
        </references>
      </pivotArea>
    </format>
    <format dxfId="323">
      <pivotArea type="all" dataOnly="0" outline="0" fieldPosition="0"/>
    </format>
    <format dxfId="322">
      <pivotArea outline="0" collapsedLevelsAreSubtotals="1" fieldPosition="0"/>
    </format>
    <format dxfId="321">
      <pivotArea type="origin" dataOnly="0" labelOnly="1" outline="0" fieldPosition="0"/>
    </format>
    <format dxfId="320">
      <pivotArea field="105" type="button" dataOnly="0" labelOnly="1" outline="0" axis="axisCol" fieldPosition="0"/>
    </format>
    <format dxfId="319">
      <pivotArea type="topRight" dataOnly="0" labelOnly="1" outline="0" fieldPosition="0"/>
    </format>
    <format dxfId="318">
      <pivotArea dataOnly="0" labelOnly="1" fieldPosition="0">
        <references count="1">
          <reference field="105" count="0"/>
        </references>
      </pivotArea>
    </format>
    <format dxfId="317">
      <pivotArea type="all" dataOnly="0" outline="0" fieldPosition="0"/>
    </format>
    <format dxfId="316">
      <pivotArea outline="0" collapsedLevelsAreSubtotals="1" fieldPosition="0"/>
    </format>
    <format dxfId="315">
      <pivotArea dataOnly="0" labelOnly="1" fieldPosition="0">
        <references count="1">
          <reference field="105" count="0"/>
        </references>
      </pivotArea>
    </format>
    <format dxfId="314">
      <pivotArea field="4" type="button" dataOnly="0" labelOnly="1" outline="0" axis="axisPage" fieldPosition="1"/>
    </format>
    <format dxfId="313">
      <pivotArea dataOnly="0" labelOnly="1" outline="0" fieldPosition="0">
        <references count="2">
          <reference field="0" count="1" selected="0">
            <x v="7"/>
          </reference>
          <reference field="4" count="0"/>
        </references>
      </pivotArea>
    </format>
    <format dxfId="312">
      <pivotArea dataOnly="0" labelOnly="1" outline="0" fieldPosition="0">
        <references count="2">
          <reference field="0" count="1" selected="0">
            <x v="8"/>
          </reference>
          <reference field="4" count="0"/>
        </references>
      </pivotArea>
    </format>
    <format dxfId="311">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05" count="1" selected="0">
            <x v="0"/>
          </reference>
        </references>
      </pivotArea>
    </chartFormat>
    <chartFormat chart="1" format="1" series="1">
      <pivotArea type="data" outline="0" fieldPosition="0">
        <references count="2">
          <reference field="4294967294" count="1" selected="0">
            <x v="0"/>
          </reference>
          <reference field="105" count="1" selected="0">
            <x v="1"/>
          </reference>
        </references>
      </pivotArea>
    </chartFormat>
    <chartFormat chart="9" format="8" series="1">
      <pivotArea type="data" outline="0" fieldPosition="0">
        <references count="2">
          <reference field="4294967294" count="1" selected="0">
            <x v="0"/>
          </reference>
          <reference field="105" count="1" selected="0">
            <x v="0"/>
          </reference>
        </references>
      </pivotArea>
    </chartFormat>
    <chartFormat chart="9" format="9" series="1">
      <pivotArea type="data" outline="0" fieldPosition="0">
        <references count="2">
          <reference field="4294967294" count="1" selected="0">
            <x v="0"/>
          </reference>
          <reference field="105" count="1" selected="0">
            <x v="1"/>
          </reference>
        </references>
      </pivotArea>
    </chartFormat>
    <chartFormat chart="16" format="8" series="1">
      <pivotArea type="data" outline="0" fieldPosition="0">
        <references count="2">
          <reference field="4294967294" count="1" selected="0">
            <x v="0"/>
          </reference>
          <reference field="105" count="1" selected="0">
            <x v="0"/>
          </reference>
        </references>
      </pivotArea>
    </chartFormat>
    <chartFormat chart="16" format="9" series="1">
      <pivotArea type="data" outline="0" fieldPosition="0">
        <references count="2">
          <reference field="4294967294" count="1" selected="0">
            <x v="0"/>
          </reference>
          <reference field="105"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14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rowHeaderCaption="Township">
  <location ref="J109:M114" firstHeaderRow="0" firstDataRow="1" firstDataCol="1" rowPageCount="1" colPageCount="1"/>
  <pivotFields count="123">
    <pivotField axis="axisPage" multipleItemSelectionAllowed="1" showAll="0">
      <items count="27">
        <item m="1" x="23"/>
        <item m="1" x="24"/>
        <item m="1" x="10"/>
        <item m="1" x="25"/>
        <item m="1" x="17"/>
        <item m="1" x="19"/>
        <item m="1" x="21"/>
        <item m="1" x="22"/>
        <item m="1" x="6"/>
        <item m="1" x="13"/>
        <item m="1" x="15"/>
        <item m="1" x="18"/>
        <item m="1" x="20"/>
        <item h="1" m="1" x="8"/>
        <item h="1" m="1" x="11"/>
        <item h="1" m="1" x="14"/>
        <item m="1" x="4"/>
        <item m="1" x="16"/>
        <item h="1" m="1" x="5"/>
        <item h="1" m="1" x="7"/>
        <item h="1" m="1" x="9"/>
        <item m="1" x="12"/>
        <item h="1" x="0"/>
        <item h="1" x="1"/>
        <item h="1" x="2"/>
        <item x="3"/>
        <item t="default"/>
      </items>
    </pivotField>
    <pivotField showAll="0"/>
    <pivotField showAll="0"/>
    <pivotField showAll="0"/>
    <pivotField showAll="0"/>
    <pivotField axis="axisRow"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28" baseField="0" baseItem="0"/>
    <dataField name="Average of Latrine Usage (PPL:1latrine)" fld="75" subtotal="average" baseField="5" baseItem="9" numFmtId="164"/>
  </dataFields>
  <formats count="1">
    <format dxfId="3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141" applyNumberFormats="0" applyBorderFormats="0" applyFontFormats="0" applyPatternFormats="0" applyAlignmentFormats="0" applyWidthHeightFormats="1" dataCaption="Values" updatedVersion="7" minRefreshableVersion="3" itemPrintTitles="1" createdVersion="6" indent="0" compact="0" compactData="0" multipleFieldFilters="0" rowHeaderCaption="Township">
  <location ref="I10:J18" firstHeaderRow="1" firstDataRow="1" firstDataCol="2" rowPageCount="5" colPageCount="1"/>
  <pivotFields count="123">
    <pivotField axis="axisPage" compact="0" outline="0" subtotalTop="0" showAll="0" defaultSubtotal="0">
      <items count="26">
        <item m="1" x="24"/>
        <item m="1" x="10"/>
        <item m="1" x="17"/>
        <item m="1" x="4"/>
        <item m="1" x="25"/>
        <item m="1" x="6"/>
        <item m="1" x="23"/>
        <item m="1" x="19"/>
        <item m="1" x="21"/>
        <item m="1" x="22"/>
        <item m="1" x="13"/>
        <item n="2019 Q2" m="1" x="15"/>
        <item m="1" x="20"/>
        <item m="1" x="18"/>
        <item m="1" x="8"/>
        <item m="1" x="11"/>
        <item m="1" x="14"/>
        <item m="1" x="16"/>
        <item m="1" x="5"/>
        <item m="1" x="7"/>
        <item m="1" x="9"/>
        <item m="1" x="12"/>
        <item x="0"/>
        <item x="1"/>
        <item x="2"/>
        <item x="3"/>
      </items>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2"/>
        <item x="0"/>
        <item h="1" m="1" x="4"/>
        <item m="1" x="1"/>
        <item m="1" x="5"/>
        <item m="1" x="3"/>
      </items>
    </pivotField>
    <pivotField axis="axisRow" compact="0" outline="0" subtotalTop="0" showAll="0" sortType="ascending" defaultSubtotal="0">
      <items count="41">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s>
    </pivotField>
    <pivotField axis="axisPage" compact="0" outline="0" multipleItemSelectionAllowed="1" showAll="0" defaultSubtotal="0">
      <items count="11">
        <item x="0"/>
        <item m="1" x="2"/>
        <item m="1" x="9"/>
        <item m="1" x="8"/>
        <item h="1" m="1" x="1"/>
        <item h="1" m="1" x="4"/>
        <item h="1" m="1" x="3"/>
        <item h="1" m="1" x="5"/>
        <item m="1" x="7"/>
        <item h="1" m="1" x="10"/>
        <item h="1" m="1" x="6"/>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5" hier="-1"/>
    <pageField fld="105" hier="-1"/>
    <pageField fld="4" hier="-1"/>
    <pageField fld="6" hier="-1"/>
    <pageField fld="7" hier="-1"/>
  </pageFields>
  <formats count="31">
    <format dxfId="361">
      <pivotArea type="all" dataOnly="0" outline="0" fieldPosition="0"/>
    </format>
    <format dxfId="360">
      <pivotArea outline="0" collapsedLevelsAreSubtotals="1" fieldPosition="0"/>
    </format>
    <format dxfId="359">
      <pivotArea field="5" type="button" dataOnly="0" labelOnly="1" outline="0" axis="axisRow" fieldPosition="0"/>
    </format>
    <format dxfId="358">
      <pivotArea dataOnly="0" labelOnly="1" outline="0" axis="axisValues" fieldPosition="0"/>
    </format>
    <format dxfId="357">
      <pivotArea dataOnly="0" labelOnly="1" fieldPosition="0">
        <references count="1">
          <reference field="5" count="0"/>
        </references>
      </pivotArea>
    </format>
    <format dxfId="356">
      <pivotArea dataOnly="0" labelOnly="1" grandRow="1" outline="0" fieldPosition="0"/>
    </format>
    <format dxfId="355">
      <pivotArea dataOnly="0" labelOnly="1" outline="0" axis="axisValues" fieldPosition="0"/>
    </format>
    <format dxfId="354">
      <pivotArea type="all" dataOnly="0" outline="0" fieldPosition="0"/>
    </format>
    <format dxfId="353">
      <pivotArea field="5" type="button" dataOnly="0" labelOnly="1" outline="0" axis="axisRow" fieldPosition="0"/>
    </format>
    <format dxfId="352">
      <pivotArea dataOnly="0" labelOnly="1" outline="0" axis="axisValues" fieldPosition="0"/>
    </format>
    <format dxfId="351">
      <pivotArea dataOnly="0" labelOnly="1" fieldPosition="0">
        <references count="1">
          <reference field="5" count="0"/>
        </references>
      </pivotArea>
    </format>
    <format dxfId="350">
      <pivotArea dataOnly="0" labelOnly="1" outline="0" axis="axisValues" fieldPosition="0"/>
    </format>
    <format dxfId="349">
      <pivotArea field="5" type="button" dataOnly="0" labelOnly="1" outline="0" axis="axisRow" fieldPosition="0"/>
    </format>
    <format dxfId="348">
      <pivotArea type="all" dataOnly="0" outline="0" fieldPosition="0"/>
    </format>
    <format dxfId="347">
      <pivotArea field="5" type="button" dataOnly="0" labelOnly="1" outline="0" axis="axisRow" fieldPosition="0"/>
    </format>
    <format dxfId="346">
      <pivotArea type="all" dataOnly="0" outline="0" fieldPosition="0"/>
    </format>
    <format dxfId="345">
      <pivotArea outline="0" collapsedLevelsAreSubtotals="1" fieldPosition="0"/>
    </format>
    <format dxfId="344">
      <pivotArea field="5" type="button" dataOnly="0" labelOnly="1" outline="0" axis="axisRow" fieldPosition="0"/>
    </format>
    <format dxfId="343">
      <pivotArea dataOnly="0" labelOnly="1" fieldPosition="0">
        <references count="1">
          <reference field="5" count="2">
            <x v="30"/>
            <x v="36"/>
          </reference>
        </references>
      </pivotArea>
    </format>
    <format dxfId="342">
      <pivotArea field="5" type="button" dataOnly="0" labelOnly="1" outline="0" axis="axisRow" fieldPosition="0"/>
    </format>
    <format dxfId="341">
      <pivotArea type="all" dataOnly="0" outline="0" fieldPosition="0"/>
    </format>
    <format dxfId="340">
      <pivotArea outline="0" collapsedLevelsAreSubtotals="1" fieldPosition="0"/>
    </format>
    <format dxfId="339">
      <pivotArea field="5" type="button" dataOnly="0" labelOnly="1" outline="0" axis="axisRow" fieldPosition="0"/>
    </format>
    <format dxfId="338">
      <pivotArea dataOnly="0" labelOnly="1" fieldPosition="0">
        <references count="1">
          <reference field="5" count="5">
            <x v="9"/>
            <x v="10"/>
            <x v="23"/>
            <x v="30"/>
            <x v="36"/>
          </reference>
        </references>
      </pivotArea>
    </format>
    <format dxfId="337">
      <pivotArea dataOnly="0" labelOnly="1" grandRow="1" outline="0" fieldPosition="0"/>
    </format>
    <format dxfId="336">
      <pivotArea field="4" type="button" dataOnly="0" labelOnly="1" outline="0" axis="axisPage" fieldPosition="2"/>
    </format>
    <format dxfId="335">
      <pivotArea dataOnly="0" labelOnly="1" outline="0" fieldPosition="0">
        <references count="2">
          <reference field="0" count="1" selected="0">
            <x v="7"/>
          </reference>
          <reference field="4" count="1">
            <x v="1"/>
          </reference>
        </references>
      </pivotArea>
    </format>
    <format dxfId="334">
      <pivotArea dataOnly="0" labelOnly="1" outline="0" fieldPosition="0">
        <references count="2">
          <reference field="0" count="1" selected="0">
            <x v="8"/>
          </reference>
          <reference field="4" count="1">
            <x v="1"/>
          </reference>
        </references>
      </pivotArea>
    </format>
    <format dxfId="333">
      <pivotArea dataOnly="0" labelOnly="1" outline="0" fieldPosition="0">
        <references count="2">
          <reference field="0" count="1" selected="0">
            <x v="9"/>
          </reference>
          <reference field="4" count="1">
            <x v="1"/>
          </reference>
        </references>
      </pivotArea>
    </format>
    <format dxfId="332">
      <pivotArea dataOnly="0" labelOnly="1" outline="0" fieldPosition="0">
        <references count="2">
          <reference field="0" count="1" selected="0">
            <x v="10"/>
          </reference>
          <reference field="4" count="0"/>
        </references>
      </pivotArea>
    </format>
    <format dxfId="331">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5" item="0" hier="-1"/>
    <pageField fld="4" item="1" hier="-1"/>
  </pageFields>
  <dataFields count="2">
    <dataField name="  % Hygiene Coverage" fld="116" baseField="0" baseItem="0" numFmtId="1"/>
    <dataField name="  % Hygiene Gap" fld="115" baseField="0" baseItem="0" numFmtId="1"/>
  </dataFields>
  <formats count="11">
    <format dxfId="372">
      <pivotArea type="all" dataOnly="0" outline="0" fieldPosition="0"/>
    </format>
    <format dxfId="371">
      <pivotArea outline="0" collapsedLevelsAreSubtotals="1" fieldPosition="0"/>
    </format>
    <format dxfId="370">
      <pivotArea field="4" type="button" dataOnly="0" labelOnly="1" outline="0" axis="axisPage" fieldPosition="2"/>
    </format>
    <format dxfId="369">
      <pivotArea type="all" dataOnly="0" outline="0" fieldPosition="0"/>
    </format>
    <format dxfId="368">
      <pivotArea outline="0" collapsedLevelsAreSubtotals="1" fieldPosition="0"/>
    </format>
    <format dxfId="367">
      <pivotArea outline="0" collapsedLevelsAreSubtotals="1" fieldPosition="0"/>
    </format>
    <format dxfId="366">
      <pivotArea field="5" type="button" dataOnly="0" labelOnly="1" outline="0" axis="axisRow" fieldPosition="0"/>
    </format>
    <format dxfId="365">
      <pivotArea field="5" type="button" dataOnly="0" labelOnly="1" outline="0" axis="axisRow" fieldPosition="0"/>
    </format>
    <format dxfId="364">
      <pivotArea field="5" type="button" dataOnly="0" labelOnly="1" outline="0" axis="axisRow" fieldPosition="0"/>
    </format>
    <format dxfId="363">
      <pivotArea field="4" type="button" dataOnly="0" labelOnly="1" outline="0" axis="axisPage" fieldPosition="2"/>
    </format>
    <format dxfId="362">
      <pivotArea dataOnly="0" labelOnly="1" outline="0" fieldPosition="0">
        <references count="2">
          <reference field="4" count="1">
            <x v="0"/>
          </reference>
          <reference field="105"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L30:P31" firstHeaderRow="0" firstDataRow="1"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05"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379">
      <pivotArea type="all" dataOnly="0" outline="0" fieldPosition="0"/>
    </format>
    <format dxfId="378">
      <pivotArea outline="0" collapsedLevelsAreSubtotals="1" fieldPosition="0"/>
    </format>
    <format dxfId="377">
      <pivotArea type="all" dataOnly="0" outline="0" fieldPosition="0"/>
    </format>
    <format dxfId="376">
      <pivotArea type="all" dataOnly="0" outline="0" fieldPosition="0"/>
    </format>
    <format dxfId="375">
      <pivotArea outline="0" collapsedLevelsAreSubtotals="1" fieldPosition="0"/>
    </format>
    <format dxfId="374">
      <pivotArea field="4" type="button" dataOnly="0" labelOnly="1" outline="0" axis="axisPage" fieldPosition="1"/>
    </format>
    <format dxfId="373">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141"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23">
    <pivotField axis="axisPage" subtotalTop="0" multipleItemSelectionAllowed="1" showAll="0">
      <items count="27">
        <item m="1" x="24"/>
        <item m="1" x="10"/>
        <item m="1" x="25"/>
        <item m="1" x="17"/>
        <item m="1" x="6"/>
        <item m="1" x="4"/>
        <item m="1" x="23"/>
        <item m="1" x="19"/>
        <item m="1" x="21"/>
        <item m="1" x="22"/>
        <item m="1" x="13"/>
        <item m="1" x="15"/>
        <item m="1" x="20"/>
        <item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05" hier="-1"/>
  </pageFields>
  <dataFields count="4">
    <dataField name=" #_PPL_accessed_water_in_TLS" fld="25" baseField="0" baseItem="0"/>
    <dataField name=" #_PPL_accessed_water_in_THF" fld="26" baseField="4" baseItem="1"/>
    <dataField name="# students access to functioning school latrines" fld="76" baseField="0" baseItem="0"/>
    <dataField name="Sum of # people access to functioning latrines in THF_HRP6" fld="77" baseField="0" baseItem="0"/>
  </dataFields>
  <formats count="17">
    <format dxfId="396">
      <pivotArea type="all" dataOnly="0" outline="0" fieldPosition="0"/>
    </format>
    <format dxfId="395">
      <pivotArea outline="0" collapsedLevelsAreSubtotals="1" fieldPosition="0"/>
    </format>
    <format dxfId="394">
      <pivotArea field="4" type="button" dataOnly="0" labelOnly="1" outline="0"/>
    </format>
    <format dxfId="393">
      <pivotArea dataOnly="0" labelOnly="1" grandRow="1" outline="0" fieldPosition="0"/>
    </format>
    <format dxfId="392">
      <pivotArea type="all" dataOnly="0" outline="0" fieldPosition="0"/>
    </format>
    <format dxfId="391">
      <pivotArea outline="0" collapsedLevelsAreSubtotals="1" fieldPosition="0"/>
    </format>
    <format dxfId="390">
      <pivotArea type="origin" dataOnly="0" labelOnly="1" outline="0" fieldPosition="0"/>
    </format>
    <format dxfId="389">
      <pivotArea field="105" type="button" dataOnly="0" labelOnly="1" outline="0" axis="axisPage" fieldPosition="1"/>
    </format>
    <format dxfId="388">
      <pivotArea type="topRight" dataOnly="0" labelOnly="1" outline="0" fieldPosition="0"/>
    </format>
    <format dxfId="387">
      <pivotArea dataOnly="0" labelOnly="1" fieldPosition="0">
        <references count="1">
          <reference field="105" count="0"/>
        </references>
      </pivotArea>
    </format>
    <format dxfId="386">
      <pivotArea type="all" dataOnly="0" outline="0" fieldPosition="0"/>
    </format>
    <format dxfId="385">
      <pivotArea outline="0" collapsedLevelsAreSubtotals="1" fieldPosition="0"/>
    </format>
    <format dxfId="384">
      <pivotArea field="4" type="button" dataOnly="0" labelOnly="1" outline="0"/>
    </format>
    <format dxfId="383">
      <pivotArea outline="0" collapsedLevelsAreSubtotals="1" fieldPosition="0"/>
    </format>
    <format dxfId="382">
      <pivotArea field="4" type="button" dataOnly="0" labelOnly="1" outline="0"/>
    </format>
    <format dxfId="381">
      <pivotArea field="4" type="button" dataOnly="0" labelOnly="1" outline="0"/>
    </format>
    <format dxfId="380">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23">
    <pivotField axis="axisPage" subtotalTop="0" multipleItemSelectionAllowed="1" showAll="0">
      <items count="27">
        <item m="1" x="24"/>
        <item m="1" x="10"/>
        <item m="1" x="25"/>
        <item m="1" x="17"/>
        <item m="1" x="6"/>
        <item m="1" x="4"/>
        <item m="1" x="23"/>
        <item m="1" x="19"/>
        <item m="1" x="21"/>
        <item m="1" x="22"/>
        <item m="1" x="13"/>
        <item m="1" x="15"/>
        <item m="1" x="20"/>
        <item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05" hier="-1"/>
  </pageFields>
  <dataFields count="4">
    <dataField name="Average of %_of_affected_people_surveyed_who_report_feeling_satistfied_with_the_latrine_design_and_sanitation_service" fld="51" subtotal="average" baseField="0" baseItem="1"/>
    <dataField name="Average of %_of_affected_people_surveyed_who_report_feeling_satistfied_with_the_water_point_design_and_water_service" fld="52" subtotal="average" baseField="0" baseItem="1"/>
    <dataField name="Average of %_of_complaints_received_that_result_in_timely_corrective_action_and_feedback_to_the_community" fld="54" subtotal="average" baseField="10" baseItem="0"/>
    <dataField name="Average of %_of_affected_people_surveyed_who_report_feeling_informed_about_the_different_WASH_services_available_to_them" fld="53" subtotal="average" baseField="0" baseItem="3"/>
  </dataFields>
  <formats count="17">
    <format dxfId="413">
      <pivotArea type="all" dataOnly="0" outline="0" fieldPosition="0"/>
    </format>
    <format dxfId="412">
      <pivotArea outline="0" collapsedLevelsAreSubtotals="1" fieldPosition="0"/>
    </format>
    <format dxfId="411">
      <pivotArea field="4" type="button" dataOnly="0" labelOnly="1" outline="0"/>
    </format>
    <format dxfId="410">
      <pivotArea dataOnly="0" labelOnly="1" grandRow="1" outline="0" fieldPosition="0"/>
    </format>
    <format dxfId="409">
      <pivotArea type="all" dataOnly="0" outline="0" fieldPosition="0"/>
    </format>
    <format dxfId="408">
      <pivotArea outline="0" collapsedLevelsAreSubtotals="1" fieldPosition="0"/>
    </format>
    <format dxfId="407">
      <pivotArea type="origin" dataOnly="0" labelOnly="1" outline="0" fieldPosition="0"/>
    </format>
    <format dxfId="406">
      <pivotArea field="105" type="button" dataOnly="0" labelOnly="1" outline="0" axis="axisPage" fieldPosition="1"/>
    </format>
    <format dxfId="405">
      <pivotArea type="topRight" dataOnly="0" labelOnly="1" outline="0" fieldPosition="0"/>
    </format>
    <format dxfId="404">
      <pivotArea dataOnly="0" labelOnly="1" fieldPosition="0">
        <references count="1">
          <reference field="105" count="0"/>
        </references>
      </pivotArea>
    </format>
    <format dxfId="403">
      <pivotArea type="all" dataOnly="0" outline="0" fieldPosition="0"/>
    </format>
    <format dxfId="402">
      <pivotArea outline="0" collapsedLevelsAreSubtotals="1" fieldPosition="0"/>
    </format>
    <format dxfId="401">
      <pivotArea field="4" type="button" dataOnly="0" labelOnly="1" outline="0"/>
    </format>
    <format dxfId="400">
      <pivotArea field="4" type="button" dataOnly="0" labelOnly="1" outline="0"/>
    </format>
    <format dxfId="399">
      <pivotArea field="4" type="button" dataOnly="0" labelOnly="1" outline="0"/>
    </format>
    <format dxfId="398">
      <pivotArea field="4" type="button" dataOnly="0" labelOnly="1" outline="0"/>
    </format>
    <format dxfId="397">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141"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193:G195" firstHeaderRow="0" firstDataRow="1" firstDataCol="1" rowPageCount="3" colPageCount="1"/>
  <pivotFields count="123">
    <pivotField axis="axisPage" subtotalTop="0" multipleItemSelectionAllowed="1" showAll="0">
      <items count="27">
        <item h="1"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5">
    <i>
      <x/>
    </i>
    <i i="1">
      <x v="1"/>
    </i>
    <i i="2">
      <x v="2"/>
    </i>
    <i i="3">
      <x v="3"/>
    </i>
    <i i="4">
      <x v="4"/>
    </i>
  </colItems>
  <pageFields count="3">
    <pageField fld="0" hier="-1"/>
    <pageField fld="105" item="0" hier="-1"/>
    <pageField fld="6" hier="-1"/>
  </pageFields>
  <dataFields count="5">
    <dataField name="Sum of Total PoP " fld="9" baseField="0" baseItem="0"/>
    <dataField name="Sum of # people reached by regular dedicated hygiene promotion_5" fld="82" baseField="0" baseItem="0"/>
    <dataField name="Sum of #_of_affected_women_and_girls_receiving_a_sufficient_quantity_of_sanitary_pads" fld="46" baseField="0" baseItem="0"/>
    <dataField name="Sum of #_of_affected_households_receiving_a_sufficient_quantity_of_soap" fld="45" baseField="0" baseItem="0"/>
    <dataField name="Sum of Total HH" fld="8" baseField="0" baseItem="0"/>
  </dataFields>
  <formats count="12">
    <format dxfId="425">
      <pivotArea type="all" dataOnly="0" outline="0" fieldPosition="0"/>
    </format>
    <format dxfId="424">
      <pivotArea type="all" dataOnly="0" outline="0" fieldPosition="0"/>
    </format>
    <format dxfId="423">
      <pivotArea outline="0" collapsedLevelsAreSubtotals="1" fieldPosition="0"/>
    </format>
    <format dxfId="422">
      <pivotArea field="4" type="button" dataOnly="0" labelOnly="1" outline="0" axis="axisRow" fieldPosition="0"/>
    </format>
    <format dxfId="421">
      <pivotArea dataOnly="0" labelOnly="1" fieldPosition="0">
        <references count="1">
          <reference field="4" count="0"/>
        </references>
      </pivotArea>
    </format>
    <format dxfId="420">
      <pivotArea dataOnly="0" labelOnly="1" grandRow="1" outline="0" fieldPosition="0"/>
    </format>
    <format dxfId="419">
      <pivotArea type="all" dataOnly="0" outline="0" fieldPosition="0"/>
    </format>
    <format dxfId="418">
      <pivotArea outline="0" collapsedLevelsAreSubtotals="1" fieldPosition="0"/>
    </format>
    <format dxfId="417">
      <pivotArea field="4" type="button" dataOnly="0" labelOnly="1" outline="0" axis="axisRow" fieldPosition="0"/>
    </format>
    <format dxfId="416">
      <pivotArea dataOnly="0" labelOnly="1" fieldPosition="0">
        <references count="1">
          <reference field="4" count="0"/>
        </references>
      </pivotArea>
    </format>
    <format dxfId="415">
      <pivotArea dataOnly="0" labelOnly="1" grandRow="1" outline="0" fieldPosition="0"/>
    </format>
    <format dxfId="414">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141" applyNumberFormats="0" applyBorderFormats="0" applyFontFormats="0" applyPatternFormats="0" applyAlignmentFormats="0" applyWidthHeightFormats="1" dataCaption="Values" updatedVersion="7" minRefreshableVersion="3" colGrandTotals="0" itemPrintTitles="1" createdVersion="6" indent="0" showHeaders="0" outline="1" outlineData="1" multipleFieldFilters="0">
  <location ref="B6:J12" firstHeaderRow="0" firstDataRow="1" firstDataCol="1" rowPageCount="1" colPageCount="1"/>
  <pivotFields count="123">
    <pivotField axis="axisRow" subtotalTop="0" showAll="0" defaultSubtotal="0">
      <items count="26">
        <item m="1" x="24"/>
        <item m="1" x="17"/>
        <item m="1" x="4"/>
        <item m="1" x="10"/>
        <item m="1" x="25"/>
        <item m="1" x="6"/>
        <item m="1" x="23"/>
        <item m="1" x="19"/>
        <item m="1" x="21"/>
        <item m="1" x="22"/>
        <item m="1" x="13"/>
        <item m="1" x="15"/>
        <item m="1" x="20"/>
        <item m="1" x="18"/>
        <item m="1" x="8"/>
        <item m="1" x="11"/>
        <item m="1" x="14"/>
        <item m="1" x="16"/>
        <item m="1" x="5"/>
        <item m="1" x="7"/>
        <item m="1" x="9"/>
        <item m="1" x="12"/>
        <item x="0"/>
        <item x="1"/>
        <item x="2"/>
        <item x="3"/>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ubtotalTop="0"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2">
    <field x="4"/>
    <field x="0"/>
  </rowFields>
  <rowItems count="6">
    <i>
      <x v="1"/>
    </i>
    <i r="1">
      <x v="22"/>
    </i>
    <i r="1">
      <x v="23"/>
    </i>
    <i r="1">
      <x v="24"/>
    </i>
    <i r="1">
      <x v="25"/>
    </i>
    <i t="grand">
      <x/>
    </i>
  </rowItems>
  <colFields count="1">
    <field x="-2"/>
  </colFields>
  <colItems count="8">
    <i>
      <x/>
    </i>
    <i i="1">
      <x v="1"/>
    </i>
    <i i="2">
      <x v="2"/>
    </i>
    <i i="3">
      <x v="3"/>
    </i>
    <i i="4">
      <x v="4"/>
    </i>
    <i i="5">
      <x v="5"/>
    </i>
    <i i="6">
      <x v="6"/>
    </i>
    <i i="7">
      <x v="7"/>
    </i>
  </colItems>
  <pageFields count="1">
    <pageField fld="105" item="0" hier="-1"/>
  </pageFields>
  <dataFields count="8">
    <dataField name="Total Population reached" fld="9" baseField="2" baseItem="0" numFmtId="3"/>
    <dataField name=" HRP1" fld="67" baseField="4" baseItem="0"/>
    <dataField name=" HRP2" fld="74" baseField="0" baseItem="0"/>
    <dataField name=" HRP3" fld="87" baseField="0" baseItem="0"/>
    <dataField name="HRP4 " fld="94" baseField="4" baseItem="4"/>
    <dataField name=" HRP5" fld="95" baseField="4" baseItem="4"/>
    <dataField name=" # People received regular supply of hygiene items" fld="86" baseField="0" baseItem="0"/>
    <dataField name=" # people reached by regular dedicated hygiene promotion" fld="82" baseField="0" baseItem="0"/>
  </dataFields>
  <formats count="50">
    <format dxfId="590">
      <pivotArea field="4" type="button" dataOnly="0" labelOnly="1" outline="0" axis="axisRow" fieldPosition="0"/>
    </format>
    <format dxfId="589">
      <pivotArea type="all" dataOnly="0" outline="0" fieldPosition="0"/>
    </format>
    <format dxfId="588">
      <pivotArea field="4" type="button" dataOnly="0" labelOnly="1" outline="0" axis="axisRow" fieldPosition="0"/>
    </format>
    <format dxfId="587">
      <pivotArea outline="0" fieldPosition="0">
        <references count="1">
          <reference field="4294967294" count="1">
            <x v="0"/>
          </reference>
        </references>
      </pivotArea>
    </format>
    <format dxfId="586">
      <pivotArea dataOnly="0" labelOnly="1" outline="0" fieldPosition="0">
        <references count="1">
          <reference field="4294967294" count="1">
            <x v="0"/>
          </reference>
        </references>
      </pivotArea>
    </format>
    <format dxfId="585">
      <pivotArea type="all" dataOnly="0" outline="0" fieldPosition="0"/>
    </format>
    <format dxfId="584">
      <pivotArea outline="0" collapsedLevelsAreSubtotals="1" fieldPosition="0"/>
    </format>
    <format dxfId="583">
      <pivotArea dataOnly="0" labelOnly="1" fieldPosition="0">
        <references count="1">
          <reference field="4" count="0"/>
        </references>
      </pivotArea>
    </format>
    <format dxfId="582">
      <pivotArea dataOnly="0" labelOnly="1" grandRow="1" outline="0" fieldPosition="0"/>
    </format>
    <format dxfId="581">
      <pivotArea dataOnly="0" labelOnly="1" outline="0" fieldPosition="0">
        <references count="1">
          <reference field="4294967294" count="1">
            <x v="0"/>
          </reference>
        </references>
      </pivotArea>
    </format>
    <format dxfId="580">
      <pivotArea type="all" dataOnly="0" outline="0" fieldPosition="0"/>
    </format>
    <format dxfId="579">
      <pivotArea outline="0" collapsedLevelsAreSubtotals="1" fieldPosition="0"/>
    </format>
    <format dxfId="578">
      <pivotArea dataOnly="0" labelOnly="1" fieldPosition="0">
        <references count="1">
          <reference field="4" count="0"/>
        </references>
      </pivotArea>
    </format>
    <format dxfId="577">
      <pivotArea dataOnly="0" labelOnly="1" grandRow="1" outline="0" fieldPosition="0"/>
    </format>
    <format dxfId="576">
      <pivotArea dataOnly="0" labelOnly="1" outline="0" fieldPosition="0">
        <references count="1">
          <reference field="4294967294" count="1">
            <x v="0"/>
          </reference>
        </references>
      </pivotArea>
    </format>
    <format dxfId="575">
      <pivotArea outline="0" collapsedLevelsAreSubtotals="1" fieldPosition="0"/>
    </format>
    <format dxfId="574">
      <pivotArea outline="0" collapsedLevelsAreSubtotals="1" fieldPosition="0">
        <references count="1">
          <reference field="4294967294" count="1" selected="0">
            <x v="1"/>
          </reference>
        </references>
      </pivotArea>
    </format>
    <format dxfId="573">
      <pivotArea dataOnly="0" labelOnly="1" outline="0" fieldPosition="0">
        <references count="1">
          <reference field="4294967294" count="1">
            <x v="1"/>
          </reference>
        </references>
      </pivotArea>
    </format>
    <format dxfId="572">
      <pivotArea outline="0" collapsedLevelsAreSubtotals="1" fieldPosition="0">
        <references count="1">
          <reference field="4294967294" count="1" selected="0">
            <x v="1"/>
          </reference>
        </references>
      </pivotArea>
    </format>
    <format dxfId="571">
      <pivotArea dataOnly="0" labelOnly="1" outline="0" fieldPosition="0">
        <references count="1">
          <reference field="4294967294" count="1">
            <x v="1"/>
          </reference>
        </references>
      </pivotArea>
    </format>
    <format dxfId="570">
      <pivotArea outline="0" collapsedLevelsAreSubtotals="1" fieldPosition="0">
        <references count="1">
          <reference field="4294967294" count="1" selected="0">
            <x v="2"/>
          </reference>
        </references>
      </pivotArea>
    </format>
    <format dxfId="569">
      <pivotArea dataOnly="0" labelOnly="1" outline="0" fieldPosition="0">
        <references count="1">
          <reference field="4294967294" count="1">
            <x v="2"/>
          </reference>
        </references>
      </pivotArea>
    </format>
    <format dxfId="568">
      <pivotArea outline="0" collapsedLevelsAreSubtotals="1" fieldPosition="0">
        <references count="1">
          <reference field="4294967294" count="1" selected="0">
            <x v="2"/>
          </reference>
        </references>
      </pivotArea>
    </format>
    <format dxfId="567">
      <pivotArea dataOnly="0" labelOnly="1" outline="0" fieldPosition="0">
        <references count="1">
          <reference field="4294967294" count="1">
            <x v="2"/>
          </reference>
        </references>
      </pivotArea>
    </format>
    <format dxfId="566">
      <pivotArea outline="0" collapsedLevelsAreSubtotals="1" fieldPosition="0">
        <references count="1">
          <reference field="4294967294" count="1" selected="0">
            <x v="3"/>
          </reference>
        </references>
      </pivotArea>
    </format>
    <format dxfId="565">
      <pivotArea dataOnly="0" labelOnly="1" outline="0" fieldPosition="0">
        <references count="1">
          <reference field="4294967294" count="1">
            <x v="3"/>
          </reference>
        </references>
      </pivotArea>
    </format>
    <format dxfId="564">
      <pivotArea outline="0" collapsedLevelsAreSubtotals="1" fieldPosition="0">
        <references count="1">
          <reference field="4294967294" count="1" selected="0">
            <x v="3"/>
          </reference>
        </references>
      </pivotArea>
    </format>
    <format dxfId="563">
      <pivotArea dataOnly="0" labelOnly="1" outline="0" fieldPosition="0">
        <references count="1">
          <reference field="4294967294" count="1">
            <x v="3"/>
          </reference>
        </references>
      </pivotArea>
    </format>
    <format dxfId="562">
      <pivotArea outline="0" collapsedLevelsAreSubtotals="1" fieldPosition="0">
        <references count="1">
          <reference field="4294967294" count="1" selected="0">
            <x v="0"/>
          </reference>
        </references>
      </pivotArea>
    </format>
    <format dxfId="561">
      <pivotArea dataOnly="0" labelOnly="1" outline="0" fieldPosition="0">
        <references count="1">
          <reference field="4294967294" count="1">
            <x v="0"/>
          </reference>
        </references>
      </pivotArea>
    </format>
    <format dxfId="560">
      <pivotArea outline="0" collapsedLevelsAreSubtotals="1" fieldPosition="0">
        <references count="1">
          <reference field="4294967294" count="1" selected="0">
            <x v="0"/>
          </reference>
        </references>
      </pivotArea>
    </format>
    <format dxfId="559">
      <pivotArea dataOnly="0" labelOnly="1" outline="0" fieldPosition="0">
        <references count="1">
          <reference field="4294967294" count="1">
            <x v="0"/>
          </reference>
        </references>
      </pivotArea>
    </format>
    <format dxfId="558">
      <pivotArea dataOnly="0" labelOnly="1" outline="0" fieldPosition="0">
        <references count="1">
          <reference field="4294967294" count="4">
            <x v="0"/>
            <x v="1"/>
            <x v="2"/>
            <x v="3"/>
          </reference>
        </references>
      </pivotArea>
    </format>
    <format dxfId="557">
      <pivotArea dataOnly="0" labelOnly="1" outline="0" fieldPosition="0">
        <references count="1">
          <reference field="4294967294" count="4">
            <x v="0"/>
            <x v="1"/>
            <x v="2"/>
            <x v="3"/>
          </reference>
        </references>
      </pivotArea>
    </format>
    <format dxfId="556">
      <pivotArea dataOnly="0" labelOnly="1" outline="0" fieldPosition="0">
        <references count="1">
          <reference field="4294967294" count="1">
            <x v="6"/>
          </reference>
        </references>
      </pivotArea>
    </format>
    <format dxfId="555">
      <pivotArea dataOnly="0" labelOnly="1" outline="0" fieldPosition="0">
        <references count="1">
          <reference field="4294967294" count="1">
            <x v="6"/>
          </reference>
        </references>
      </pivotArea>
    </format>
    <format dxfId="554">
      <pivotArea outline="0" collapsedLevelsAreSubtotals="1" fieldPosition="0">
        <references count="1">
          <reference field="4294967294" count="1" selected="0">
            <x v="6"/>
          </reference>
        </references>
      </pivotArea>
    </format>
    <format dxfId="553">
      <pivotArea dataOnly="0" labelOnly="1" outline="0" fieldPosition="0">
        <references count="1">
          <reference field="4294967294" count="1">
            <x v="7"/>
          </reference>
        </references>
      </pivotArea>
    </format>
    <format dxfId="552">
      <pivotArea collapsedLevelsAreSubtotals="1" fieldPosition="0">
        <references count="2">
          <reference field="4294967294" count="1" selected="0">
            <x v="7"/>
          </reference>
          <reference field="4" count="1">
            <x v="0"/>
          </reference>
        </references>
      </pivotArea>
    </format>
    <format dxfId="551">
      <pivotArea outline="0" collapsedLevelsAreSubtotals="1" fieldPosition="0">
        <references count="1">
          <reference field="4294967294" count="2" selected="0">
            <x v="6"/>
            <x v="7"/>
          </reference>
        </references>
      </pivotArea>
    </format>
    <format dxfId="550">
      <pivotArea dataOnly="0" labelOnly="1" outline="0" fieldPosition="0">
        <references count="1">
          <reference field="4294967294" count="2">
            <x v="6"/>
            <x v="7"/>
          </reference>
        </references>
      </pivotArea>
    </format>
    <format dxfId="549">
      <pivotArea outline="0" collapsedLevelsAreSubtotals="1" fieldPosition="0">
        <references count="1">
          <reference field="4294967294" count="2" selected="0">
            <x v="6"/>
            <x v="7"/>
          </reference>
        </references>
      </pivotArea>
    </format>
    <format dxfId="548">
      <pivotArea dataOnly="0" labelOnly="1" outline="0" fieldPosition="0">
        <references count="1">
          <reference field="4294967294" count="2">
            <x v="6"/>
            <x v="7"/>
          </reference>
        </references>
      </pivotArea>
    </format>
    <format dxfId="547">
      <pivotArea outline="0" collapsedLevelsAreSubtotals="1" fieldPosition="0">
        <references count="1">
          <reference field="4294967294" count="1" selected="0">
            <x v="4"/>
          </reference>
        </references>
      </pivotArea>
    </format>
    <format dxfId="546">
      <pivotArea dataOnly="0" labelOnly="1" outline="0" fieldPosition="0">
        <references count="1">
          <reference field="4294967294" count="1">
            <x v="4"/>
          </reference>
        </references>
      </pivotArea>
    </format>
    <format dxfId="545">
      <pivotArea dataOnly="0" labelOnly="1" outline="0" fieldPosition="0">
        <references count="1">
          <reference field="4294967294" count="1">
            <x v="4"/>
          </reference>
        </references>
      </pivotArea>
    </format>
    <format dxfId="544">
      <pivotArea dataOnly="0" labelOnly="1" outline="0" fieldPosition="0">
        <references count="1">
          <reference field="4294967294" count="1">
            <x v="4"/>
          </reference>
        </references>
      </pivotArea>
    </format>
    <format dxfId="543">
      <pivotArea dataOnly="0" labelOnly="1" outline="0" fieldPosition="0">
        <references count="1">
          <reference field="4294967294" count="1">
            <x v="5"/>
          </reference>
        </references>
      </pivotArea>
    </format>
    <format dxfId="542">
      <pivotArea outline="0" collapsedLevelsAreSubtotals="1" fieldPosition="0">
        <references count="1">
          <reference field="4294967294" count="1" selected="0">
            <x v="5"/>
          </reference>
        </references>
      </pivotArea>
    </format>
    <format dxfId="541">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141"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46:R51" firstHeaderRow="0" firstDataRow="1" firstDataCol="1" rowPageCount="2" colPageCount="1"/>
  <pivotFields count="123">
    <pivotField axis="axisRow" subtotalTop="0" multipleItemSelectionAllowed="1" showAll="0">
      <items count="27">
        <item m="1" x="24"/>
        <item m="1" x="10"/>
        <item m="1" x="17"/>
        <item h="1" m="1" x="4"/>
        <item m="1" x="25"/>
        <item m="1" x="6"/>
        <item m="1" x="23"/>
        <item m="1" x="19"/>
        <item m="1" x="21"/>
        <item m="1" x="22"/>
        <item m="1" x="13"/>
        <item m="1" x="15"/>
        <item m="1" x="20"/>
        <item m="1" x="18"/>
        <item m="1" x="8"/>
        <item m="1" x="11"/>
        <item m="1" x="14"/>
        <item m="1" x="16"/>
        <item m="1" x="5"/>
        <item m="1" x="7"/>
        <item m="1" x="9"/>
        <item m="1" x="12"/>
        <item x="0"/>
        <item x="1"/>
        <item x="2"/>
        <item x="3"/>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5">
    <i>
      <x v="22"/>
    </i>
    <i>
      <x v="23"/>
    </i>
    <i>
      <x v="24"/>
    </i>
    <i>
      <x v="25"/>
    </i>
    <i t="grand">
      <x/>
    </i>
  </rowItems>
  <colFields count="1">
    <field x="-2"/>
  </colFields>
  <colItems count="2">
    <i>
      <x/>
    </i>
    <i i="1">
      <x v="1"/>
    </i>
  </colItems>
  <pageFields count="2">
    <pageField fld="105" hier="-1"/>
    <pageField fld="6" hier="-1"/>
  </pageFields>
  <dataFields count="2">
    <dataField name="Sum of #_Water samples_Tested_at_HH2" fld="22" baseField="4" baseItem="4"/>
    <dataField name="Average of %_Water samples _passed_at_HH" fld="23" subtotal="average" baseField="4" baseItem="1" numFmtId="9"/>
  </dataFields>
  <formats count="9">
    <format dxfId="434">
      <pivotArea field="4" type="button" dataOnly="0" labelOnly="1" outline="0"/>
    </format>
    <format dxfId="433">
      <pivotArea type="all" dataOnly="0" outline="0" fieldPosition="0"/>
    </format>
    <format dxfId="432">
      <pivotArea outline="0" collapsedLevelsAreSubtotals="1" fieldPosition="0"/>
    </format>
    <format dxfId="431">
      <pivotArea field="4" type="button" dataOnly="0" labelOnly="1" outline="0"/>
    </format>
    <format dxfId="430">
      <pivotArea type="all" dataOnly="0" outline="0" fieldPosition="0"/>
    </format>
    <format dxfId="429">
      <pivotArea type="all" dataOnly="0" outline="0" fieldPosition="0"/>
    </format>
    <format dxfId="428">
      <pivotArea outline="0" collapsedLevelsAreSubtotals="1" fieldPosition="0"/>
    </format>
    <format dxfId="427">
      <pivotArea field="4" type="button" dataOnly="0" labelOnly="1" outline="0"/>
    </format>
    <format dxfId="426">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F132:G133" firstHeaderRow="0" firstDataRow="1" firstDataCol="0" rowPageCount="2"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5" item="0" hier="-1"/>
  </pageFields>
  <dataFields count="2">
    <dataField name="Sum of # of Total_People with disabilities" fld="108" baseField="0" baseItem="0"/>
    <dataField name="Sum of #_of_PWD_with_adapted_sanitation_option" fld="36" baseField="0" baseItem="0"/>
  </dataFields>
  <formats count="9">
    <format dxfId="443">
      <pivotArea type="all" dataOnly="0" outline="0" fieldPosition="0"/>
    </format>
    <format dxfId="442">
      <pivotArea outline="0" collapsedLevelsAreSubtotals="1" fieldPosition="0"/>
    </format>
    <format dxfId="441">
      <pivotArea type="origin" dataOnly="0" labelOnly="1" outline="0" fieldPosition="0"/>
    </format>
    <format dxfId="440">
      <pivotArea type="topRight" dataOnly="0" labelOnly="1" outline="0" fieldPosition="0"/>
    </format>
    <format dxfId="439">
      <pivotArea field="4" type="button" dataOnly="0" labelOnly="1" outline="0"/>
    </format>
    <format dxfId="438">
      <pivotArea dataOnly="0" labelOnly="1" grandRow="1" outline="0" fieldPosition="0"/>
    </format>
    <format dxfId="437">
      <pivotArea dataOnly="0" labelOnly="1" grandCol="1" outline="0" fieldPosition="0"/>
    </format>
    <format dxfId="436">
      <pivotArea type="all" dataOnly="0" outline="0" fieldPosition="0"/>
    </format>
    <format dxfId="435">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5" item="0" hier="-1"/>
    <pageField fld="4" hier="-1"/>
  </pageFields>
  <dataFields count="2">
    <dataField name=" % Water Coverage" fld="117" baseField="0" baseItem="0"/>
    <dataField name=" % Water GAP" fld="118" baseField="0" baseItem="0"/>
  </dataFields>
  <formats count="13">
    <format dxfId="456">
      <pivotArea field="4" type="button" dataOnly="0" labelOnly="1" outline="0" axis="axisPage" fieldPosition="2"/>
    </format>
    <format dxfId="455">
      <pivotArea type="all" dataOnly="0" outline="0" fieldPosition="0"/>
    </format>
    <format dxfId="454">
      <pivotArea outline="0" collapsedLevelsAreSubtotals="1" fieldPosition="0"/>
    </format>
    <format dxfId="453">
      <pivotArea field="4" type="button" dataOnly="0" labelOnly="1" outline="0" axis="axisPage" fieldPosition="2"/>
    </format>
    <format dxfId="452">
      <pivotArea type="all" dataOnly="0" outline="0" fieldPosition="0"/>
    </format>
    <format dxfId="451">
      <pivotArea outline="0" collapsedLevelsAreSubtotals="1" fieldPosition="0"/>
    </format>
    <format dxfId="450">
      <pivotArea outline="0" collapsedLevelsAreSubtotals="1" fieldPosition="0"/>
    </format>
    <format dxfId="449">
      <pivotArea field="5" type="button" dataOnly="0" labelOnly="1" outline="0" axis="axisRow" fieldPosition="0"/>
    </format>
    <format dxfId="448">
      <pivotArea field="5" type="button" dataOnly="0" labelOnly="1" outline="0" axis="axisRow" fieldPosition="0"/>
    </format>
    <format dxfId="447">
      <pivotArea field="5" type="button" dataOnly="0" labelOnly="1" outline="0" axis="axisRow" fieldPosition="0"/>
    </format>
    <format dxfId="446">
      <pivotArea field="4" type="button" dataOnly="0" labelOnly="1" outline="0" axis="axisPage" fieldPosition="2"/>
    </format>
    <format dxfId="445">
      <pivotArea dataOnly="0" labelOnly="1" outline="0" fieldPosition="0">
        <references count="2">
          <reference field="4" count="1">
            <x v="1"/>
          </reference>
          <reference field="105" count="1" selected="0">
            <x v="0"/>
          </reference>
        </references>
      </pivotArea>
    </format>
    <format dxfId="444">
      <pivotArea dataOnly="0" labelOnly="1" outline="0" fieldPosition="0">
        <references count="2">
          <reference field="4" count="1">
            <x v="2"/>
          </reference>
          <reference field="105"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23">
    <pivotField axis="axisPage" subtotalTop="0" multipleItemSelectionAllowed="1" showAll="0">
      <items count="27">
        <item m="1" x="24"/>
        <item m="1" x="10"/>
        <item m="1" x="25"/>
        <item m="1" x="17"/>
        <item m="1" x="6"/>
        <item m="1" x="4"/>
        <item m="1" x="23"/>
        <item m="1" x="19"/>
        <item m="1" x="21"/>
        <item m="1" x="22"/>
        <item m="1" x="13"/>
        <item m="1" x="15"/>
        <item m="1" x="20"/>
        <item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05" hier="-1"/>
  </pageFields>
  <dataFields count="3">
    <dataField name="# of latrines in TLS/CFS" fld="37" baseField="0" baseItem="0"/>
    <dataField name="# of latrines in THF" fld="38" baseField="4" baseItem="4"/>
    <dataField name="# of functional handwashing stations in TLS/CFS" fld="49" baseField="0" baseItem="0"/>
  </dataFields>
  <formats count="18">
    <format dxfId="474">
      <pivotArea type="all" dataOnly="0" outline="0" fieldPosition="0"/>
    </format>
    <format dxfId="473">
      <pivotArea outline="0" collapsedLevelsAreSubtotals="1" fieldPosition="0"/>
    </format>
    <format dxfId="472">
      <pivotArea field="4" type="button" dataOnly="0" labelOnly="1" outline="0" axis="axisRow" fieldPosition="0"/>
    </format>
    <format dxfId="471">
      <pivotArea dataOnly="0" labelOnly="1" grandRow="1" outline="0" fieldPosition="0"/>
    </format>
    <format dxfId="470">
      <pivotArea type="all" dataOnly="0" outline="0" fieldPosition="0"/>
    </format>
    <format dxfId="469">
      <pivotArea outline="0" collapsedLevelsAreSubtotals="1" fieldPosition="0"/>
    </format>
    <format dxfId="468">
      <pivotArea type="origin" dataOnly="0" labelOnly="1" outline="0" fieldPosition="0"/>
    </format>
    <format dxfId="467">
      <pivotArea field="105" type="button" dataOnly="0" labelOnly="1" outline="0" axis="axisPage" fieldPosition="1"/>
    </format>
    <format dxfId="466">
      <pivotArea type="topRight" dataOnly="0" labelOnly="1" outline="0" fieldPosition="0"/>
    </format>
    <format dxfId="465">
      <pivotArea dataOnly="0" labelOnly="1" fieldPosition="0">
        <references count="1">
          <reference field="105" count="0"/>
        </references>
      </pivotArea>
    </format>
    <format dxfId="464">
      <pivotArea type="all" dataOnly="0" outline="0" fieldPosition="0"/>
    </format>
    <format dxfId="463">
      <pivotArea outline="0" collapsedLevelsAreSubtotals="1" fieldPosition="0"/>
    </format>
    <format dxfId="462">
      <pivotArea field="4" type="button" dataOnly="0" labelOnly="1" outline="0" axis="axisRow" fieldPosition="0"/>
    </format>
    <format dxfId="461">
      <pivotArea dataOnly="0" labelOnly="1" fieldPosition="0">
        <references count="1">
          <reference field="4" count="0"/>
        </references>
      </pivotArea>
    </format>
    <format dxfId="460">
      <pivotArea outline="0" collapsedLevelsAreSubtotals="1" fieldPosition="0"/>
    </format>
    <format dxfId="459">
      <pivotArea field="4" type="button" dataOnly="0" labelOnly="1" outline="0" axis="axisRow" fieldPosition="0"/>
    </format>
    <format dxfId="458">
      <pivotArea field="4" type="button" dataOnly="0" labelOnly="1" outline="0" axis="axisRow" fieldPosition="0"/>
    </format>
    <format dxfId="457">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141"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02:C109" firstHeaderRow="1" firstDataRow="2" firstDataCol="1" rowPageCount="3"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1">
        <item n="# in active camps (20:1)" x="0"/>
        <item m="1" x="2"/>
        <item m="1" x="9"/>
        <item h="1" m="1" x="10"/>
        <item m="1" x="8"/>
        <item m="1" x="1"/>
        <item n="# in villages (6: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05" hier="-1"/>
  </pageFields>
  <dataFields count="6">
    <dataField name="# latrines (target)" fld="78" baseField="0" baseItem="0"/>
    <dataField name="Sum of #_latrines_repaired" fld="30" baseField="6" baseItem="0"/>
    <dataField name="Sum of #_Existing_latrines" fld="29" baseField="0" baseItem="0"/>
    <dataField name="Sum of #_Functional_adult_latrines" fld="28" baseField="6" baseItem="0"/>
    <dataField name="Sum of #_of_PWD_with_adapted_sanitation_option" fld="36" baseField="6" baseItem="0"/>
    <dataField name="Sum of #_of_functional_children_latrines" fld="35" baseField="6" baseItem="0"/>
  </dataFields>
  <formats count="12">
    <format dxfId="486">
      <pivotArea field="4" type="button" dataOnly="0" labelOnly="1" outline="0" axis="axisPage" fieldPosition="1"/>
    </format>
    <format dxfId="485">
      <pivotArea type="all" dataOnly="0" outline="0" fieldPosition="0"/>
    </format>
    <format dxfId="484">
      <pivotArea outline="0" collapsedLevelsAreSubtotals="1" fieldPosition="0"/>
    </format>
    <format dxfId="483">
      <pivotArea type="origin" dataOnly="0" labelOnly="1" outline="0" fieldPosition="0"/>
    </format>
    <format dxfId="482">
      <pivotArea type="topRight" dataOnly="0" labelOnly="1" outline="0" fieldPosition="0"/>
    </format>
    <format dxfId="481">
      <pivotArea field="-2" type="button" dataOnly="0" labelOnly="1" outline="0" axis="axisRow" fieldPosition="0"/>
    </format>
    <format dxfId="480">
      <pivotArea type="all" dataOnly="0" outline="0" fieldPosition="0"/>
    </format>
    <format dxfId="479">
      <pivotArea outline="0" collapsedLevelsAreSubtotals="1" fieldPosition="0"/>
    </format>
    <format dxfId="478">
      <pivotArea dataOnly="0" labelOnly="1" outline="0" fieldPosition="0">
        <references count="1">
          <reference field="4294967294" count="1">
            <x v="0"/>
          </reference>
        </references>
      </pivotArea>
    </format>
    <format dxfId="477">
      <pivotArea field="4" type="button" dataOnly="0" labelOnly="1" outline="0" axis="axisPage" fieldPosition="1"/>
    </format>
    <format dxfId="476">
      <pivotArea dataOnly="0" labelOnly="1" outline="0" fieldPosition="0">
        <references count="1">
          <reference field="4" count="1">
            <x v="1"/>
          </reference>
        </references>
      </pivotArea>
    </format>
    <format dxfId="475">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41"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35" firstHeaderRow="0" firstDataRow="1" firstDataCol="2" rowPageCount="1" colPageCount="1"/>
  <pivotFields count="123">
    <pivotField axis="axisPage" compact="0" outline="0" multipleItemSelectionAllowed="1" showAll="0">
      <items count="27">
        <item m="1" x="23"/>
        <item m="1" x="24"/>
        <item m="1" x="10"/>
        <item m="1" x="25"/>
        <item m="1" x="17"/>
        <item m="1" x="6"/>
        <item m="1" x="4"/>
        <item m="1" x="19"/>
        <item m="1" x="21"/>
        <item m="1" x="22"/>
        <item m="1" x="13"/>
        <item m="1" x="15"/>
        <item m="1" x="20"/>
        <item m="1" x="18"/>
        <item m="1" x="8"/>
        <item m="1" x="11"/>
        <item m="1" x="14"/>
        <item m="1" x="16"/>
        <item m="1" x="5"/>
        <item m="1" x="7"/>
        <item m="1" x="9"/>
        <item m="1" x="12"/>
        <item x="0"/>
        <item x="1"/>
        <item x="2"/>
        <item x="3"/>
        <item t="default"/>
      </items>
    </pivotField>
    <pivotField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87" baseField="0" baseItem="0"/>
    <dataField name="Number of people with equitable and continuous access to safe sanitation facilities" fld="74" baseField="0" baseItem="0"/>
    <dataField name="Number of people with equitable and continuous access to sufficient quantity of domestic water" fld="67"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41"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60" firstHeaderRow="0" firstDataRow="1" firstDataCol="1" rowPageCount="3" colPageCount="1"/>
  <pivotFields count="123">
    <pivotField axis="axisPage" compact="0" outline="0" multipleItemSelectionAllowed="1" showAll="0">
      <items count="27">
        <item m="1" x="23"/>
        <item m="1" x="24"/>
        <item m="1" x="10"/>
        <item m="1" x="25"/>
        <item m="1" x="17"/>
        <item m="1" x="6"/>
        <item m="1" x="4"/>
        <item m="1" x="19"/>
        <item m="1" x="21"/>
        <item m="1" x="22"/>
        <item m="1" x="13"/>
        <item m="1" x="15"/>
        <item m="1" x="20"/>
        <item m="1" x="18"/>
        <item h="1" m="1" x="8"/>
        <item h="1" m="1" x="11"/>
        <item h="1" m="1" x="14"/>
        <item m="1" x="16"/>
        <item h="1" m="1" x="5"/>
        <item h="1" m="1" x="7"/>
        <item h="1" m="1" x="9"/>
        <item m="1" x="12"/>
        <item h="1" x="0"/>
        <item h="1" x="1"/>
        <item h="1" x="2"/>
        <item x="3"/>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87" baseField="0" baseItem="0"/>
    <dataField name="# of people access to functioning  sanitation facilities" fld="74" baseField="0" baseItem="0"/>
    <dataField name="# of people Equitable and continuous access to sufficient quantity of domestic water" fld="6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41"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110" firstHeaderRow="0" firstDataRow="1" firstDataCol="2" rowPageCount="1" colPageCount="1"/>
  <pivotFields count="123">
    <pivotField axis="axisRow" compact="0" outline="0" showAll="0">
      <items count="27">
        <item m="1" x="23"/>
        <item m="1" x="24"/>
        <item m="1" x="10"/>
        <item m="1" x="25"/>
        <item m="1" x="17"/>
        <item m="1" x="19"/>
        <item m="1" x="21"/>
        <item m="1" x="22"/>
        <item m="1" x="6"/>
        <item m="1" x="4"/>
        <item m="1" x="13"/>
        <item m="1" x="15"/>
        <item m="1" x="20"/>
        <item m="1" x="18"/>
        <item m="1" x="8"/>
        <item m="1" x="11"/>
        <item m="1" x="14"/>
        <item m="1" x="16"/>
        <item m="1" x="5"/>
        <item m="1" x="7"/>
        <item m="1" x="9"/>
        <item m="1" x="12"/>
        <item x="0"/>
        <item x="1"/>
        <item x="2"/>
        <item x="3"/>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compact="0" outline="0" showAll="0"/>
    <pivotField compact="0" outline="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0"/>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1"/>
        <item m="1" x="754"/>
        <item m="1" x="824"/>
        <item x="2"/>
        <item x="3"/>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4"/>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7"/>
        <item m="1" x="218"/>
        <item m="1" x="670"/>
        <item m="1" x="253"/>
        <item m="1" x="329"/>
        <item m="1" x="748"/>
        <item m="1" x="171"/>
        <item m="1" x="696"/>
        <item m="1" x="108"/>
        <item m="1" x="836"/>
        <item m="1" x="883"/>
        <item x="8"/>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9"/>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17"/>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8"/>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106">
    <i>
      <x v="25"/>
      <x v="22"/>
    </i>
    <i r="1">
      <x v="23"/>
    </i>
    <i r="1">
      <x v="24"/>
    </i>
    <i r="1">
      <x v="25"/>
    </i>
    <i t="default">
      <x v="25"/>
    </i>
    <i>
      <x v="49"/>
      <x v="22"/>
    </i>
    <i r="1">
      <x v="23"/>
    </i>
    <i r="1">
      <x v="24"/>
    </i>
    <i r="1">
      <x v="25"/>
    </i>
    <i t="default">
      <x v="49"/>
    </i>
    <i>
      <x v="52"/>
      <x v="22"/>
    </i>
    <i r="1">
      <x v="23"/>
    </i>
    <i r="1">
      <x v="24"/>
    </i>
    <i r="1">
      <x v="25"/>
    </i>
    <i t="default">
      <x v="52"/>
    </i>
    <i>
      <x v="53"/>
      <x v="22"/>
    </i>
    <i r="1">
      <x v="23"/>
    </i>
    <i r="1">
      <x v="24"/>
    </i>
    <i r="1">
      <x v="25"/>
    </i>
    <i t="default">
      <x v="53"/>
    </i>
    <i>
      <x v="84"/>
      <x v="22"/>
    </i>
    <i r="1">
      <x v="23"/>
    </i>
    <i r="1">
      <x v="24"/>
    </i>
    <i r="1">
      <x v="25"/>
    </i>
    <i t="default">
      <x v="84"/>
    </i>
    <i>
      <x v="218"/>
      <x v="22"/>
    </i>
    <i r="1">
      <x v="23"/>
    </i>
    <i r="1">
      <x v="24"/>
    </i>
    <i r="1">
      <x v="25"/>
    </i>
    <i t="default">
      <x v="218"/>
    </i>
    <i>
      <x v="229"/>
      <x v="22"/>
    </i>
    <i r="1">
      <x v="23"/>
    </i>
    <i r="1">
      <x v="24"/>
    </i>
    <i r="1">
      <x v="25"/>
    </i>
    <i t="default">
      <x v="229"/>
    </i>
    <i>
      <x v="327"/>
      <x v="22"/>
    </i>
    <i r="1">
      <x v="23"/>
    </i>
    <i r="1">
      <x v="24"/>
    </i>
    <i r="1">
      <x v="25"/>
    </i>
    <i t="default">
      <x v="327"/>
    </i>
    <i>
      <x v="418"/>
      <x v="22"/>
    </i>
    <i r="1">
      <x v="23"/>
    </i>
    <i r="1">
      <x v="24"/>
    </i>
    <i r="1">
      <x v="25"/>
    </i>
    <i t="default">
      <x v="418"/>
    </i>
    <i>
      <x v="419"/>
      <x v="22"/>
    </i>
    <i r="1">
      <x v="23"/>
    </i>
    <i r="1">
      <x v="24"/>
    </i>
    <i r="1">
      <x v="25"/>
    </i>
    <i t="default">
      <x v="419"/>
    </i>
    <i>
      <x v="436"/>
      <x v="22"/>
    </i>
    <i r="1">
      <x v="23"/>
    </i>
    <i r="1">
      <x v="24"/>
    </i>
    <i r="1">
      <x v="25"/>
    </i>
    <i t="default">
      <x v="436"/>
    </i>
    <i>
      <x v="438"/>
      <x v="22"/>
    </i>
    <i r="1">
      <x v="23"/>
    </i>
    <i r="1">
      <x v="24"/>
    </i>
    <i r="1">
      <x v="25"/>
    </i>
    <i t="default">
      <x v="438"/>
    </i>
    <i>
      <x v="439"/>
      <x v="22"/>
    </i>
    <i r="1">
      <x v="23"/>
    </i>
    <i r="1">
      <x v="24"/>
    </i>
    <i r="1">
      <x v="25"/>
    </i>
    <i t="default">
      <x v="439"/>
    </i>
    <i>
      <x v="525"/>
      <x v="22"/>
    </i>
    <i r="1">
      <x v="23"/>
    </i>
    <i r="1">
      <x v="24"/>
    </i>
    <i r="1">
      <x v="25"/>
    </i>
    <i t="default">
      <x v="525"/>
    </i>
    <i>
      <x v="563"/>
      <x v="22"/>
    </i>
    <i r="1">
      <x v="23"/>
    </i>
    <i r="1">
      <x v="24"/>
    </i>
    <i r="1">
      <x v="25"/>
    </i>
    <i t="default">
      <x v="563"/>
    </i>
    <i>
      <x v="602"/>
      <x v="22"/>
    </i>
    <i r="1">
      <x v="23"/>
    </i>
    <i r="1">
      <x v="24"/>
    </i>
    <i r="1">
      <x v="25"/>
    </i>
    <i t="default">
      <x v="602"/>
    </i>
    <i>
      <x v="618"/>
      <x v="22"/>
    </i>
    <i r="1">
      <x v="23"/>
    </i>
    <i r="1">
      <x v="24"/>
    </i>
    <i r="1">
      <x v="25"/>
    </i>
    <i t="default">
      <x v="618"/>
    </i>
    <i>
      <x v="640"/>
      <x v="22"/>
    </i>
    <i r="1">
      <x v="23"/>
    </i>
    <i r="1">
      <x v="24"/>
    </i>
    <i r="1">
      <x v="25"/>
    </i>
    <i t="default">
      <x v="640"/>
    </i>
    <i>
      <x v="724"/>
      <x v="22"/>
    </i>
    <i r="1">
      <x v="23"/>
    </i>
    <i r="1">
      <x v="24"/>
    </i>
    <i r="1">
      <x v="25"/>
    </i>
    <i t="default">
      <x v="724"/>
    </i>
    <i>
      <x v="725"/>
      <x v="22"/>
    </i>
    <i r="1">
      <x v="23"/>
    </i>
    <i r="1">
      <x v="24"/>
    </i>
    <i r="1">
      <x v="25"/>
    </i>
    <i t="default">
      <x v="725"/>
    </i>
    <i>
      <x v="726"/>
      <x v="22"/>
    </i>
    <i r="1">
      <x v="23"/>
    </i>
    <i r="1">
      <x v="24"/>
    </i>
    <i r="1">
      <x v="25"/>
    </i>
    <i t="default">
      <x v="726"/>
    </i>
    <i t="grand">
      <x/>
    </i>
  </rowItems>
  <colFields count="1">
    <field x="-2"/>
  </colFields>
  <colItems count="3">
    <i>
      <x/>
    </i>
    <i i="1">
      <x v="1"/>
    </i>
    <i i="2">
      <x v="2"/>
    </i>
  </colItems>
  <pageFields count="1">
    <pageField fld="105" hier="-1"/>
  </pageFields>
  <dataFields count="3">
    <dataField name="# of People adopt basic personal and community hygiene practices" fld="87" baseField="0" baseItem="0"/>
    <dataField name="# of people access to functioning  sanitation facilities" fld="74" baseField="0" baseItem="0"/>
    <dataField name="# of people Equitable and continuous access to sufficient quantity of domestic water" fld="6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141"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location ref="A4:N25" firstHeaderRow="0" firstDataRow="1" firstDataCol="1" rowPageCount="1" colPageCount="1"/>
  <pivotFields count="123">
    <pivotField subtotalTop="0" showAll="0" defaultSubtotal="0"/>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ubtotalTop="0"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1">
    <pageField fld="105" item="0" hier="-1"/>
  </pageFields>
  <dataFields count="13">
    <dataField name="Max of Total PoP " fld="9" subtotal="max" baseField="7" baseItem="30" numFmtId="3"/>
    <dataField name="Max of HRP1" fld="67" subtotal="max" baseField="7" baseItem="30"/>
    <dataField name="Max of HRP2" fld="74" subtotal="max" baseField="7" baseItem="30"/>
    <dataField name="Max of HRP3" fld="87" subtotal="max" baseField="7" baseItem="30"/>
    <dataField name="Max of HRP4" fld="94" subtotal="max" baseField="7" baseItem="30"/>
    <dataField name="Max of HRP5" fld="95" subtotal="max" baseField="7" baseItem="30"/>
    <dataField name="Max of HRP6" fld="96" subtotal="max" baseField="7" baseItem="30"/>
    <dataField name="Max of hygiene items" fld="86" subtotal="max" baseField="7" baseItem="30"/>
    <dataField name="Max of # people reached by regular dedicated hygiene promotion_5" fld="8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76" subtotal="max" baseField="7" baseItem="30"/>
    <dataField name="Max of # people access to functioning latrines in THF_HRP6" fld="77" subtotal="max" baseField="7" baseItem="30"/>
  </dataFields>
  <formats count="54">
    <format dxfId="540">
      <pivotArea field="4" type="button" dataOnly="0" labelOnly="1" outline="0"/>
    </format>
    <format dxfId="539">
      <pivotArea type="all" dataOnly="0" outline="0" fieldPosition="0"/>
    </format>
    <format dxfId="538">
      <pivotArea field="4" type="button" dataOnly="0" labelOnly="1" outline="0"/>
    </format>
    <format dxfId="537">
      <pivotArea outline="0" fieldPosition="0">
        <references count="1">
          <reference field="4294967294" count="1">
            <x v="0"/>
          </reference>
        </references>
      </pivotArea>
    </format>
    <format dxfId="536">
      <pivotArea dataOnly="0" labelOnly="1" outline="0" fieldPosition="0">
        <references count="1">
          <reference field="4294967294" count="1">
            <x v="0"/>
          </reference>
        </references>
      </pivotArea>
    </format>
    <format dxfId="535">
      <pivotArea type="all" dataOnly="0" outline="0" fieldPosition="0"/>
    </format>
    <format dxfId="534">
      <pivotArea outline="0" collapsedLevelsAreSubtotals="1" fieldPosition="0"/>
    </format>
    <format dxfId="533">
      <pivotArea dataOnly="0" labelOnly="1" grandRow="1" outline="0" fieldPosition="0"/>
    </format>
    <format dxfId="532">
      <pivotArea dataOnly="0" labelOnly="1" outline="0" fieldPosition="0">
        <references count="1">
          <reference field="4294967294" count="1">
            <x v="0"/>
          </reference>
        </references>
      </pivotArea>
    </format>
    <format dxfId="531">
      <pivotArea type="all" dataOnly="0" outline="0" fieldPosition="0"/>
    </format>
    <format dxfId="530">
      <pivotArea outline="0" collapsedLevelsAreSubtotals="1" fieldPosition="0"/>
    </format>
    <format dxfId="529">
      <pivotArea dataOnly="0" labelOnly="1" grandRow="1" outline="0" fieldPosition="0"/>
    </format>
    <format dxfId="528">
      <pivotArea dataOnly="0" labelOnly="1" outline="0" fieldPosition="0">
        <references count="1">
          <reference field="4294967294" count="1">
            <x v="0"/>
          </reference>
        </references>
      </pivotArea>
    </format>
    <format dxfId="527">
      <pivotArea outline="0" collapsedLevelsAreSubtotals="1" fieldPosition="0"/>
    </format>
    <format dxfId="526">
      <pivotArea outline="0" collapsedLevelsAreSubtotals="1" fieldPosition="0">
        <references count="1">
          <reference field="4294967294" count="1" selected="0">
            <x v="1"/>
          </reference>
        </references>
      </pivotArea>
    </format>
    <format dxfId="525">
      <pivotArea dataOnly="0" labelOnly="1" outline="0" fieldPosition="0">
        <references count="1">
          <reference field="4294967294" count="1">
            <x v="1"/>
          </reference>
        </references>
      </pivotArea>
    </format>
    <format dxfId="524">
      <pivotArea outline="0" collapsedLevelsAreSubtotals="1" fieldPosition="0">
        <references count="1">
          <reference field="4294967294" count="1" selected="0">
            <x v="1"/>
          </reference>
        </references>
      </pivotArea>
    </format>
    <format dxfId="523">
      <pivotArea dataOnly="0" labelOnly="1" outline="0" fieldPosition="0">
        <references count="1">
          <reference field="4294967294" count="1">
            <x v="1"/>
          </reference>
        </references>
      </pivotArea>
    </format>
    <format dxfId="522">
      <pivotArea outline="0" collapsedLevelsAreSubtotals="1" fieldPosition="0">
        <references count="1">
          <reference field="4294967294" count="1" selected="0">
            <x v="2"/>
          </reference>
        </references>
      </pivotArea>
    </format>
    <format dxfId="521">
      <pivotArea dataOnly="0" labelOnly="1" outline="0" fieldPosition="0">
        <references count="1">
          <reference field="4294967294" count="1">
            <x v="2"/>
          </reference>
        </references>
      </pivotArea>
    </format>
    <format dxfId="520">
      <pivotArea outline="0" collapsedLevelsAreSubtotals="1" fieldPosition="0">
        <references count="1">
          <reference field="4294967294" count="1" selected="0">
            <x v="2"/>
          </reference>
        </references>
      </pivotArea>
    </format>
    <format dxfId="519">
      <pivotArea dataOnly="0" labelOnly="1" outline="0" fieldPosition="0">
        <references count="1">
          <reference field="4294967294" count="1">
            <x v="2"/>
          </reference>
        </references>
      </pivotArea>
    </format>
    <format dxfId="518">
      <pivotArea outline="0" collapsedLevelsAreSubtotals="1" fieldPosition="0">
        <references count="1">
          <reference field="4294967294" count="1" selected="0">
            <x v="3"/>
          </reference>
        </references>
      </pivotArea>
    </format>
    <format dxfId="517">
      <pivotArea dataOnly="0" labelOnly="1" outline="0" fieldPosition="0">
        <references count="1">
          <reference field="4294967294" count="1">
            <x v="3"/>
          </reference>
        </references>
      </pivotArea>
    </format>
    <format dxfId="516">
      <pivotArea outline="0" collapsedLevelsAreSubtotals="1" fieldPosition="0">
        <references count="1">
          <reference field="4294967294" count="1" selected="0">
            <x v="3"/>
          </reference>
        </references>
      </pivotArea>
    </format>
    <format dxfId="515">
      <pivotArea dataOnly="0" labelOnly="1" outline="0" fieldPosition="0">
        <references count="1">
          <reference field="4294967294" count="1">
            <x v="3"/>
          </reference>
        </references>
      </pivotArea>
    </format>
    <format dxfId="514">
      <pivotArea outline="0" collapsedLevelsAreSubtotals="1" fieldPosition="0">
        <references count="1">
          <reference field="4294967294" count="1" selected="0">
            <x v="0"/>
          </reference>
        </references>
      </pivotArea>
    </format>
    <format dxfId="513">
      <pivotArea dataOnly="0" labelOnly="1" outline="0" fieldPosition="0">
        <references count="1">
          <reference field="4294967294" count="1">
            <x v="0"/>
          </reference>
        </references>
      </pivotArea>
    </format>
    <format dxfId="512">
      <pivotArea outline="0" collapsedLevelsAreSubtotals="1" fieldPosition="0">
        <references count="1">
          <reference field="4294967294" count="1" selected="0">
            <x v="0"/>
          </reference>
        </references>
      </pivotArea>
    </format>
    <format dxfId="511">
      <pivotArea dataOnly="0" labelOnly="1" outline="0" fieldPosition="0">
        <references count="1">
          <reference field="4294967294" count="1">
            <x v="0"/>
          </reference>
        </references>
      </pivotArea>
    </format>
    <format dxfId="510">
      <pivotArea dataOnly="0" labelOnly="1" outline="0" fieldPosition="0">
        <references count="1">
          <reference field="4294967294" count="4">
            <x v="0"/>
            <x v="1"/>
            <x v="2"/>
            <x v="3"/>
          </reference>
        </references>
      </pivotArea>
    </format>
    <format dxfId="509">
      <pivotArea dataOnly="0" labelOnly="1" outline="0" fieldPosition="0">
        <references count="1">
          <reference field="4294967294" count="4">
            <x v="0"/>
            <x v="1"/>
            <x v="2"/>
            <x v="3"/>
          </reference>
        </references>
      </pivotArea>
    </format>
    <format dxfId="508">
      <pivotArea dataOnly="0" labelOnly="1" outline="0" fieldPosition="0">
        <references count="1">
          <reference field="4294967294" count="1">
            <x v="7"/>
          </reference>
        </references>
      </pivotArea>
    </format>
    <format dxfId="507">
      <pivotArea dataOnly="0" labelOnly="1" outline="0" fieldPosition="0">
        <references count="1">
          <reference field="4294967294" count="1">
            <x v="7"/>
          </reference>
        </references>
      </pivotArea>
    </format>
    <format dxfId="506">
      <pivotArea outline="0" collapsedLevelsAreSubtotals="1" fieldPosition="0">
        <references count="1">
          <reference field="4294967294" count="1" selected="0">
            <x v="7"/>
          </reference>
        </references>
      </pivotArea>
    </format>
    <format dxfId="505">
      <pivotArea dataOnly="0" labelOnly="1" outline="0" fieldPosition="0">
        <references count="1">
          <reference field="4294967294" count="1">
            <x v="8"/>
          </reference>
        </references>
      </pivotArea>
    </format>
    <format dxfId="504">
      <pivotArea outline="0" collapsedLevelsAreSubtotals="1" fieldPosition="0">
        <references count="1">
          <reference field="4294967294" count="2" selected="0">
            <x v="7"/>
            <x v="8"/>
          </reference>
        </references>
      </pivotArea>
    </format>
    <format dxfId="503">
      <pivotArea dataOnly="0" labelOnly="1" outline="0" fieldPosition="0">
        <references count="1">
          <reference field="4294967294" count="2">
            <x v="7"/>
            <x v="8"/>
          </reference>
        </references>
      </pivotArea>
    </format>
    <format dxfId="502">
      <pivotArea outline="0" collapsedLevelsAreSubtotals="1" fieldPosition="0">
        <references count="1">
          <reference field="4294967294" count="2" selected="0">
            <x v="7"/>
            <x v="8"/>
          </reference>
        </references>
      </pivotArea>
    </format>
    <format dxfId="501">
      <pivotArea dataOnly="0" labelOnly="1" outline="0" fieldPosition="0">
        <references count="1">
          <reference field="4294967294" count="2">
            <x v="7"/>
            <x v="8"/>
          </reference>
        </references>
      </pivotArea>
    </format>
    <format dxfId="500">
      <pivotArea outline="0" collapsedLevelsAreSubtotals="1" fieldPosition="0">
        <references count="1">
          <reference field="4294967294" count="1" selected="0">
            <x v="4"/>
          </reference>
        </references>
      </pivotArea>
    </format>
    <format dxfId="499">
      <pivotArea dataOnly="0" labelOnly="1" outline="0" fieldPosition="0">
        <references count="1">
          <reference field="4294967294" count="1">
            <x v="4"/>
          </reference>
        </references>
      </pivotArea>
    </format>
    <format dxfId="498">
      <pivotArea dataOnly="0" labelOnly="1" outline="0" fieldPosition="0">
        <references count="1">
          <reference field="4294967294" count="1">
            <x v="4"/>
          </reference>
        </references>
      </pivotArea>
    </format>
    <format dxfId="497">
      <pivotArea dataOnly="0" labelOnly="1" outline="0" fieldPosition="0">
        <references count="1">
          <reference field="4294967294" count="1">
            <x v="4"/>
          </reference>
        </references>
      </pivotArea>
    </format>
    <format dxfId="496">
      <pivotArea dataOnly="0" labelOnly="1" outline="0" fieldPosition="0">
        <references count="1">
          <reference field="4294967294" count="1">
            <x v="5"/>
          </reference>
        </references>
      </pivotArea>
    </format>
    <format dxfId="495">
      <pivotArea outline="0" collapsedLevelsAreSubtotals="1" fieldPosition="0">
        <references count="1">
          <reference field="4294967294" count="1" selected="0">
            <x v="5"/>
          </reference>
        </references>
      </pivotArea>
    </format>
    <format dxfId="494">
      <pivotArea dataOnly="0" labelOnly="1" outline="0" fieldPosition="0">
        <references count="1">
          <reference field="4294967294" count="1">
            <x v="5"/>
          </reference>
        </references>
      </pivotArea>
    </format>
    <format dxfId="493">
      <pivotArea dataOnly="0" labelOnly="1" outline="0" fieldPosition="0">
        <references count="1">
          <reference field="4294967294" count="8">
            <x v="0"/>
            <x v="1"/>
            <x v="2"/>
            <x v="3"/>
            <x v="4"/>
            <x v="5"/>
            <x v="7"/>
            <x v="8"/>
          </reference>
        </references>
      </pivotArea>
    </format>
    <format dxfId="492">
      <pivotArea dataOnly="0" labelOnly="1" outline="0" fieldPosition="0">
        <references count="1">
          <reference field="4294967294" count="1">
            <x v="11"/>
          </reference>
        </references>
      </pivotArea>
    </format>
    <format dxfId="491">
      <pivotArea dataOnly="0" labelOnly="1" outline="0" fieldPosition="0">
        <references count="1">
          <reference field="4294967294" count="1">
            <x v="6"/>
          </reference>
        </references>
      </pivotArea>
    </format>
    <format dxfId="490">
      <pivotArea dataOnly="0" labelOnly="1" outline="0" fieldPosition="0">
        <references count="1">
          <reference field="4294967294" count="1">
            <x v="11"/>
          </reference>
        </references>
      </pivotArea>
    </format>
    <format dxfId="489">
      <pivotArea dataOnly="0" labelOnly="1" outline="0" fieldPosition="0">
        <references count="1">
          <reference field="4294967294" count="1">
            <x v="9"/>
          </reference>
        </references>
      </pivotArea>
    </format>
    <format dxfId="488">
      <pivotArea dataOnly="0" labelOnly="1" outline="0" fieldPosition="0">
        <references count="1">
          <reference field="4294967294" count="1">
            <x v="10"/>
          </reference>
        </references>
      </pivotArea>
    </format>
    <format dxfId="487">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141"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rowHeaderCaption="State">
  <location ref="K349:O354" firstHeaderRow="1" firstDataRow="2" firstDataCol="1" rowPageCount="1" colPageCount="1"/>
  <pivotFields count="123">
    <pivotField axis="axisCol" subtotalTop="0" showAll="0" sortType="ascending">
      <items count="27">
        <item m="1" x="23"/>
        <item m="1" x="24"/>
        <item m="1" x="10"/>
        <item m="1" x="25"/>
        <item m="1" x="17"/>
        <item m="1" x="19"/>
        <item m="1" x="21"/>
        <item m="1" x="22"/>
        <item m="1" x="6"/>
        <item m="1" x="13"/>
        <item m="1" x="15"/>
        <item m="1" x="18"/>
        <item m="1" x="20"/>
        <item m="1" x="8"/>
        <item m="1" x="11"/>
        <item m="1" x="14"/>
        <item m="1" x="16"/>
        <item m="1" x="5"/>
        <item m="1" x="7"/>
        <item m="1" x="9"/>
        <item m="1" x="12"/>
        <item x="0"/>
        <item x="1"/>
        <item x="2"/>
        <item x="3"/>
        <item m="1" x="4"/>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4">
    <i>
      <x v="21"/>
    </i>
    <i>
      <x v="22"/>
    </i>
    <i>
      <x v="23"/>
    </i>
    <i>
      <x v="24"/>
    </i>
  </colItems>
  <pageFields count="1">
    <pageField fld="105" hier="-1"/>
  </pageFields>
  <dataFields count="4">
    <dataField name=" % of affected people surveyed who report feeling satistfied with the latrine design and sanitation service" fld="51" subtotal="average" baseField="0" baseItem="21"/>
    <dataField name="% of affected people surveyed who report feeling satistfied with the water point design and water service" fld="52" subtotal="average" baseField="0" baseItem="1"/>
    <dataField name="% of complaints received that result in timely corrective action and feedback to the community" fld="54" subtotal="average" baseField="10" baseItem="0"/>
    <dataField name="% of affected people surveyed who report feeling informed about the different WASH services available to them" fld="53" subtotal="average" baseField="0" baseItem="3"/>
  </dataFields>
  <formats count="17">
    <format dxfId="84">
      <pivotArea type="all" dataOnly="0" outline="0" fieldPosition="0"/>
    </format>
    <format dxfId="83">
      <pivotArea outline="0" collapsedLevelsAreSubtotals="1" fieldPosition="0"/>
    </format>
    <format dxfId="82">
      <pivotArea field="4" type="button" dataOnly="0" labelOnly="1" outline="0"/>
    </format>
    <format dxfId="81">
      <pivotArea dataOnly="0" labelOnly="1" grandRow="1"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05" type="button" dataOnly="0" labelOnly="1" outline="0" axis="axisPage" fieldPosition="0"/>
    </format>
    <format dxfId="76">
      <pivotArea type="topRight" dataOnly="0" labelOnly="1" outline="0" fieldPosition="0"/>
    </format>
    <format dxfId="75">
      <pivotArea dataOnly="0" labelOnly="1" fieldPosition="0">
        <references count="1">
          <reference field="105" count="0"/>
        </references>
      </pivotArea>
    </format>
    <format dxfId="74">
      <pivotArea type="all" dataOnly="0" outline="0" fieldPosition="0"/>
    </format>
    <format dxfId="73">
      <pivotArea outline="0" collapsedLevelsAreSubtotals="1" fieldPosition="0"/>
    </format>
    <format dxfId="72">
      <pivotArea field="4" type="button" dataOnly="0" labelOnly="1" outline="0"/>
    </format>
    <format dxfId="71">
      <pivotArea field="4" type="button" dataOnly="0" labelOnly="1" outline="0"/>
    </format>
    <format dxfId="70">
      <pivotArea field="4" type="button" dataOnly="0" labelOnly="1" outline="0"/>
    </format>
    <format dxfId="69">
      <pivotArea field="4" type="button" dataOnly="0" labelOnly="1" outline="0"/>
    </format>
    <format dxfId="68">
      <pivotArea outline="0" collapsedLevelsAreSubtotals="1" fieldPosition="0"/>
    </format>
  </formats>
  <chartFormats count="10">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 chart="18" format="11" series="1">
      <pivotArea type="data" outline="0" fieldPosition="0">
        <references count="2">
          <reference field="4294967294" count="1" selected="0">
            <x v="0"/>
          </reference>
          <reference field="0" count="1" selected="0">
            <x v="24"/>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23">
    <pivotField axis="axisPage" subtotalTop="0" multipleItemSelectionAllowed="1" showAll="0">
      <items count="27">
        <item m="1" x="24"/>
        <item m="1" x="10"/>
        <item h="1" m="1" x="17"/>
        <item h="1" m="1" x="4"/>
        <item m="1" x="25"/>
        <item m="1" x="6"/>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5" item="0" hier="-1"/>
    <pageField fld="4" item="1" hier="-1"/>
  </pageFields>
  <dataFields count="2">
    <dataField name="  % Latrine Coverage" fld="119" baseField="0" baseItem="0" numFmtId="1"/>
    <dataField name="  % Latrine GAP" fld="120" baseField="0" baseItem="0" numFmtId="1"/>
  </dataFields>
  <formats count="12">
    <format dxfId="96">
      <pivotArea type="all" dataOnly="0" outline="0" fieldPosition="0"/>
    </format>
    <format dxfId="95">
      <pivotArea outline="0" collapsedLevelsAreSubtotals="1" fieldPosition="0"/>
    </format>
    <format dxfId="94">
      <pivotArea field="4" type="button" dataOnly="0" labelOnly="1" outline="0" axis="axisPage" fieldPosition="2"/>
    </format>
    <format dxfId="93">
      <pivotArea type="all" dataOnly="0" outline="0" fieldPosition="0"/>
    </format>
    <format dxfId="92">
      <pivotArea outline="0" collapsedLevelsAreSubtotals="1" fieldPosition="0"/>
    </format>
    <format dxfId="91">
      <pivotArea outline="0" collapsedLevelsAreSubtotals="1" fieldPosition="0"/>
    </format>
    <format dxfId="90">
      <pivotArea field="5" type="button" dataOnly="0" labelOnly="1" outline="0" axis="axisRow" fieldPosition="0"/>
    </format>
    <format dxfId="89">
      <pivotArea field="5" type="button" dataOnly="0" labelOnly="1" outline="0" axis="axisRow" fieldPosition="0"/>
    </format>
    <format dxfId="88">
      <pivotArea field="5" type="button" dataOnly="0" labelOnly="1" outline="0" axis="axisRow" fieldPosition="0"/>
    </format>
    <format dxfId="87">
      <pivotArea field="4" type="button" dataOnly="0" labelOnly="1" outline="0" axis="axisPage" fieldPosition="2"/>
    </format>
    <format dxfId="86">
      <pivotArea dataOnly="0" labelOnly="1" outline="0" fieldPosition="0">
        <references count="2">
          <reference field="4" count="1">
            <x v="0"/>
          </reference>
          <reference field="105" count="1" selected="0">
            <x v="0"/>
          </reference>
        </references>
      </pivotArea>
    </format>
    <format dxfId="85">
      <pivotArea dataOnly="0" labelOnly="1" outline="0" fieldPosition="0">
        <references count="2">
          <reference field="4" count="1">
            <x v="2"/>
          </reference>
          <reference field="105"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33:D135" firstHeaderRow="1" firstDataRow="2" firstDataCol="1" rowPageCount="3"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39"/>
  </colFields>
  <colItems count="2">
    <i>
      <x v="1"/>
    </i>
    <i>
      <x v="2"/>
    </i>
  </colItems>
  <pageFields count="3">
    <pageField fld="0" hier="-1"/>
    <pageField fld="105" item="0" hier="-1"/>
    <pageField fld="6" hier="-1"/>
  </pageFields>
  <dataFields count="1">
    <dataField name="Count of Is_there_an_effective_solid_waste_management_system_in_place?" fld="39" subtotal="count" baseField="0" baseItem="0"/>
  </dataFields>
  <formats count="9">
    <format dxfId="105">
      <pivotArea type="all" dataOnly="0" outline="0" fieldPosition="0"/>
    </format>
    <format dxfId="104">
      <pivotArea outline="0" collapsedLevelsAreSubtotals="1" fieldPosition="0"/>
    </format>
    <format dxfId="103">
      <pivotArea type="origin" dataOnly="0" labelOnly="1" outline="0" fieldPosition="0"/>
    </format>
    <format dxfId="102">
      <pivotArea type="topRight" dataOnly="0" labelOnly="1" outline="0" fieldPosition="0"/>
    </format>
    <format dxfId="101">
      <pivotArea field="4" type="button" dataOnly="0" labelOnly="1" outline="0" axis="axisRow" fieldPosition="0"/>
    </format>
    <format dxfId="100">
      <pivotArea dataOnly="0" labelOnly="1" grandRow="1" outline="0" fieldPosition="0"/>
    </format>
    <format dxfId="99">
      <pivotArea dataOnly="0" labelOnly="1" grandCol="1" outline="0" fieldPosition="0"/>
    </format>
    <format dxfId="98">
      <pivotArea type="all" dataOnly="0" outline="0" fieldPosition="0"/>
    </format>
    <format dxfId="97">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141"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15" firstHeaderRow="0" firstDataRow="1" firstDataCol="1" rowPageCount="4" colPageCount="1"/>
  <pivotFields count="123">
    <pivotField axis="axisPage" subtotalTop="0" showAll="0">
      <items count="27">
        <item m="1" x="24"/>
        <item m="1" x="10"/>
        <item m="1" x="17"/>
        <item m="1" x="4"/>
        <item m="1" x="25"/>
        <item m="1" x="6"/>
        <item m="1" x="23"/>
        <item m="1" x="19"/>
        <item m="1" x="21"/>
        <item m="1" x="22"/>
        <item m="1" x="13"/>
        <item n="2019 Q2" m="1" x="15"/>
        <item m="1" x="20"/>
        <item m="1" x="18"/>
        <item m="1" x="8"/>
        <item m="1" x="11"/>
        <item m="1" x="14"/>
        <item m="1" x="16"/>
        <item m="1" x="5"/>
        <item m="1" x="7"/>
        <item m="1" x="9"/>
        <item m="1" x="12"/>
        <item x="0"/>
        <item x="1"/>
        <item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axis="axisPage" multipleItemSelectionAllowed="1" showAll="0" defaultSubtotal="0">
      <items count="11">
        <item x="0"/>
        <item m="1" x="2"/>
        <item m="1" x="9"/>
        <item m="1" x="8"/>
        <item h="1" m="1" x="1"/>
        <item h="1" m="1" x="4"/>
        <item h="1" m="1" x="3"/>
        <item h="1" m="1" x="5"/>
        <item m="1" x="7"/>
        <item h="1" m="1" x="10"/>
        <item h="1" m="1" x="6"/>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5" hier="-1"/>
    <pageField fld="105" hier="-1"/>
    <pageField fld="4" hier="-1"/>
    <pageField fld="6" hier="-1"/>
  </pageFields>
  <dataFields count="5">
    <dataField name="# of sites" fld="7" subtotal="count" baseField="0" baseItem="0"/>
    <dataField name="PoP " fld="9" baseField="0" baseItem="0" numFmtId="164"/>
    <dataField name=" % Water GAP" fld="118" baseField="0" baseItem="0" numFmtId="9"/>
    <dataField name=" % Sanitation GAP" fld="120" baseField="5" baseItem="23" numFmtId="9"/>
    <dataField name=" % Hygiene Gap" fld="115" baseField="0" baseItem="0" numFmtId="9"/>
  </dataFields>
  <formats count="40">
    <format dxfId="145">
      <pivotArea type="all" dataOnly="0" outline="0" fieldPosition="0"/>
    </format>
    <format dxfId="144">
      <pivotArea outline="0" collapsedLevelsAreSubtotals="1" fieldPosition="0"/>
    </format>
    <format dxfId="143">
      <pivotArea field="5" type="button" dataOnly="0" labelOnly="1" outline="0" axis="axisRow" fieldPosition="0"/>
    </format>
    <format dxfId="142">
      <pivotArea dataOnly="0" labelOnly="1" outline="0" axis="axisValues" fieldPosition="0"/>
    </format>
    <format dxfId="141">
      <pivotArea dataOnly="0" labelOnly="1" fieldPosition="0">
        <references count="1">
          <reference field="5" count="0"/>
        </references>
      </pivotArea>
    </format>
    <format dxfId="140">
      <pivotArea dataOnly="0" labelOnly="1" grandRow="1" outline="0" fieldPosition="0"/>
    </format>
    <format dxfId="139">
      <pivotArea dataOnly="0" labelOnly="1" outline="0" axis="axisValues" fieldPosition="0"/>
    </format>
    <format dxfId="138">
      <pivotArea type="all" dataOnly="0" outline="0" fieldPosition="0"/>
    </format>
    <format dxfId="137">
      <pivotArea field="5" type="button" dataOnly="0" labelOnly="1" outline="0" axis="axisRow" fieldPosition="0"/>
    </format>
    <format dxfId="136">
      <pivotArea dataOnly="0" labelOnly="1" outline="0" axis="axisValues" fieldPosition="0"/>
    </format>
    <format dxfId="135">
      <pivotArea dataOnly="0" labelOnly="1" fieldPosition="0">
        <references count="1">
          <reference field="5" count="0"/>
        </references>
      </pivotArea>
    </format>
    <format dxfId="134">
      <pivotArea dataOnly="0" labelOnly="1" outline="0" axis="axisValues" fieldPosition="0"/>
    </format>
    <format dxfId="133">
      <pivotArea field="5" type="button" dataOnly="0" labelOnly="1" outline="0" axis="axisRow" fieldPosition="0"/>
    </format>
    <format dxfId="132">
      <pivotArea type="all" dataOnly="0" outline="0" fieldPosition="0"/>
    </format>
    <format dxfId="131">
      <pivotArea field="5" type="button" dataOnly="0" labelOnly="1" outline="0" axis="axisRow" fieldPosition="0"/>
    </format>
    <format dxfId="130">
      <pivotArea dataOnly="0" labelOnly="1" outline="0" fieldPosition="0">
        <references count="1">
          <reference field="4294967294" count="1">
            <x v="1"/>
          </reference>
        </references>
      </pivotArea>
    </format>
    <format dxfId="129">
      <pivotArea type="all" dataOnly="0" outline="0" fieldPosition="0"/>
    </format>
    <format dxfId="128">
      <pivotArea outline="0" collapsedLevelsAreSubtotals="1" fieldPosition="0"/>
    </format>
    <format dxfId="127">
      <pivotArea field="5" type="button" dataOnly="0" labelOnly="1" outline="0" axis="axisRow" fieldPosition="0"/>
    </format>
    <format dxfId="126">
      <pivotArea dataOnly="0" labelOnly="1" fieldPosition="0">
        <references count="1">
          <reference field="5" count="2">
            <x v="30"/>
            <x v="36"/>
          </reference>
        </references>
      </pivotArea>
    </format>
    <format dxfId="125">
      <pivotArea dataOnly="0" labelOnly="1" outline="0" fieldPosition="0">
        <references count="1">
          <reference field="4294967294" count="1">
            <x v="1"/>
          </reference>
        </references>
      </pivotArea>
    </format>
    <format dxfId="124">
      <pivotArea field="5" type="button" dataOnly="0" labelOnly="1" outline="0" axis="axisRow" fieldPosition="0"/>
    </format>
    <format dxfId="123">
      <pivotArea dataOnly="0" labelOnly="1" outline="0" fieldPosition="0">
        <references count="1">
          <reference field="4294967294" count="1">
            <x v="1"/>
          </reference>
        </references>
      </pivotArea>
    </format>
    <format dxfId="122">
      <pivotArea type="all" dataOnly="0" outline="0" fieldPosition="0"/>
    </format>
    <format dxfId="121">
      <pivotArea outline="0" collapsedLevelsAreSubtotals="1" fieldPosition="0"/>
    </format>
    <format dxfId="120">
      <pivotArea field="5" type="button" dataOnly="0" labelOnly="1" outline="0" axis="axisRow" fieldPosition="0"/>
    </format>
    <format dxfId="119">
      <pivotArea dataOnly="0" labelOnly="1" fieldPosition="0">
        <references count="1">
          <reference field="5" count="5">
            <x v="9"/>
            <x v="10"/>
            <x v="23"/>
            <x v="30"/>
            <x v="36"/>
          </reference>
        </references>
      </pivotArea>
    </format>
    <format dxfId="118">
      <pivotArea dataOnly="0" labelOnly="1" grandRow="1" outline="0" fieldPosition="0"/>
    </format>
    <format dxfId="117">
      <pivotArea dataOnly="0" labelOnly="1" outline="0" fieldPosition="0">
        <references count="1">
          <reference field="4294967294" count="1">
            <x v="1"/>
          </reference>
        </references>
      </pivotArea>
    </format>
    <format dxfId="116">
      <pivotArea field="4" type="button" dataOnly="0" labelOnly="1" outline="0" axis="axisPage" fieldPosition="2"/>
    </format>
    <format dxfId="115">
      <pivotArea dataOnly="0" labelOnly="1" outline="0" fieldPosition="0">
        <references count="2">
          <reference field="0" count="1" selected="0">
            <x v="7"/>
          </reference>
          <reference field="4" count="1">
            <x v="1"/>
          </reference>
        </references>
      </pivotArea>
    </format>
    <format dxfId="114">
      <pivotArea outline="0" collapsedLevelsAreSubtotals="1" fieldPosition="0">
        <references count="1">
          <reference field="4294967294" count="1" selected="0">
            <x v="1"/>
          </reference>
        </references>
      </pivotArea>
    </format>
    <format dxfId="113">
      <pivotArea dataOnly="0" labelOnly="1" outline="0" fieldPosition="0">
        <references count="2">
          <reference field="0" count="1" selected="0">
            <x v="8"/>
          </reference>
          <reference field="4" count="1">
            <x v="1"/>
          </reference>
        </references>
      </pivotArea>
    </format>
    <format dxfId="112">
      <pivotArea dataOnly="0" labelOnly="1" outline="0" fieldPosition="0">
        <references count="2">
          <reference field="0" count="1" selected="0">
            <x v="9"/>
          </reference>
          <reference field="4" count="1">
            <x v="1"/>
          </reference>
        </references>
      </pivotArea>
    </format>
    <format dxfId="111">
      <pivotArea dataOnly="0" labelOnly="1" outline="0" fieldPosition="0">
        <references count="2">
          <reference field="0" count="1" selected="0">
            <x v="10"/>
          </reference>
          <reference field="4" count="0"/>
        </references>
      </pivotArea>
    </format>
    <format dxfId="110">
      <pivotArea outline="0" collapsedLevelsAreSubtotals="1" fieldPosition="0">
        <references count="1">
          <reference field="4294967294" count="2" selected="0">
            <x v="2"/>
            <x v="3"/>
          </reference>
        </references>
      </pivotArea>
    </format>
    <format dxfId="109">
      <pivotArea outline="0" collapsedLevelsAreSubtotals="1" fieldPosition="0">
        <references count="1">
          <reference field="4294967294" count="1" selected="0">
            <x v="4"/>
          </reference>
        </references>
      </pivotArea>
    </format>
    <format dxfId="108">
      <pivotArea dataOnly="0" labelOnly="1" outline="0" fieldPosition="0">
        <references count="2">
          <reference field="0" count="1" selected="0">
            <x v="11"/>
          </reference>
          <reference field="4" count="0"/>
        </references>
      </pivotArea>
    </format>
    <format dxfId="107">
      <pivotArea collapsedLevelsAreSubtotals="1" fieldPosition="0">
        <references count="2">
          <reference field="4294967294" count="1" selected="0">
            <x v="2"/>
          </reference>
          <reference field="5" count="1">
            <x v="36"/>
          </reference>
        </references>
      </pivotArea>
    </format>
    <format dxfId="106">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14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location ref="P121:R125" firstHeaderRow="0" firstDataRow="1" firstDataCol="1" rowPageCount="3" colPageCount="1"/>
  <pivotFields count="123">
    <pivotField axis="axisPage" subtotalTop="0" multipleItemSelectionAllowed="1" showAll="0">
      <items count="27">
        <item m="1" x="24"/>
        <item m="1" x="10"/>
        <item m="1" x="25"/>
        <item h="1" m="1" x="17"/>
        <item m="1" x="6"/>
        <item h="1" m="1" x="4"/>
        <item h="1" m="1" x="23"/>
        <item h="1" m="1" x="19"/>
        <item h="1" m="1" x="21"/>
        <item m="1" x="22"/>
        <item m="1" x="13"/>
        <item h="1" m="1" x="15"/>
        <item m="1" x="20"/>
        <item h="1" m="1" x="18"/>
        <item h="1" m="1" x="8"/>
        <item h="1" m="1" x="11"/>
        <item h="1" m="1" x="14"/>
        <item m="1" x="16"/>
        <item h="1" m="1" x="5"/>
        <item h="1" m="1" x="7"/>
        <item h="1" m="1" x="9"/>
        <item m="1" x="12"/>
        <item h="1" x="0"/>
        <item h="1" x="1"/>
        <item h="1" x="2"/>
        <item x="3"/>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05" hier="-1"/>
  </pageFields>
  <dataFields count="2">
    <dataField name="Target (20:1)" fld="78" baseField="0" baseItem="0"/>
    <dataField name="Reached" fld="28" baseField="6" baseItem="0"/>
  </dataFields>
  <formats count="12">
    <format dxfId="157">
      <pivotArea field="4" type="button" dataOnly="0" labelOnly="1" outline="0" axis="axisPage" fieldPosition="1"/>
    </format>
    <format dxfId="156">
      <pivotArea type="all" dataOnly="0" outline="0" fieldPosition="0"/>
    </format>
    <format dxfId="155">
      <pivotArea outline="0" collapsedLevelsAreSubtotals="1" fieldPosition="0"/>
    </format>
    <format dxfId="154">
      <pivotArea type="origin" dataOnly="0" labelOnly="1" outline="0" fieldPosition="0"/>
    </format>
    <format dxfId="153">
      <pivotArea type="topRight" dataOnly="0" labelOnly="1" outline="0" fieldPosition="0"/>
    </format>
    <format dxfId="152">
      <pivotArea field="-2" type="button" dataOnly="0" labelOnly="1" outline="0" axis="axisCol" fieldPosition="0"/>
    </format>
    <format dxfId="151">
      <pivotArea type="all" dataOnly="0" outline="0" fieldPosition="0"/>
    </format>
    <format dxfId="150">
      <pivotArea outline="0" collapsedLevelsAreSubtotals="1" fieldPosition="0"/>
    </format>
    <format dxfId="149">
      <pivotArea dataOnly="0" labelOnly="1" outline="0" fieldPosition="0">
        <references count="1">
          <reference field="4294967294" count="1">
            <x v="0"/>
          </reference>
        </references>
      </pivotArea>
    </format>
    <format dxfId="148">
      <pivotArea field="4" type="button" dataOnly="0" labelOnly="1" outline="0" axis="axisPage" fieldPosition="1"/>
    </format>
    <format dxfId="147">
      <pivotArea dataOnly="0" labelOnly="1" outline="0" fieldPosition="0">
        <references count="1">
          <reference field="4" count="1">
            <x v="1"/>
          </reference>
        </references>
      </pivotArea>
    </format>
    <format dxfId="146">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6">
        <i x="0" s="1"/>
        <i x="1" s="1"/>
        <i x="2" s="1"/>
        <i x="3" s="1"/>
        <i x="23" s="1" nd="1"/>
        <i x="24" s="1" nd="1"/>
        <i x="10" s="1" nd="1"/>
        <i x="25" s="1" nd="1"/>
        <i x="17" s="1" nd="1"/>
        <i x="19" s="1" nd="1"/>
        <i x="21" s="1" nd="1"/>
        <i x="22" s="1" nd="1"/>
        <i x="6" s="1" nd="1"/>
        <i x="13" s="1" nd="1"/>
        <i x="15" s="1" nd="1"/>
        <i x="18" s="1" nd="1"/>
        <i x="20" s="1" nd="1"/>
        <i x="8" s="1" nd="1"/>
        <i x="11" s="1" nd="1"/>
        <i x="14" s="1" nd="1"/>
        <i x="16" s="1" nd="1"/>
        <i x="5" s="1" nd="1"/>
        <i x="7" s="1" nd="1"/>
        <i x="9" s="1" nd="1"/>
        <i x="12" s="1" nd="1"/>
        <i x="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3" s="1"/>
        <i x="2" s="1"/>
        <i x="1" s="1"/>
        <i x="5" s="1"/>
        <i x="4" s="1"/>
        <i x="0"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K90" totalsRowShown="0" headerRowDxfId="855" dataDxfId="853" headerRowBorderDxfId="854" tableBorderDxfId="852">
  <autoFilter ref="A6:DK90" xr:uid="{00000000-000C-0000-FFFF-FFFF00000000}"/>
  <sortState xmlns:xlrd2="http://schemas.microsoft.com/office/spreadsheetml/2017/richdata2" ref="A28:DK48">
    <sortCondition ref="H35:H48"/>
  </sortState>
  <tableColumns count="115">
    <tableColumn id="1" xr3:uid="{00000000-0010-0000-0000-000001000000}" name="Reporting Period" dataDxfId="851" totalsRowDxfId="850"/>
    <tableColumn id="75" xr3:uid="{00000000-0010-0000-0000-00004B000000}" name="WASH project agency" dataDxfId="849" totalsRowDxfId="848"/>
    <tableColumn id="2" xr3:uid="{00000000-0010-0000-0000-000002000000}" name="WASH implementing agency" dataDxfId="847" totalsRowDxfId="846"/>
    <tableColumn id="8" xr3:uid="{00000000-0010-0000-0000-000008000000}" name="Primary Donor covering WASH activities at site " dataDxfId="845" totalsRowDxfId="844"/>
    <tableColumn id="3" xr3:uid="{00000000-0010-0000-0000-000003000000}" name="State" dataDxfId="843" totalsRowDxfId="842"/>
    <tableColumn id="4" xr3:uid="{00000000-0010-0000-0000-000004000000}" name="Township" dataDxfId="841" totalsRowDxfId="840"/>
    <tableColumn id="82" xr3:uid="{00000000-0010-0000-0000-000052000000}" name="Location Type" dataDxfId="839" totalsRowDxfId="838" dataCellStyle="Percent"/>
    <tableColumn id="5" xr3:uid="{00000000-0010-0000-0000-000005000000}" name="Site Name" dataDxfId="837"/>
    <tableColumn id="6" xr3:uid="{00000000-0010-0000-0000-000006000000}" name="Total HH" dataDxfId="836" totalsRowDxfId="835" dataCellStyle="Comma"/>
    <tableColumn id="7" xr3:uid="{00000000-0010-0000-0000-000007000000}" name="Total PoP " dataDxfId="834" totalsRowDxfId="833" dataCellStyle="Comma"/>
    <tableColumn id="92" xr3:uid="{19E9142A-082A-4AC7-9DF4-1557FD7B55D0}" name="Pop_per_HH" dataDxfId="832" totalsRowDxfId="831" dataCellStyle="Comma">
      <calculatedColumnFormula>WWWW[[#This Row],[Total PoP ]]/WWWW[[#This Row],[Total HH]]</calculatedColumnFormula>
    </tableColumn>
    <tableColumn id="77" xr3:uid="{00000000-0010-0000-0000-00004D000000}" name="Project start date" dataDxfId="830" totalsRowDxfId="829"/>
    <tableColumn id="9" xr3:uid="{00000000-0010-0000-0000-000009000000}" name="Project end date" dataDxfId="828" totalsRowDxfId="827"/>
    <tableColumn id="104" xr3:uid="{00000000-0010-0000-0000-000068000000}" name="#_students at TLS_CFS" dataDxfId="826" totalsRowDxfId="825" dataCellStyle="Comma"/>
    <tableColumn id="14" xr3:uid="{00000000-0010-0000-0000-00000E000000}" name="#_Functional_improved_water_source_Handpump" dataDxfId="824" totalsRowDxfId="823" dataCellStyle="Comma"/>
    <tableColumn id="102" xr3:uid="{00000000-0010-0000-0000-000066000000}" name="#_Existing_improved_water_source_Handpump" dataDxfId="822" totalsRowDxfId="821" dataCellStyle="Comma"/>
    <tableColumn id="51" xr3:uid="{0F9366F3-C720-4150-A994-3531C24FF755}" name="#_Functional_improved_water_source_tapstand_handdugwell" dataDxfId="820" totalsRowDxfId="819" dataCellStyle="Comma"/>
    <tableColumn id="50" xr3:uid="{1AC55A88-8A64-4F61-A4EC-4BC5E511D470}" name="#_Existing_improved_water_source_tapstand_handdugwell" dataDxfId="818" totalsRowDxfId="817" dataCellStyle="Comma"/>
    <tableColumn id="103" xr3:uid="{00000000-0010-0000-0000-000067000000}" name="#_litres_of_water_supplied_by_existing_water_boating_trucking " dataDxfId="816" totalsRowDxfId="815" dataCellStyle="Comma"/>
    <tableColumn id="15" xr3:uid="{00000000-0010-0000-0000-00000F000000}" name="#_PPL_received safe_drinking_water_HH_filters_centralized water system" dataDxfId="814" totalsRowDxfId="813" dataCellStyle="Comma"/>
    <tableColumn id="106" xr3:uid="{00000000-0010-0000-0000-00006A000000}" name="#_Water samples_Tested_at_water_source" dataDxfId="812" totalsRowDxfId="811" dataCellStyle="Comma"/>
    <tableColumn id="107" xr3:uid="{00000000-0010-0000-0000-00006B000000}" name="%_Water samples _passed_at_water source" dataDxfId="810" totalsRowDxfId="809" dataCellStyle="Percent"/>
    <tableColumn id="108" xr3:uid="{00000000-0010-0000-0000-00006C000000}" name="#_Water samples_Tested_at_HH" dataDxfId="808" totalsRowDxfId="807" dataCellStyle="Comma"/>
    <tableColumn id="109" xr3:uid="{00000000-0010-0000-0000-00006D000000}" name="%_Water samples _passed_at_HH" dataDxfId="806" totalsRowDxfId="805" dataCellStyle="Percent"/>
    <tableColumn id="110" xr3:uid="{00000000-0010-0000-0000-00006E000000}" name="#_HH_receiving_HH_water_storage items" dataDxfId="804" totalsRowDxfId="803" dataCellStyle="Comma"/>
    <tableColumn id="83" xr3:uid="{A324C8A9-A015-4E27-BA21-B0049D95FB28}" name="#_PPL_accessed_water_in_TLS" dataDxfId="802" totalsRowDxfId="801" dataCellStyle="Comma"/>
    <tableColumn id="74" xr3:uid="{73C9B2A0-8DF2-4D09-B5C6-F881F1B1DF94}" name="#_PPL_accessed_water_in_THF" dataDxfId="800" totalsRowDxfId="799" dataCellStyle="Comma"/>
    <tableColumn id="113" xr3:uid="{00000000-0010-0000-0000-000071000000}" name="WATER Comment" dataDxfId="798" totalsRowDxfId="797" dataCellStyle="Comma"/>
    <tableColumn id="87" xr3:uid="{00000000-0010-0000-0000-000057000000}" name="#_Functional_adult_latrines" dataDxfId="796" totalsRowDxfId="795" dataCellStyle="Comma"/>
    <tableColumn id="65" xr3:uid="{00000000-0010-0000-0000-000041000000}" name="#_Existing_latrines" dataDxfId="794" totalsRowDxfId="793" dataCellStyle="Comma"/>
    <tableColumn id="39" xr3:uid="{00000000-0010-0000-0000-000027000000}" name="#_latrines_repaired" dataDxfId="792" totalsRowDxfId="791" dataCellStyle="Comma"/>
    <tableColumn id="24" xr3:uid="{00000000-0010-0000-0000-000018000000}" name="#_of_latrines_desludged " dataDxfId="790" totalsRowDxfId="789" dataCellStyle="Comma"/>
    <tableColumn id="25" xr3:uid="{00000000-0010-0000-0000-000019000000}" name="%_of_Men_that_feel_safe_to_use_latrines_when_they_need_to_(or_at_day/night)'?" dataDxfId="788" totalsRowDxfId="787" dataCellStyle="Percent"/>
    <tableColumn id="122" xr3:uid="{00000000-0010-0000-0000-00007A000000}" name="%_of_Women_that_feel_safe_to_use_latrines_when_they_need_to_(or_at_day/night)?" dataDxfId="786" totalsRowDxfId="785" dataCellStyle="Percent"/>
    <tableColumn id="123" xr3:uid="{00000000-0010-0000-0000-00007B000000}" name="%_of_Children_that_feel_safe_to_use_latrines_when_they_need_to_(or_at_day/night)?" dataDxfId="784" totalsRowDxfId="783" dataCellStyle="Percent"/>
    <tableColumn id="105" xr3:uid="{00000000-0010-0000-0000-000069000000}" name="#_of_functional_children_latrines" dataDxfId="782" totalsRowDxfId="781" dataCellStyle="Comma"/>
    <tableColumn id="100" xr3:uid="{00000000-0010-0000-0000-000064000000}" name="#_of_PWD_with_adapted_sanitation_option" dataDxfId="780" totalsRowDxfId="779" dataCellStyle="Comma"/>
    <tableColumn id="26" xr3:uid="{00000000-0010-0000-0000-00001A000000}" name="#_of_latrines_in_TLS/CFS" dataDxfId="778" totalsRowDxfId="777" dataCellStyle="Comma"/>
    <tableColumn id="52" xr3:uid="{57FB2B4D-DC76-46CE-B66A-9B2EF21E496B}" name="#_of_latrines_in_THF" dataDxfId="776" totalsRowDxfId="775" dataCellStyle="Comma"/>
    <tableColumn id="125" xr3:uid="{00000000-0010-0000-0000-00007D000000}" name="Is_there_an_effective_solid_waste_management_system_in_place?" dataDxfId="774" totalsRowDxfId="773" dataCellStyle="Comma"/>
    <tableColumn id="11" xr3:uid="{00000000-0010-0000-0000-00000B000000}" name="SANITATION Comments " dataDxfId="772" totalsRowDxfId="771"/>
    <tableColumn id="126" xr3:uid="{00000000-0010-0000-0000-00007E000000}" name="_#_of_Men_receiving_consultation_hygiene_promotion_messages_and_sessions" dataDxfId="770" totalsRowDxfId="769" dataCellStyle="Comma"/>
    <tableColumn id="127" xr3:uid="{00000000-0010-0000-0000-00007F000000}" name="_#_of_Women_receiving_consultation_hygiene_promotion_messages_and_sessions" dataDxfId="768" totalsRowDxfId="767" dataCellStyle="Comma"/>
    <tableColumn id="13" xr3:uid="{00000000-0010-0000-0000-00000D000000}" name="_#_of_Boys_receiving_consultation_hygiene_promotion_messages_and_sessions" dataDxfId="766" totalsRowDxfId="765" dataCellStyle="Comma"/>
    <tableColumn id="128" xr3:uid="{00000000-0010-0000-0000-000080000000}" name="_#_of_Girls_receiving_consultation_hygiene_promotion_messages_and_sessions" dataDxfId="764" totalsRowDxfId="763" dataCellStyle="Comma"/>
    <tableColumn id="129" xr3:uid="{00000000-0010-0000-0000-000081000000}" name="#_of_affected_households_receiving_a_sufficient_quantity_of_soap" dataDxfId="762" totalsRowDxfId="761" dataCellStyle="Comma"/>
    <tableColumn id="130" xr3:uid="{00000000-0010-0000-0000-000082000000}" name="#_of_affected_women_and_girls_receiving_a_sufficient_quantity_of_sanitary_pads" dataDxfId="760" totalsRowDxfId="759" dataCellStyle="Comma"/>
    <tableColumn id="133" xr3:uid="{00000000-0010-0000-0000-000085000000}" name="%_of_women_and_girls_who_report_that_they_have_an_adequate_system_for_disposing_of_used_sanitary_pads" dataDxfId="758" totalsRowDxfId="757" dataCellStyle="Percent"/>
    <tableColumn id="131" xr3:uid="{00000000-0010-0000-0000-000083000000}" name="%_of_affected_people_who_report_handwashing_at_key_times" dataDxfId="756" totalsRowDxfId="755" dataCellStyle="Percent"/>
    <tableColumn id="28" xr3:uid="{E1A787CA-836C-4110-BDEF-DA4080E56575}" name="#_of_functional_HWS_in TLS/CFS" dataDxfId="754" totalsRowDxfId="753" dataCellStyle="Percent"/>
    <tableColumn id="134" xr3:uid="{00000000-0010-0000-0000-000086000000}" name="HYGIENE_Comments  _x000a_" dataDxfId="752" totalsRowDxfId="751"/>
    <tableColumn id="69" xr3:uid="{F08B8CAC-90B8-4AD5-ABFF-685A1F23A8C8}" name="%_of_affected_people_surveyed_who_report_feeling_satistfied_with_the_latrine_design_and_sanitation_service" dataDxfId="750" totalsRowDxfId="749" dataCellStyle="Percent"/>
    <tableColumn id="79" xr3:uid="{FC6D5E73-EE3C-4FE8-9811-A426C1B99932}" name="%_of_affected_people_surveyed_who_report_feeling_satistfied_with_the_water_point_design_and_water_service" dataDxfId="748" totalsRowDxfId="747" dataCellStyle="Percent"/>
    <tableColumn id="84" xr3:uid="{2428FCB9-2969-44B8-9F3C-E8FAE2B432E2}" name="%_of_affected_people_surveyed_who_report_feeling_informed_about_the_different_WASH_services_available_to_them" dataDxfId="746" totalsRowDxfId="745" dataCellStyle="Percent"/>
    <tableColumn id="17" xr3:uid="{15698A41-EB30-45BA-98B7-AE2A662D14C4}" name="%_of_complaints_received_that_result_in_timely_corrective_action_and_feedback_to_the_community" dataDxfId="744" totalsRowDxfId="743" dataCellStyle="Percent"/>
    <tableColumn id="32" xr3:uid="{6748107D-F9F0-4D7D-81DB-7754B604F3FB}" name="Diarrhoea_rate_per_10,000_ppl,_average_over_past_3_months_(extracted_from_EpiWeek_data_from_health)" dataDxfId="742" totalsRowDxfId="741" dataCellStyle="Percent"/>
    <tableColumn id="56" xr3:uid="{97A1F5AB-0BC0-4278-8DF7-2C5327F2B913}" name="#_of_sanitation_facilities_(latrines)_built/repaired/rehabilitated_following_risk-sensitive_programming_and_consultation_with_communities_and/or_GBV_risk-sensitive_programming" dataDxfId="740" totalsRowDxfId="739" dataCellStyle="Comma"/>
    <tableColumn id="57" xr3:uid="{8F4EF626-5B99-4F63-970C-0E4FC7147A5A}" name="#_of_sanitation_facilities_(HH_sanitation_devices)_distributed_following_risk-sensitive_programming_and_consultation_with_communities_and/or_GBV_risk-sensitive_programming" dataDxfId="738" totalsRowDxfId="737" dataCellStyle="Comma"/>
    <tableColumn id="66" xr3:uid="{776143A0-A23B-4F5C-A7AB-41A87F154081}" name="# of sanitation facilities (bathing spaces) built following risk-sensitive programming and consultation with communities" dataDxfId="736" totalsRowDxfId="735" dataCellStyle="Comma"/>
    <tableColumn id="10" xr3:uid="{19F9CE3F-94D4-4412-96A8-6138BFB912A0}" name="amount_of_MMK/Voucher_or_Token_distributed_per_HH/Family" dataDxfId="734" totalsRowDxfId="733" dataCellStyle="Comma"/>
    <tableColumn id="16" xr3:uid="{A04C1B66-CD5B-4AAC-B109-BF4D70FFF594}" name="#_of_Family/HH_Reached" dataDxfId="732" totalsRowDxfId="731" dataCellStyle="Comma"/>
    <tableColumn id="20" xr3:uid="{534AC390-E577-43F3-B9EF-C9C49C27D317}" name="Date_of_Cash_distribution" dataDxfId="730" totalsRowDxfId="729" dataCellStyle="Comma"/>
    <tableColumn id="23" xr3:uid="{8CAF07C7-C62F-455E-91D4-9A0BE10B485C}" name="Cash_distributed_for_which_items" dataDxfId="728" totalsRowDxfId="727" dataCellStyle="Comma"/>
    <tableColumn id="97" xr3:uid="{00000000-0010-0000-0000-000061000000}" name="Water_testing_at source" dataDxfId="726">
      <calculatedColumnFormula>IF(WWWW[[#This Row],['#_Water samples_Tested_at_water_source]]="","no test","Tested")</calculatedColumnFormula>
    </tableColumn>
    <tableColumn id="98" xr3:uid="{00000000-0010-0000-0000-000062000000}" name="Water_testing_at HH" dataDxfId="725" totalsRowDxfId="724" dataCellStyle="Percent">
      <calculatedColumnFormula>IF(WWWW[[#This Row],['#_Water samples_Tested_at_HH]]="","no test","Tested")</calculatedColumnFormula>
    </tableColumn>
    <tableColumn id="19" xr3:uid="{00000000-0010-0000-0000-000013000000}" name="Warter quality test done" dataDxfId="723" totalsRowDxfId="722" dataCellStyle="Percent">
      <calculatedColumnFormula>IF(AND(WWWW[[#This Row],[Water_testing_at source]]="no test",WWWW[[#This Row],[Water_testing_at HH]]="no test"),"No Test","Tested")</calculatedColumnFormula>
    </tableColumn>
    <tableColumn id="34" xr3:uid="{00000000-0010-0000-0000-000022000000}" name="% HRP1" dataDxfId="721"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20" totalsRowDxfId="719">
      <calculatedColumnFormula>WWWW[[#This Row],[% HRP1]]*WWWW[[#This Row],[Total PoP ]]</calculatedColumnFormula>
    </tableColumn>
    <tableColumn id="86" xr3:uid="{00000000-0010-0000-0000-000056000000}" name="#Water points coverage" dataDxfId="718" totalsRowDxfId="717">
      <calculatedColumnFormula>WWWW[[#This Row],[HRP1]]/500</calculatedColumnFormula>
    </tableColumn>
    <tableColumn id="85" xr3:uid="{00000000-0010-0000-0000-000055000000}" name="%equitable and continuous access to sufficient quantity of safe drinking and domestic water's GAP" dataDxfId="716" totalsRowDxfId="715">
      <calculatedColumnFormula>1-WWWW[[#This Row],[% HRP1]]</calculatedColumnFormula>
    </tableColumn>
    <tableColumn id="43" xr3:uid="{00000000-0010-0000-0000-00002B000000}" name="# people needs equitable and continuous access to sufficient quantity of safe drinking and domestic water GAP" dataDxfId="714" totalsRowDxfId="713">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12" totalsRowDxfId="711" dataCellStyle="Percent">
      <calculatedColumnFormula>ROUND(IF(WWWW[[#This Row],[Total PoP ]]&lt;500,1,WWWW[[#This Row],[Total PoP ]]/500),0)</calculatedColumnFormula>
    </tableColumn>
    <tableColumn id="44" xr3:uid="{00000000-0010-0000-0000-00002C000000}" name="#Potential required new water points" dataDxfId="710" totalsRowDxfId="709"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08" totalsRowDxfId="707" dataCellStyle="Percent">
      <calculatedColumnFormula>WWWW[[#This Row],[HRP2]]/WWWW[[#This Row],[Total PoP ]]</calculatedColumnFormula>
    </tableColumn>
    <tableColumn id="18" xr3:uid="{00000000-0010-0000-0000-000012000000}" name="HRP2" dataDxfId="706" totalsRowDxfId="705">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04" totalsRowDxfId="703">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02" totalsRowDxfId="701" dataCellStyle="Percent">
      <calculatedColumnFormula>WWWW[[#This Row],['#_of_latrines_in_TLS/CFS]]*50</calculatedColumnFormula>
    </tableColumn>
    <tableColumn id="67" xr3:uid="{281E2138-F178-4765-8CBE-290B98C64EFE}" name="# people access to functioning latrines in THF_HRP6" dataDxfId="700" totalsRowDxfId="699" dataCellStyle="Percent">
      <calculatedColumnFormula>IF(WWWW[[#This Row],['#_of_latrines_in_THF]]="",0,WWWW[[#This Row],['#_of_latrines_in_THF]]*50)</calculatedColumnFormula>
    </tableColumn>
    <tableColumn id="73" xr3:uid="{00000000-0010-0000-0000-000049000000}" name="Total required Latrines" dataDxfId="698" totalsRowDxfId="697" dataCellStyle="Percent">
      <calculatedColumnFormula>ROUND(IF(WWWW[[#This Row],[Location Type 1]]="camp",WWWW[[#This Row],[Total PoP ]]/20),0)</calculatedColumnFormula>
    </tableColumn>
    <tableColumn id="49" xr3:uid="{00000000-0010-0000-0000-000031000000}" name="# potential required new latrines" dataDxfId="696" totalsRowDxfId="695"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94" totalsRowDxfId="693">
      <calculatedColumnFormula>1-WWWW[[#This Row],[% HRP2]]</calculatedColumnFormula>
    </tableColumn>
    <tableColumn id="76" xr3:uid="{00000000-0010-0000-0000-00004C000000}" name="% Latrines requiring  repairs" dataDxfId="692" totalsRowDxfId="691"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90" totalsRowDxfId="689">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27" xr3:uid="{40C6F8E9-B5B2-4F47-9C03-AD14B78E6336}" name="# people reached by regular dedicated hygiene promotion_6" dataDxfId="688" totalsRowDxfId="687">
      <calculatedColumnFormula>SUM(WWWW[[#This Row],[_'#_of_Men_receiving_consultation_hygiene_promotion_messages_and_sessions]:[_'#_of_Girls_receiving_consultation_hygiene_promotion_messages_and_sessions]])-WWWW[[#This Row],['# people reached by regular dedicated hygiene promotion_5]]</calculatedColumnFormula>
    </tableColumn>
    <tableColumn id="40" xr3:uid="{00000000-0010-0000-0000-000028000000}" name="# People with access to soap" dataDxfId="686" totalsRowDxfId="685"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84" totalsRowDxfId="683"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82" totalsRowDxfId="681"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80" totalsRowDxfId="679"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78" totalsRowDxfId="677">
      <calculatedColumnFormula>IF(WWWW[[#This Row],[HRP3]]/WWWW[[#This Row],[Total PoP ]]&gt;100%,100%,WWWW[[#This Row],[HRP3]]/WWWW[[#This Row],[Total PoP ]])</calculatedColumnFormula>
    </tableColumn>
    <tableColumn id="72" xr3:uid="{00000000-0010-0000-0000-000048000000}" name="Hygiene Gap%" dataDxfId="676" totalsRowDxfId="675" dataCellStyle="Percent">
      <calculatedColumnFormula>1-WWWW[[#This Row],[Hygiene Coverage%]]</calculatedColumnFormula>
    </tableColumn>
    <tableColumn id="96" xr3:uid="{00000000-0010-0000-0000-000060000000}" name="%people reached by regular dedicated hygiene promotion" dataDxfId="674" totalsRowDxfId="673" dataCellStyle="Percent">
      <calculatedColumnFormula>WWWW[[#This Row],['# people reached by regular dedicated hygiene promotion_5]]/WWWW[[#This Row],[Total PoP ]]</calculatedColumnFormula>
    </tableColumn>
    <tableColumn id="55" xr3:uid="{00000000-0010-0000-0000-000037000000}" name="%HH with access to soap" dataDxfId="672" totalsRowDxfId="671"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670" totalsRowDxfId="669">
      <calculatedColumnFormula>IF(WWWW[[#This Row],['#_students at TLS_CFS]]="","No","Yes")</calculatedColumnFormula>
    </tableColumn>
    <tableColumn id="38" xr3:uid="{794A858C-E6A5-49E1-8410-D4883797176F}" name="%_of_affected_people_surveyed_who_report_feeling_informed_about_the_different_WASH_services_available_to_them2" dataDxfId="668" totalsRowDxfId="667" dataCellStyle="Percent">
      <calculatedColumnFormula>WWWW[[#This Row],[%_of_affected_people_surveyed_who_report_feeling_informed_about_the_different_WASH_services_available_to_them]]</calculatedColumnFormula>
    </tableColumn>
    <tableColumn id="71" xr3:uid="{842D370B-98F2-4E9C-B7C9-EDBEC58AD26C}" name="HRP4" dataDxfId="666" totalsRowDxfId="665"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664" totalsRowDxfId="663"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662" totalsRowDxfId="661"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58" xr3:uid="{00000000-0010-0000-0000-00003A000000}" name="CCCM Management" dataDxfId="660" totalsRowDxfId="659" dataCellStyle="Percent">
      <calculatedColumnFormula>VLOOKUP(WWWW[[#This Row],[Site Name]],SiteDB6[[Site Name]:[CCCM Management]],6,FALSE)</calculatedColumnFormula>
    </tableColumn>
    <tableColumn id="81" xr3:uid="{00000000-0010-0000-0000-000051000000}" name="CCCM Focal Agency" dataDxfId="658" totalsRowDxfId="657" dataCellStyle="Percent">
      <calculatedColumnFormula>VLOOKUP(WWWW[[#This Row],[Site Name]],SiteDB6[[Site Name]:[CCCM Focal Agency]],7,FALSE)</calculatedColumnFormula>
    </tableColumn>
    <tableColumn id="80" xr3:uid="{00000000-0010-0000-0000-000050000000}" name="Location Type 1" dataDxfId="656" totalsRowDxfId="655" dataCellStyle="Percent">
      <calculatedColumnFormula>VLOOKUP(WWWW[[#This Row],[Site Name]],SiteDB6[[Site Name]:[Location Type 1]],9,FALSE)</calculatedColumnFormula>
    </tableColumn>
    <tableColumn id="45" xr3:uid="{00000000-0010-0000-0000-00002D000000}" name="Type of accommodation" dataDxfId="654" totalsRowDxfId="653" dataCellStyle="Percent">
      <calculatedColumnFormula>VLOOKUP(WWWW[[#This Row],[Site Name]],SiteDB6[[Site Name]:[Type of Accommodation]],10,FALSE)</calculatedColumnFormula>
    </tableColumn>
    <tableColumn id="46" xr3:uid="{00000000-0010-0000-0000-00002E000000}" name="Ethnic or GCA/NGCA" dataDxfId="652" totalsRowDxfId="651" dataCellStyle="Percent">
      <calculatedColumnFormula>VLOOKUP(WWWW[[#This Row],[Site Name]],SiteDB6[[Site Name]:[Ethnic or GCA/NGCA]],11,FALSE)</calculatedColumnFormula>
    </tableColumn>
    <tableColumn id="60" xr3:uid="{00000000-0010-0000-0000-00003C000000}" name="Lat" dataDxfId="650" totalsRowDxfId="649" dataCellStyle="Percent">
      <calculatedColumnFormula>VLOOKUP(WWWW[[#This Row],[Site Name]],SiteDB6[[Site Name]:[Lat]],12,FALSE)</calculatedColumnFormula>
    </tableColumn>
    <tableColumn id="61" xr3:uid="{00000000-0010-0000-0000-00003D000000}" name="Long" dataDxfId="648" totalsRowDxfId="647" dataCellStyle="Percent">
      <calculatedColumnFormula>VLOOKUP(WWWW[[#This Row],[Site Name]],SiteDB6[[Site Name]:[Long]],13,FALSE)</calculatedColumnFormula>
    </tableColumn>
    <tableColumn id="62" xr3:uid="{00000000-0010-0000-0000-00003E000000}" name="Pcode" dataDxfId="646" totalsRowDxfId="645" dataCellStyle="Percent">
      <calculatedColumnFormula>VLOOKUP(WWWW[[#This Row],[Site Name]],SiteDB6[[Site Name]:[Pcode]],3,FALSE)</calculatedColumnFormula>
    </tableColumn>
    <tableColumn id="63" xr3:uid="{00000000-0010-0000-0000-00003F000000}" name="Covered" dataDxfId="644" totalsRowDxfId="643">
      <calculatedColumnFormula>IF(C7="none","Notcovered","Covered")</calculatedColumnFormula>
    </tableColumn>
    <tableColumn id="22" xr3:uid="{826CE2B6-5FC4-4AEB-8DBB-6684ACBBF4AF}" name="# of Male_People with disabilities" dataDxfId="642" totalsRowDxfId="641"/>
    <tableColumn id="29" xr3:uid="{2F55C443-7C7C-4E42-8C0C-D0E64838ADAE}" name="# of Female_People with disabilities" dataDxfId="640" totalsRowDxfId="639"/>
    <tableColumn id="30" xr3:uid="{0DE26D30-0937-450A-9585-92FC5884D6D1}" name="# of Total_People with disabilities" dataDxfId="638" totalsRowDxfId="637">
      <calculatedColumnFormula>WWWW[[#This Row],['# of Male_People with disabilities]]+WWWW[[#This Row],['# of Female_People with disabilities]]</calculatedColumnFormula>
    </tableColumn>
    <tableColumn id="64" xr3:uid="{00000000-0010-0000-0000-000040000000}" name="Remark" dataDxfId="636" totalsRowDxfId="635"/>
    <tableColumn id="33" xr3:uid="{02022A16-5972-46BA-BBEF-68F193981FB1}" name="Total consultations" dataDxfId="634" totalsRowDxfId="633"/>
    <tableColumn id="35" xr3:uid="{CABA44DE-E161-49DA-95B2-6891B6FACF4B}" name="Cases of Acute watery diarrhea" dataDxfId="632" totalsRowDxfId="631"/>
    <tableColumn id="36" xr3:uid="{2FAA2AA3-3F27-4441-95E9-C7B30805F79D}" name="Deaths of Acute watery diarrhea" dataDxfId="630" totalsRowDxfId="629"/>
    <tableColumn id="93" xr3:uid="{71442401-24FB-48CA-817A-EB31B142910C}" name="HH" dataDxfId="628" totalsRowDxfId="627">
      <calculatedColumnFormula>VLOOKUP(WWWW[[#This Row],[Site Name]],SiteDB6[[Site Name]:[Pop
(CCCM as of Autust 2021)]],16,FALSE)</calculatedColumnFormula>
    </tableColumn>
    <tableColumn id="94" xr3:uid="{FBB21E2F-61FB-48C2-BD10-5BDB01E8B6DC}" name="Pop" dataDxfId="626" totalsRowDxfId="625">
      <calculatedColumnFormula>VLOOKUP(WWWW[[#This Row],[Site Name]],SiteDB6[[Site Name]:[Pop
(CCCM as of Autust 2021)]],17,FALSE)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18" dataDxfId="617">
  <autoFilter ref="A2:Z1111" xr:uid="{4F1541E4-DEDA-4A05-BD35-F06B0B55EE7C}">
    <filterColumn colId="3">
      <filters>
        <filter val="CCCM_2021Aug"/>
      </filters>
    </filterColumn>
    <filterColumn colId="11">
      <filters>
        <filter val="Individual House"/>
        <filter val="Planned Camp"/>
        <filter val="Self Settled Camp"/>
      </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16"/>
    <tableColumn id="12" xr3:uid="{00000000-0010-0000-0100-00000C000000}" name="Township" dataDxfId="615"/>
    <tableColumn id="1" xr3:uid="{00000000-0010-0000-0100-000001000000}" name="Site Name" dataDxfId="614"/>
    <tableColumn id="26" xr3:uid="{00000000-0010-0000-0100-00001A000000}" name="open in cccm?" dataDxfId="613"/>
    <tableColumn id="2" xr3:uid="{00000000-0010-0000-0100-000002000000}" name="Pcode" dataDxfId="612"/>
    <tableColumn id="20" xr3:uid="{00000000-0010-0000-0100-000014000000}" name="Vtract" dataDxfId="611"/>
    <tableColumn id="21" xr3:uid="{00000000-0010-0000-0100-000015000000}" name="VillageWard" dataDxfId="610"/>
    <tableColumn id="3" xr3:uid="{00000000-0010-0000-0100-000003000000}" name="CCCM Management" dataDxfId="609"/>
    <tableColumn id="4" xr3:uid="{00000000-0010-0000-0100-000004000000}" name="CCCM Focal Agency" dataDxfId="608"/>
    <tableColumn id="5" xr3:uid="{00000000-0010-0000-0100-000005000000}" name="Location Type" dataDxfId="607"/>
    <tableColumn id="6" xr3:uid="{00000000-0010-0000-0100-000006000000}" name="Location Type 1" dataDxfId="606"/>
    <tableColumn id="7" xr3:uid="{00000000-0010-0000-0100-000007000000}" name="Type of Accommodation" dataDxfId="605"/>
    <tableColumn id="8" xr3:uid="{00000000-0010-0000-0100-000008000000}" name="Ethnic or GCA/NGCA" dataDxfId="604"/>
    <tableColumn id="10" xr3:uid="{00000000-0010-0000-0100-00000A000000}" name="Lat" dataDxfId="603"/>
    <tableColumn id="9" xr3:uid="{00000000-0010-0000-0100-000009000000}" name="Long" dataDxfId="602"/>
    <tableColumn id="11" xr3:uid="{00000000-0010-0000-0100-00000B000000}" name="HRP categories" dataDxfId="601"/>
    <tableColumn id="14" xr3:uid="{00000000-0010-0000-0100-00000E000000}" name="Current 4 W reported list" dataDxfId="600"/>
    <tableColumn id="15" xr3:uid="{00000000-0010-0000-0100-00000F000000}" name="HH_x000a_(CCCM as of Autust 2021)" dataDxfId="599"/>
    <tableColumn id="16" xr3:uid="{00000000-0010-0000-0100-000010000000}" name="Pop_x000a_(CCCM as of Autust 2021)" dataDxfId="598"/>
    <tableColumn id="17" xr3:uid="{00000000-0010-0000-0100-000011000000}" name="Updated Date" dataDxfId="597"/>
    <tableColumn id="18" xr3:uid="{00000000-0010-0000-0100-000012000000}" name="Remark" dataDxfId="596"/>
    <tableColumn id="19" xr3:uid="{00000000-0010-0000-0100-000013000000}" name="Site Name_(Old)" dataDxfId="595"/>
    <tableColumn id="24" xr3:uid="{00000000-0010-0000-0100-000018000000}" name="Comments form CCCM" dataDxfId="594"/>
    <tableColumn id="22" xr3:uid="{FF7E7C61-548A-4487-B9AE-0A934724C919}" name="PWD_Male" dataDxfId="593"/>
    <tableColumn id="23" xr3:uid="{654EFBAD-22A1-49C0-AB60-83A62C3C60F0}" name="PWD_Female" dataDxfId="592"/>
    <tableColumn id="25" xr3:uid="{719F0BE0-8EA8-40DC-A8EB-6402E5D429D2}" name="PWD_Total" dataDxfId="5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7" dataDxfId="65" headerRowBorderDxfId="66" tableBorderDxfId="64" totalsRowBorderDxfId="63">
  <tableColumns count="7">
    <tableColumn id="1" xr3:uid="{7AAB66BC-5BF5-40FD-97AF-974F7637521D}" name="Gap in WASH covered camps / Township" dataDxfId="62"/>
    <tableColumn id="6" xr3:uid="{E335C298-4096-479C-9F84-9F534AB30841}" name="Partners " dataDxfId="61"/>
    <tableColumn id="7" xr3:uid="{BE20E5F5-CB4E-4255-B18C-D925A373D0C4}" name="# of sites" dataDxfId="60"/>
    <tableColumn id="2" xr3:uid="{ACC512AB-C6CA-48DF-8319-F409BB1D2EDF}" name="Total population" dataDxfId="59" dataCellStyle="Comma"/>
    <tableColumn id="3" xr3:uid="{0ACF7DF9-3CD0-4BE0-A469-5884EF213179}" name=" % _x000a_Water Gap" dataDxfId="58"/>
    <tableColumn id="4" xr3:uid="{D40DD8CD-93F1-46D7-B55E-1437D73B6B01}" name=" %_x000a_ Sanitation Gap" dataDxfId="57"/>
    <tableColumn id="5" xr3:uid="{219F4310-BB9C-4E5E-8F9A-AACDA441F896}" name="%  _x000a_Hygiene Gap" dataDxfId="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49" dT="2022-10-07T11:27:12.89" personId="{838A9BB6-5832-4BA9-94E9-D758885D0352}" id="{B8E9365D-F517-447A-95FB-9498E69FCFC9}">
    <text xml:space="preserve">No test has been performed during QR3 </text>
  </threadedComment>
  <threadedComment ref="V49" dT="2022-10-07T11:27:12.89" personId="{838A9BB6-5832-4BA9-94E9-D758885D0352}" id="{DF11D283-44AD-4157-9EB7-64F637E80931}">
    <text xml:space="preserve">No test has been performed during QR3 </text>
  </threadedComment>
  <threadedComment ref="W49" dT="2022-10-07T11:32:36.72" personId="{838A9BB6-5832-4BA9-94E9-D758885D0352}" id="{BFE32907-90D0-4C1C-9D45-5224D74BFCCF}">
    <text>Issue relative to the access and sample collected were not acceptable due to delay before performing the test</text>
  </threadedComment>
  <threadedComment ref="BA49" dT="2022-10-07T11:37:21.51" personId="{838A9BB6-5832-4BA9-94E9-D758885D0352}" id="{D14553B5-1583-4B35-AFEF-48F38DC40429}">
    <text>Will be reported in next quarter</text>
  </threadedComment>
  <threadedComment ref="BF49" dT="2022-10-07T11:38:33.93" personId="{838A9BB6-5832-4BA9-94E9-D758885D0352}" id="{1E08077B-7C8B-49F3-91B6-B9CF91ADC0CD}">
    <text>Distribution of commodes and potties</text>
  </threadedComment>
  <threadedComment ref="N51" dT="2022-09-29T04:17:17.93" personId="{3056CA83-51FF-45D0-B9A1-4DD3CC5E5B61}" id="{0E16B312-24A7-4515-8F35-F6FCB7B69C4C}">
    <text>BDP1 = TLS 1,2,3,14,15. Not available data in TLS 1</text>
  </threadedComment>
  <threadedComment ref="AE51" dT="2022-10-04T07:35:08.95" personId="{3056CA83-51FF-45D0-B9A1-4DD3CC5E5B61}" id="{496CC0BB-52F3-4E07-B65C-608BD365EE2B}">
    <text>Both BDP1 + BDP2</text>
  </threadedComment>
  <threadedComment ref="AF51" dT="2022-10-04T08:30:44.84" personId="{3056CA83-51FF-45D0-B9A1-4DD3CC5E5B61}" id="{9902946C-4F9F-4A7B-9A0A-DC5807E3B52E}">
    <text>Both BDP1 + BDP2</text>
  </threadedComment>
  <threadedComment ref="AG51" dT="2022-09-29T08:46:42.63" personId="{3056CA83-51FF-45D0-B9A1-4DD3CC5E5B61}" id="{389B5108-B4EE-4615-9F95-13297D0C3A7B}">
    <text>Both BDP1 and BDP2</text>
  </threadedComment>
  <threadedComment ref="AH51" dT="2022-09-29T08:46:53.26" personId="{3056CA83-51FF-45D0-B9A1-4DD3CC5E5B61}" id="{9B0BCD23-D104-456C-906A-364E601ADF54}">
    <text>Both BDP1 and BDP2</text>
  </threadedComment>
  <threadedComment ref="AI51" dT="2022-09-29T08:46:58.72" personId="{3056CA83-51FF-45D0-B9A1-4DD3CC5E5B61}" id="{0D2CEBAB-BDC1-45A6-A58C-8B1777576C26}">
    <text>Both BDP1 and BDP2</text>
  </threadedComment>
  <threadedComment ref="AJ51" dT="2022-09-29T09:04:15.87" personId="{3056CA83-51FF-45D0-B9A1-4DD3CC5E5B61}" id="{01A6FC87-CBF1-495A-B04D-4BA66E2AA7DA}">
    <text>All of 4 latrines (ref-1) in BDP1 are non-functional</text>
  </threadedComment>
  <threadedComment ref="AP51" dT="2022-10-01T13:51:00.30" personId="{37A2F8FD-934B-4A8F-B760-873BEF2F229F}" id="{74E237B5-0A13-474E-AF61-F858D9D66213}">
    <text>BDP1+BDP2</text>
  </threadedComment>
  <threadedComment ref="AR51" dT="2022-10-01T13:59:14.02" personId="{37A2F8FD-934B-4A8F-B760-873BEF2F229F}" id="{30B1CDCC-A4D6-4C82-A04E-0EEECD173505}">
    <text>BDP1+BDP2</text>
  </threadedComment>
  <threadedComment ref="AV51" dT="2022-09-29T09:31:57.42" personId="{3056CA83-51FF-45D0-B9A1-4DD3CC5E5B61}" id="{FF84EE74-DEE8-44E9-B952-9D92392F1305}">
    <text>Both BDP1 + BDP2</text>
  </threadedComment>
  <threadedComment ref="AW51" dT="2022-09-29T10:09:22.43" personId="{3056CA83-51FF-45D0-B9A1-4DD3CC5E5B61}" id="{44D19FE3-4AF4-4D56-8202-3851BE2A36B5}">
    <text>Both BDP1+BDP2</text>
  </threadedComment>
  <threadedComment ref="AX51" dT="2022-09-29T08:17:20.72" personId="{3056CA83-51FF-45D0-B9A1-4DD3CC5E5B61}" id="{7062480A-EC46-4023-B587-620AB77502FF}">
    <text>Both BDP1 and PDP2</text>
  </threadedComment>
  <threadedComment ref="AZ51" dT="2022-10-02T14:42:37.64" personId="{37A2F8FD-934B-4A8F-B760-873BEF2F229F}" id="{0A522CE6-DE42-49D9-9D2A-11C619666CA0}">
    <text>BDP1+BDP2</text>
  </threadedComment>
  <threadedComment ref="BB51" dT="2022-09-29T10:23:30.43" personId="{3056CA83-51FF-45D0-B9A1-4DD3CC5E5B61}" id="{813F0501-EE3F-4DBB-B134-FC0FC2607C48}">
    <text>Both BDP1+BDP2</text>
  </threadedComment>
  <threadedComment ref="BE51" dT="2022-10-04T07:45:14.08" personId="{3056CA83-51FF-45D0-B9A1-4DD3CC5E5B61}" id="{9E49038C-7138-4738-8A76-012CCDAC9CF2}">
    <text>Both BDP1+BDP2</text>
  </threadedComment>
  <threadedComment ref="N52" dT="2022-09-29T05:15:25.20" personId="{3056CA83-51FF-45D0-B9A1-4DD3CC5E5B61}" id="{ADA4C27C-FA5E-4FA1-BC3D-354C830671F6}">
    <text>BDP2= TLS-4, 5, 7, 8 12, 13. Not available student data in some TLS (TLS 12,and TLS 13)</text>
  </threadedComment>
  <threadedComment ref="AJ52" dT="2022-09-29T09:03:21.09" personId="{3056CA83-51FF-45D0-B9A1-4DD3CC5E5B61}" id="{A6150844-4FB0-48B3-9715-3419B214EFCC}">
    <text>2 out of 20 Children Friendly Latrines in BDP2 are functional.</text>
  </threadedComment>
  <threadedComment ref="AP52" dT="2022-10-01T13:51:00.30" personId="{37A2F8FD-934B-4A8F-B760-873BEF2F229F}" id="{DB087626-9BE5-447C-88BF-C9BDB13D216C}">
    <text>BDP1+BDP2</text>
  </threadedComment>
  <threadedComment ref="AR52" dT="2022-10-01T13:59:14.02" personId="{37A2F8FD-934B-4A8F-B760-873BEF2F229F}" id="{A4136001-90FD-45D5-A264-0EDACD5F4F80}">
    <text>BDP1+BDP2</text>
  </threadedComment>
  <threadedComment ref="AV52" dT="2022-09-29T09:31:57.42" personId="{3056CA83-51FF-45D0-B9A1-4DD3CC5E5B61}" id="{18E854B7-E403-4A04-8E9F-7A86CEC5BA37}">
    <text>Both BDP1 + BDP2</text>
  </threadedComment>
  <threadedComment ref="AW52" dT="2022-09-29T10:09:22.43" personId="{3056CA83-51FF-45D0-B9A1-4DD3CC5E5B61}" id="{7CA69350-4647-4A1A-9BB3-FD88232E1A79}">
    <text>Both BDP1+BDP2</text>
  </threadedComment>
  <threadedComment ref="U57" dT="2022-10-07T11:27:12.89" personId="{838A9BB6-5832-4BA9-94E9-D758885D0352}" id="{018C6C27-8E18-4D3B-AC2C-686429AFF093}">
    <text xml:space="preserve">No test has been performed during QR3 </text>
  </threadedComment>
  <threadedComment ref="V57" dT="2022-10-07T11:27:12.89" personId="{838A9BB6-5832-4BA9-94E9-D758885D0352}" id="{EF0FF761-EE7C-4B69-8F4F-E9D2FEE2A6B3}">
    <text xml:space="preserve">No test has been performed during QR3 </text>
  </threadedComment>
  <threadedComment ref="BA57" dT="2022-10-07T11:37:21.51" personId="{838A9BB6-5832-4BA9-94E9-D758885D0352}" id="{5897A532-3208-4EA9-932A-91039B433C4A}">
    <text>Will be reported in next quarter</text>
  </threadedComment>
  <threadedComment ref="BF57" dT="2022-10-07T11:38:41.82" personId="{838A9BB6-5832-4BA9-94E9-D758885D0352}" id="{1FC930D2-47AD-460E-8B35-DA97F66F5B25}">
    <text>Distribution of commodes and potties</text>
  </threadedComment>
  <threadedComment ref="Q59" dT="2022-10-07T11:21:47.75" personId="{838A9BB6-5832-4BA9-94E9-D758885D0352}" id="{29A847F2-47F7-4346-BF9C-85BE3A19F65C}">
    <text>Number of Pond sand filters</text>
  </threadedComment>
  <threadedComment ref="U59" dT="2022-10-07T11:27:12.89" personId="{838A9BB6-5832-4BA9-94E9-D758885D0352}" id="{ACB8B29B-0254-4C27-9229-86E3DE0844F8}">
    <text xml:space="preserve">No test has been performed during QR3 </text>
  </threadedComment>
  <threadedComment ref="V59" dT="2022-10-07T11:27:12.89" personId="{838A9BB6-5832-4BA9-94E9-D758885D0352}" id="{BA291E0E-6A1F-42B4-9061-2ED811E7CCC1}">
    <text xml:space="preserve">No test has been performed during QR3 </text>
  </threadedComment>
  <threadedComment ref="BA59" dT="2022-10-07T11:37:21.51" personId="{838A9BB6-5832-4BA9-94E9-D758885D0352}" id="{F5179BC4-FC86-48BA-ADD2-17551BB9C0FD}">
    <text>Will be reported in next quarter</text>
  </threadedComment>
  <threadedComment ref="BD59" dT="2022-10-04T07:12:44.98" personId="{3056CA83-51FF-45D0-B9A1-4DD3CC5E5B61}" id="{0E1DEF5F-3C33-4046-96EB-F6E5BF3BF106}">
    <text>Both NC1 and NC2</text>
  </threadedComment>
  <threadedComment ref="BF59" dT="2022-10-07T11:38:48.69" personId="{838A9BB6-5832-4BA9-94E9-D758885D0352}" id="{F6D3E323-F2BE-4BC3-9492-6D72AA4486A5}">
    <text>Distribution of commodes and potties</text>
  </threadedComment>
  <threadedComment ref="Q60" dT="2022-10-07T11:21:52.65" personId="{838A9BB6-5832-4BA9-94E9-D758885D0352}" id="{74BD57C3-8A94-4462-9FBD-9E6FAE92E01D}">
    <text>Number of Pond sand filters</text>
  </threadedComment>
  <threadedComment ref="U60" dT="2022-10-07T11:27:12.89" personId="{838A9BB6-5832-4BA9-94E9-D758885D0352}" id="{A805A56F-59AC-4E77-BA53-34CFA3D904BB}">
    <text xml:space="preserve">No test has been performed during QR3 </text>
  </threadedComment>
  <threadedComment ref="V60" dT="2022-10-07T11:27:12.89" personId="{838A9BB6-5832-4BA9-94E9-D758885D0352}" id="{59AF5FEE-66A3-4A6C-912A-E923EE8D5B53}">
    <text xml:space="preserve">No test has been performed during QR3 </text>
  </threadedComment>
  <threadedComment ref="BA60" dT="2022-10-07T11:37:21.51" personId="{838A9BB6-5832-4BA9-94E9-D758885D0352}" id="{26DA5AC7-35A5-4C9B-9656-481DBC8902C6}">
    <text>Will be reported in next quarter</text>
  </threadedComment>
  <threadedComment ref="BF60" dT="2022-10-07T11:38:55.12" personId="{838A9BB6-5832-4BA9-94E9-D758885D0352}" id="{11077769-646A-4E4D-A14B-567ED15754FA}">
    <text>Distribution of commodes and potties</text>
  </threadedComment>
  <threadedComment ref="M66" dT="2022-10-03T04:04:21.91" personId="{7C53DFCD-3943-4211-B212-DEDA2DD5BFF0}" id="{0F7AEBD3-A2B9-4BAC-82E7-AEF4F4F96277}">
    <text>BHA Project</text>
  </threadedComment>
  <threadedComment ref="AJ68" dT="2022-09-29T09:05:01.04" personId="{3056CA83-51FF-45D0-B9A1-4DD3CC5E5B61}" id="{B3913B1C-A12D-4B75-8E2D-8F2D03D104F0}">
    <text>No Children Friendly Latrines in TCC.</text>
  </threadedComment>
  <threadedComment ref="AK70" dT="2023-01-12T09:06:00.88" personId="{3056CA83-51FF-45D0-B9A1-4DD3CC5E5B61}" id="{8F7E8442-5BCA-47C0-B48B-B69B8884A1A4}">
    <text>The number of person with disabilities are from CMA list</text>
  </threadedComment>
  <threadedComment ref="N72" dT="2022-09-29T04:17:17.93" personId="{3056CA83-51FF-45D0-B9A1-4DD3CC5E5B61}" id="{985843FE-41A6-49FC-97B8-2DD152013B90}">
    <text>BDP1 = TLS 1,2,3,14,15. Not available data in TLS 1</text>
  </threadedComment>
  <threadedComment ref="AE72" dT="2023-01-06T03:57:58.59" personId="{3056CA83-51FF-45D0-B9A1-4DD3CC5E5B61}" id="{8A0BFB3E-D2A5-4CD8-AF70-5CD15B924D21}">
    <text>Both BDP1+2</text>
  </threadedComment>
  <threadedComment ref="AF72" dT="2023-01-06T04:03:13.10" personId="{3056CA83-51FF-45D0-B9A1-4DD3CC5E5B61}" id="{BE552D34-B6EA-44F4-B206-1127BBD04941}">
    <text>Both BDP1 +2</text>
  </threadedComment>
  <threadedComment ref="AG72" dT="2022-09-29T08:46:42.63" personId="{3056CA83-51FF-45D0-B9A1-4DD3CC5E5B61}" id="{3B65D3D1-2E8B-4267-9B95-51CD6B284145}">
    <text>Both BDP1 and BDP2</text>
  </threadedComment>
  <threadedComment ref="AH72" dT="2022-09-29T08:46:53.26" personId="{3056CA83-51FF-45D0-B9A1-4DD3CC5E5B61}" id="{1867A9D5-762B-4227-B744-DE38017CF10A}">
    <text>Both BDP1 and BDP2</text>
  </threadedComment>
  <threadedComment ref="AI72" dT="2022-09-29T08:46:58.72" personId="{3056CA83-51FF-45D0-B9A1-4DD3CC5E5B61}" id="{EA635C65-6D83-4836-8D63-D38CF12850C9}">
    <text>Both BDP1 and BDP2</text>
  </threadedComment>
  <threadedComment ref="AP72" dT="2023-01-05T14:19:40.42" personId="{37A2F8FD-934B-4A8F-B760-873BEF2F229F}" id="{CE41657C-55B8-459C-BB7A-C6572ACB736D}">
    <text>BDP- 1+2</text>
  </threadedComment>
  <threadedComment ref="AQ72" dT="2023-01-05T14:19:58.03" personId="{37A2F8FD-934B-4A8F-B760-873BEF2F229F}" id="{827CB311-C351-4EBD-97C1-6A79A3D42877}">
    <text>BDP-1+2</text>
  </threadedComment>
  <threadedComment ref="AR72" dT="2023-01-05T14:37:34.59" personId="{37A2F8FD-934B-4A8F-B760-873BEF2F229F}" id="{34B883B2-EE11-4D8E-9574-B3C7383D1CB0}">
    <text>BDP-1+2</text>
  </threadedComment>
  <threadedComment ref="AS72" dT="2023-01-05T14:37:51.03" personId="{37A2F8FD-934B-4A8F-B760-873BEF2F229F}" id="{07BB0095-E540-4212-BECC-A1E00CAE1C80}">
    <text>BDP-1+2</text>
  </threadedComment>
  <threadedComment ref="AT72" dT="2023-01-06T07:19:40.64" personId="{3056CA83-51FF-45D0-B9A1-4DD3CC5E5B61}" id="{43F5E916-7C80-4AB0-A7CD-09E4D0FB0812}">
    <text>Both BDP1 and BDP2</text>
  </threadedComment>
  <threadedComment ref="AU72" dT="2023-01-06T07:19:44.94" personId="{3056CA83-51FF-45D0-B9A1-4DD3CC5E5B61}" id="{1264D8D1-8F2F-4FF8-9B6A-A8E0A8671D46}">
    <text>Both BDP1 and BDP2</text>
  </threadedComment>
  <threadedComment ref="AV72" dT="2022-09-29T09:31:57.42" personId="{3056CA83-51FF-45D0-B9A1-4DD3CC5E5B61}" id="{80AC2842-1644-40F4-8690-7619731028B4}">
    <text>Both BDP1 + BDP2</text>
  </threadedComment>
  <threadedComment ref="AW72" dT="2022-09-29T10:09:22.43" personId="{3056CA83-51FF-45D0-B9A1-4DD3CC5E5B61}" id="{5EECC709-FBAF-45A6-9CC1-184112A2F0C2}">
    <text>Both BDP1+BDP2</text>
  </threadedComment>
  <threadedComment ref="BE72" dT="2022-10-04T07:45:14.08" personId="{3056CA83-51FF-45D0-B9A1-4DD3CC5E5B61}" id="{2D3EB831-AA5E-4772-8B25-9932FFB63C89}">
    <text>Both BDP1+BDP2</text>
  </threadedComment>
  <threadedComment ref="N73" dT="2022-09-29T05:15:25.20" personId="{3056CA83-51FF-45D0-B9A1-4DD3CC5E5B61}" id="{66ABE2DF-D8FE-4F70-B1B3-4EC62C963D7F}">
    <text>BDP2= TLS-4, 5, 7, 8 12, 13. Not available student data in some TLS (TLS 12,and TLS 13)</text>
  </threadedComment>
  <threadedComment ref="AP73" dT="2023-01-05T14:19:40.42" personId="{37A2F8FD-934B-4A8F-B760-873BEF2F229F}" id="{816FE417-32D1-443C-A54D-4E3786B3430D}">
    <text>BDP- 1+2</text>
  </threadedComment>
  <threadedComment ref="AQ73" dT="2023-01-05T14:19:58.03" personId="{37A2F8FD-934B-4A8F-B760-873BEF2F229F}" id="{2E8007A4-E2F0-499F-BD13-58A125752577}">
    <text>BDP-1+2</text>
  </threadedComment>
  <threadedComment ref="AR73" dT="2023-01-05T14:37:34.59" personId="{37A2F8FD-934B-4A8F-B760-873BEF2F229F}" id="{1F20439B-5396-44A4-99CA-52981AA11707}">
    <text>BDP-1+2</text>
  </threadedComment>
  <threadedComment ref="AS73" dT="2023-01-05T14:37:51.03" personId="{37A2F8FD-934B-4A8F-B760-873BEF2F229F}" id="{556D89AA-BE42-473B-B71D-BA0D2EBF0FFB}">
    <text>BDP-1+2</text>
  </threadedComment>
  <threadedComment ref="AT73" dT="2023-01-06T07:19:40.64" personId="{3056CA83-51FF-45D0-B9A1-4DD3CC5E5B61}" id="{57DF5651-BD7B-4D5C-BD00-773C4ABA8757}">
    <text>Both BDP1 and BDP2</text>
  </threadedComment>
  <threadedComment ref="AV73" dT="2022-09-29T09:31:57.42" personId="{3056CA83-51FF-45D0-B9A1-4DD3CC5E5B61}" id="{3C411C8F-5B32-421B-8961-C53C23794EB5}">
    <text>Both BDP1 + BDP2</text>
  </threadedComment>
  <threadedComment ref="BE73" dT="2022-10-04T07:45:14.08" personId="{3056CA83-51FF-45D0-B9A1-4DD3CC5E5B61}" id="{37B61B52-A955-443F-8EEC-7772E9A237DD}">
    <text>Both BDP1+BDP2</text>
  </threadedComment>
  <threadedComment ref="AI75" dT="2023-01-05T10:08:22.55" personId="{3E02E326-F367-4C73-B756-D5B4A2DE8FFF}" id="{F5AE2174-9A2D-40D2-A13E-EEB84576F303}">
    <text>Conduted the satisfaction survey in July</text>
  </threadedComment>
  <threadedComment ref="AK78" dT="2023-01-12T09:05:22.78" personId="{3056CA83-51FF-45D0-B9A1-4DD3CC5E5B61}" id="{5F289601-64CA-46F9-9947-68DFB69C5D5D}">
    <text>The number of person with disabilities are from CMA list</text>
  </threadedComment>
  <threadedComment ref="Q80" dT="2022-10-07T11:21:47.75" personId="{838A9BB6-5832-4BA9-94E9-D758885D0352}" id="{9DBE15BC-19CE-4F1B-B3CD-9A5772FFC0F9}">
    <text>Number of Pond sand filters</text>
  </threadedComment>
  <threadedComment ref="AK80" dT="2023-01-12T09:06:04.73" personId="{3056CA83-51FF-45D0-B9A1-4DD3CC5E5B61}" id="{7C749EDE-BAC7-4474-A816-5E0194E03406}">
    <text>The number of person with disabilities are from CMA list</text>
  </threadedComment>
  <threadedComment ref="BD80" dT="2022-10-04T07:12:44.98" personId="{3056CA83-51FF-45D0-B9A1-4DD3CC5E5B61}" id="{3F052C0B-2771-473B-8654-A064073BEF1E}">
    <text>Both NC1 and NC2</text>
  </threadedComment>
  <threadedComment ref="AK81" dT="2023-01-12T09:06:09.21" personId="{3056CA83-51FF-45D0-B9A1-4DD3CC5E5B61}" id="{5931DB60-CB5D-4661-968E-55677746F275}">
    <text>The number of person with disabilities are from CMA list</text>
  </threadedComment>
  <threadedComment ref="AV84" dT="2023-01-12T10:11:52.35" personId="{7C53DFCD-3943-4211-B212-DEDA2DD5BFF0}" id="{B616C631-61CF-43B7-A213-C51D838D57E2}">
    <text>New constructed and haven't collect data</text>
  </threadedComment>
  <threadedComment ref="AV85" dT="2023-01-12T10:11:52.35" personId="{7C53DFCD-3943-4211-B212-DEDA2DD5BFF0}" id="{7D439422-12D6-47D4-BDF5-4D92CD907387}">
    <text>New constructed and haven't collect data</text>
  </threadedComment>
  <threadedComment ref="M87" dT="2022-10-03T04:04:21.91" personId="{7C53DFCD-3943-4211-B212-DEDA2DD5BFF0}" id="{AE8D8650-D1D2-4B5A-B52F-98775CC009EF}">
    <text>BHA Project</text>
  </threadedComment>
  <threadedComment ref="W87" dT="2023-01-12T09:52:54.05" personId="{7C53DFCD-3943-4211-B212-DEDA2DD5BFF0}" id="{13E28ABE-F92B-43AF-8AC7-549C1061F937}">
    <text>Only tested FRC</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microsoft.com/office/2007/relationships/slicer" Target="../slicers/slicer1.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drawing" Target="../drawings/drawing5.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rinterSettings" Target="../printerSettings/printerSettings8.bin"/><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8"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ivotTable" Target="../pivotTables/pivotTable35.xml"/></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ivotTable" Target="../pivotTables/pivotTable36.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3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987" t="s">
        <v>76</v>
      </c>
      <c r="C2" s="988"/>
      <c r="D2" s="988"/>
      <c r="E2" s="988"/>
      <c r="F2" s="988"/>
      <c r="G2" s="988"/>
      <c r="H2" s="988"/>
      <c r="I2" s="988"/>
      <c r="J2" s="988"/>
      <c r="K2" s="988"/>
      <c r="L2" s="988"/>
      <c r="M2" s="988"/>
      <c r="N2" s="988"/>
      <c r="O2" s="988"/>
      <c r="P2" s="988"/>
      <c r="Q2" s="988"/>
      <c r="R2" s="988"/>
      <c r="S2" s="988"/>
      <c r="T2" s="989"/>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990" t="s">
        <v>2688</v>
      </c>
      <c r="E26" s="991"/>
      <c r="F26" s="991"/>
      <c r="G26" s="991"/>
      <c r="H26" s="991"/>
      <c r="I26" s="991"/>
      <c r="J26" s="991"/>
      <c r="K26" s="991"/>
      <c r="L26" s="991"/>
      <c r="M26" s="991"/>
      <c r="N26" s="991"/>
      <c r="O26" s="991"/>
      <c r="P26" s="991"/>
      <c r="Q26" s="991"/>
      <c r="R26" s="991"/>
      <c r="S26" s="991"/>
      <c r="T26" s="992"/>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2689</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25"/>
  <sheetViews>
    <sheetView topLeftCell="D1" workbookViewId="0">
      <selection activeCell="P8" sqref="P8"/>
    </sheetView>
  </sheetViews>
  <sheetFormatPr defaultRowHeight="15.5"/>
  <cols>
    <col min="1" max="1" width="14" customWidth="1"/>
    <col min="3" max="5" width="11.08203125" bestFit="1" customWidth="1"/>
    <col min="6" max="6" width="9.08203125" bestFit="1" customWidth="1"/>
    <col min="7" max="7" width="10.08203125" bestFit="1" customWidth="1"/>
    <col min="8" max="8" width="13.58203125" customWidth="1"/>
    <col min="9" max="9" width="12.9140625" customWidth="1"/>
    <col min="10" max="10" width="14.6640625" customWidth="1"/>
    <col min="11" max="11" width="9.9140625" customWidth="1"/>
    <col min="12" max="12" width="14.58203125" customWidth="1"/>
    <col min="13" max="13" width="12.58203125" customWidth="1"/>
    <col min="14" max="14" width="11.83203125" customWidth="1"/>
  </cols>
  <sheetData>
    <row r="1" spans="1:14">
      <c r="C1" s="57"/>
      <c r="D1" s="57"/>
      <c r="E1" s="57"/>
      <c r="F1" s="57"/>
      <c r="G1" s="57"/>
      <c r="H1" s="57"/>
      <c r="I1" s="57"/>
    </row>
    <row r="2" spans="1:14" s="747" customFormat="1">
      <c r="A2" s="384" t="s">
        <v>34</v>
      </c>
      <c r="B2" s="57" t="s">
        <v>34</v>
      </c>
      <c r="C2" s="747">
        <f>SUM(C4:C27)</f>
        <v>122054</v>
      </c>
      <c r="D2" s="747">
        <f t="shared" ref="D2:N2" si="0">SUM(D4:D27)</f>
        <v>109290</v>
      </c>
      <c r="E2" s="747">
        <f t="shared" si="0"/>
        <v>118221.06182531895</v>
      </c>
      <c r="F2" s="747">
        <f t="shared" si="0"/>
        <v>6481</v>
      </c>
      <c r="G2" s="747">
        <f t="shared" si="0"/>
        <v>8250</v>
      </c>
      <c r="H2" s="747">
        <f t="shared" si="0"/>
        <v>600</v>
      </c>
      <c r="I2" s="747">
        <f t="shared" si="0"/>
        <v>118176.10182531895</v>
      </c>
      <c r="J2" s="747">
        <f t="shared" si="0"/>
        <v>74968</v>
      </c>
      <c r="K2" s="747">
        <f t="shared" si="0"/>
        <v>210</v>
      </c>
      <c r="L2" s="747">
        <f t="shared" si="0"/>
        <v>0</v>
      </c>
      <c r="M2" s="747">
        <f t="shared" si="0"/>
        <v>8250</v>
      </c>
      <c r="N2" s="747">
        <f t="shared" si="0"/>
        <v>600</v>
      </c>
    </row>
    <row r="3" spans="1:14" s="643" customFormat="1">
      <c r="A3"/>
      <c r="B3"/>
      <c r="C3"/>
      <c r="D3"/>
      <c r="E3"/>
      <c r="F3"/>
      <c r="G3"/>
      <c r="H3"/>
      <c r="I3"/>
      <c r="J3"/>
      <c r="K3"/>
      <c r="L3"/>
      <c r="M3"/>
    </row>
    <row r="4" spans="1:14" ht="128" customHeight="1">
      <c r="A4" s="57"/>
      <c r="B4" s="953" t="s">
        <v>3027</v>
      </c>
      <c r="C4" s="964" t="s">
        <v>3028</v>
      </c>
      <c r="D4" s="965" t="s">
        <v>3029</v>
      </c>
      <c r="E4" s="957" t="s">
        <v>3030</v>
      </c>
      <c r="F4" s="966" t="s">
        <v>3031</v>
      </c>
      <c r="G4" s="967" t="s">
        <v>3032</v>
      </c>
      <c r="H4" s="967" t="s">
        <v>3159</v>
      </c>
      <c r="I4" s="959" t="s">
        <v>3033</v>
      </c>
      <c r="J4" s="959" t="s">
        <v>3034</v>
      </c>
      <c r="K4" s="959" t="s">
        <v>3160</v>
      </c>
      <c r="L4" s="959" t="s">
        <v>3161</v>
      </c>
      <c r="M4" s="959" t="s">
        <v>3037</v>
      </c>
      <c r="N4" s="959" t="s">
        <v>3162</v>
      </c>
    </row>
    <row r="5" spans="1:14">
      <c r="A5" s="946" t="s">
        <v>411</v>
      </c>
      <c r="B5" s="952">
        <v>5133</v>
      </c>
      <c r="C5" s="949">
        <v>5133</v>
      </c>
      <c r="D5" s="950">
        <v>4516</v>
      </c>
      <c r="E5" s="951">
        <v>5133</v>
      </c>
      <c r="F5" s="960">
        <v>899</v>
      </c>
      <c r="G5" s="962">
        <v>0</v>
      </c>
      <c r="H5" s="59">
        <v>150</v>
      </c>
      <c r="I5" s="958">
        <v>5133</v>
      </c>
      <c r="J5" s="958">
        <v>5133</v>
      </c>
      <c r="K5" s="59"/>
      <c r="L5" s="59"/>
      <c r="M5" s="59">
        <v>0</v>
      </c>
      <c r="N5" s="59">
        <v>150</v>
      </c>
    </row>
    <row r="6" spans="1:14">
      <c r="A6" s="946" t="s">
        <v>413</v>
      </c>
      <c r="B6" s="952">
        <v>2489</v>
      </c>
      <c r="C6" s="949">
        <v>2489</v>
      </c>
      <c r="D6" s="950">
        <v>2480</v>
      </c>
      <c r="E6" s="951">
        <v>2489</v>
      </c>
      <c r="F6" s="960">
        <v>120</v>
      </c>
      <c r="G6" s="962">
        <v>200</v>
      </c>
      <c r="H6" s="59">
        <v>0</v>
      </c>
      <c r="I6" s="958">
        <v>2489</v>
      </c>
      <c r="J6" s="958">
        <v>755</v>
      </c>
      <c r="K6" s="59"/>
      <c r="L6" s="59"/>
      <c r="M6" s="59">
        <v>200</v>
      </c>
      <c r="N6" s="59">
        <v>0</v>
      </c>
    </row>
    <row r="7" spans="1:14">
      <c r="A7" s="946" t="s">
        <v>424</v>
      </c>
      <c r="B7" s="952">
        <v>5101</v>
      </c>
      <c r="C7" s="949">
        <v>5101</v>
      </c>
      <c r="D7" s="950">
        <v>4875</v>
      </c>
      <c r="E7" s="951">
        <v>5101</v>
      </c>
      <c r="F7" s="960">
        <v>254</v>
      </c>
      <c r="G7" s="962">
        <v>550</v>
      </c>
      <c r="H7" s="59">
        <v>0</v>
      </c>
      <c r="I7" s="958">
        <v>5101</v>
      </c>
      <c r="J7" s="958">
        <v>1766.5</v>
      </c>
      <c r="K7" s="59"/>
      <c r="L7" s="59"/>
      <c r="M7" s="59">
        <v>550</v>
      </c>
      <c r="N7" s="59">
        <v>0</v>
      </c>
    </row>
    <row r="8" spans="1:14">
      <c r="A8" s="946" t="s">
        <v>426</v>
      </c>
      <c r="B8" s="952">
        <v>8728</v>
      </c>
      <c r="C8" s="949">
        <v>8728</v>
      </c>
      <c r="D8" s="950">
        <v>5933</v>
      </c>
      <c r="E8" s="951">
        <v>8728</v>
      </c>
      <c r="F8" s="960">
        <v>382</v>
      </c>
      <c r="G8" s="962">
        <v>0</v>
      </c>
      <c r="H8" s="59">
        <v>0</v>
      </c>
      <c r="I8" s="958">
        <v>8728</v>
      </c>
      <c r="J8" s="958">
        <v>1766.5</v>
      </c>
      <c r="K8" s="59"/>
      <c r="L8" s="59"/>
      <c r="M8" s="59">
        <v>0</v>
      </c>
      <c r="N8" s="59">
        <v>0</v>
      </c>
    </row>
    <row r="9" spans="1:14">
      <c r="A9" s="946" t="s">
        <v>423</v>
      </c>
      <c r="B9" s="952">
        <v>11715</v>
      </c>
      <c r="C9" s="949">
        <v>11715</v>
      </c>
      <c r="D9" s="950">
        <v>11005</v>
      </c>
      <c r="E9" s="951">
        <v>11715</v>
      </c>
      <c r="F9" s="960">
        <v>570</v>
      </c>
      <c r="G9" s="962">
        <v>350</v>
      </c>
      <c r="H9" s="59">
        <v>0</v>
      </c>
      <c r="I9" s="958">
        <v>11715</v>
      </c>
      <c r="J9" s="958">
        <v>1270</v>
      </c>
      <c r="K9" s="59"/>
      <c r="L9" s="59"/>
      <c r="M9" s="59">
        <v>350</v>
      </c>
      <c r="N9" s="59">
        <v>0</v>
      </c>
    </row>
    <row r="10" spans="1:14">
      <c r="A10" s="946" t="s">
        <v>2271</v>
      </c>
      <c r="B10" s="952">
        <v>2248</v>
      </c>
      <c r="C10" s="949">
        <v>2248</v>
      </c>
      <c r="D10" s="950">
        <v>2248</v>
      </c>
      <c r="E10" s="951">
        <v>2248</v>
      </c>
      <c r="F10" s="960">
        <v>41</v>
      </c>
      <c r="G10" s="962">
        <v>200</v>
      </c>
      <c r="H10" s="59">
        <v>0</v>
      </c>
      <c r="I10" s="958">
        <v>2203.04</v>
      </c>
      <c r="J10" s="958">
        <v>2248</v>
      </c>
      <c r="K10" s="59"/>
      <c r="L10" s="59"/>
      <c r="M10" s="59">
        <v>200</v>
      </c>
      <c r="N10" s="59">
        <v>0</v>
      </c>
    </row>
    <row r="11" spans="1:14">
      <c r="A11" s="946" t="s">
        <v>2272</v>
      </c>
      <c r="B11" s="952">
        <v>2262</v>
      </c>
      <c r="C11" s="949">
        <v>2262</v>
      </c>
      <c r="D11" s="950">
        <v>2238</v>
      </c>
      <c r="E11" s="951">
        <v>2262</v>
      </c>
      <c r="F11" s="960">
        <v>104</v>
      </c>
      <c r="G11" s="962">
        <v>150</v>
      </c>
      <c r="H11" s="59">
        <v>0</v>
      </c>
      <c r="I11" s="958">
        <v>2262</v>
      </c>
      <c r="J11" s="958">
        <v>592</v>
      </c>
      <c r="K11" s="59"/>
      <c r="L11" s="59"/>
      <c r="M11" s="59">
        <v>150</v>
      </c>
      <c r="N11" s="59">
        <v>0</v>
      </c>
    </row>
    <row r="12" spans="1:14">
      <c r="A12" s="946" t="s">
        <v>367</v>
      </c>
      <c r="B12" s="952">
        <v>1086</v>
      </c>
      <c r="C12" s="949">
        <v>1086</v>
      </c>
      <c r="D12" s="950">
        <v>1086</v>
      </c>
      <c r="E12" s="951">
        <v>1086</v>
      </c>
      <c r="F12" s="960">
        <v>3</v>
      </c>
      <c r="G12" s="962">
        <v>400</v>
      </c>
      <c r="H12" s="59">
        <v>0</v>
      </c>
      <c r="I12" s="958">
        <v>1086</v>
      </c>
      <c r="J12" s="958">
        <v>649</v>
      </c>
      <c r="K12" s="59">
        <v>210</v>
      </c>
      <c r="L12" s="59"/>
      <c r="M12" s="59">
        <v>400</v>
      </c>
      <c r="N12" s="59">
        <v>0</v>
      </c>
    </row>
    <row r="13" spans="1:14">
      <c r="A13" s="946" t="s">
        <v>409</v>
      </c>
      <c r="B13" s="952">
        <v>6680</v>
      </c>
      <c r="C13" s="949">
        <v>6680</v>
      </c>
      <c r="D13" s="950">
        <v>5074</v>
      </c>
      <c r="E13" s="951">
        <v>6680</v>
      </c>
      <c r="F13" s="960">
        <v>1273</v>
      </c>
      <c r="G13" s="962">
        <v>0</v>
      </c>
      <c r="H13" s="59">
        <v>150</v>
      </c>
      <c r="I13" s="958">
        <v>6680</v>
      </c>
      <c r="J13" s="958">
        <v>6680</v>
      </c>
      <c r="K13" s="59"/>
      <c r="L13" s="59"/>
      <c r="M13" s="59">
        <v>0</v>
      </c>
      <c r="N13" s="59">
        <v>150</v>
      </c>
    </row>
    <row r="14" spans="1:14">
      <c r="A14" s="946" t="s">
        <v>430</v>
      </c>
      <c r="B14" s="952">
        <v>3486</v>
      </c>
      <c r="C14" s="949">
        <v>3486</v>
      </c>
      <c r="D14" s="950">
        <v>3486</v>
      </c>
      <c r="E14" s="951">
        <v>3486</v>
      </c>
      <c r="F14" s="960">
        <v>174</v>
      </c>
      <c r="G14" s="962">
        <v>400</v>
      </c>
      <c r="H14" s="59">
        <v>0</v>
      </c>
      <c r="I14" s="958">
        <v>3486</v>
      </c>
      <c r="J14" s="958">
        <v>2965</v>
      </c>
      <c r="K14" s="59"/>
      <c r="L14" s="59"/>
      <c r="M14" s="59">
        <v>400</v>
      </c>
      <c r="N14" s="59">
        <v>0</v>
      </c>
    </row>
    <row r="15" spans="1:14">
      <c r="A15" s="946" t="s">
        <v>405</v>
      </c>
      <c r="B15" s="952">
        <v>5024</v>
      </c>
      <c r="C15" s="949">
        <v>5024</v>
      </c>
      <c r="D15" s="950">
        <v>3807</v>
      </c>
      <c r="E15" s="951">
        <v>5024</v>
      </c>
      <c r="F15" s="960">
        <v>937</v>
      </c>
      <c r="G15" s="962">
        <v>0</v>
      </c>
      <c r="H15" s="59">
        <v>100</v>
      </c>
      <c r="I15" s="958">
        <v>5024</v>
      </c>
      <c r="J15" s="958">
        <v>5024</v>
      </c>
      <c r="K15" s="59"/>
      <c r="L15" s="59"/>
      <c r="M15" s="59">
        <v>0</v>
      </c>
      <c r="N15" s="59">
        <v>100</v>
      </c>
    </row>
    <row r="16" spans="1:14">
      <c r="A16" s="946" t="s">
        <v>406</v>
      </c>
      <c r="B16" s="952">
        <v>5137</v>
      </c>
      <c r="C16" s="949">
        <v>5137</v>
      </c>
      <c r="D16" s="950">
        <v>4731</v>
      </c>
      <c r="E16" s="951">
        <v>5137</v>
      </c>
      <c r="F16" s="960">
        <v>923</v>
      </c>
      <c r="G16" s="962">
        <v>0</v>
      </c>
      <c r="H16" s="59">
        <v>150</v>
      </c>
      <c r="I16" s="958">
        <v>5137</v>
      </c>
      <c r="J16" s="958">
        <v>5137</v>
      </c>
      <c r="K16" s="59"/>
      <c r="L16" s="59"/>
      <c r="M16" s="59">
        <v>0</v>
      </c>
      <c r="N16" s="59">
        <v>150</v>
      </c>
    </row>
    <row r="17" spans="1:14">
      <c r="A17" s="946" t="s">
        <v>440</v>
      </c>
      <c r="B17" s="952">
        <v>3095</v>
      </c>
      <c r="C17" s="949">
        <v>3095</v>
      </c>
      <c r="D17" s="950">
        <v>3095</v>
      </c>
      <c r="E17" s="951">
        <v>3095</v>
      </c>
      <c r="F17" s="960">
        <v>91</v>
      </c>
      <c r="G17" s="962">
        <v>100</v>
      </c>
      <c r="H17" s="59">
        <v>0</v>
      </c>
      <c r="I17" s="958">
        <v>3095</v>
      </c>
      <c r="J17" s="958">
        <v>3095</v>
      </c>
      <c r="K17" s="59"/>
      <c r="L17" s="59"/>
      <c r="M17" s="59">
        <v>100</v>
      </c>
      <c r="N17" s="59">
        <v>0</v>
      </c>
    </row>
    <row r="18" spans="1:14">
      <c r="A18" s="946" t="s">
        <v>431</v>
      </c>
      <c r="B18" s="952">
        <v>13302</v>
      </c>
      <c r="C18" s="949">
        <v>13302</v>
      </c>
      <c r="D18" s="950">
        <v>12960</v>
      </c>
      <c r="E18" s="951">
        <v>13302</v>
      </c>
      <c r="F18" s="960">
        <v>168</v>
      </c>
      <c r="G18" s="962">
        <v>1700</v>
      </c>
      <c r="H18" s="59">
        <v>0</v>
      </c>
      <c r="I18" s="958">
        <v>13302</v>
      </c>
      <c r="J18" s="958">
        <v>6629</v>
      </c>
      <c r="K18" s="59"/>
      <c r="L18" s="59"/>
      <c r="M18" s="59">
        <v>1700</v>
      </c>
      <c r="N18" s="59">
        <v>0</v>
      </c>
    </row>
    <row r="19" spans="1:14">
      <c r="A19" s="946" t="s">
        <v>429</v>
      </c>
      <c r="B19" s="952">
        <v>12495</v>
      </c>
      <c r="C19" s="949">
        <v>12495</v>
      </c>
      <c r="D19" s="950">
        <v>12495</v>
      </c>
      <c r="E19" s="951">
        <v>12495</v>
      </c>
      <c r="F19" s="960">
        <v>0</v>
      </c>
      <c r="G19" s="962">
        <v>0</v>
      </c>
      <c r="H19" s="59">
        <v>0</v>
      </c>
      <c r="I19" s="958">
        <v>12495</v>
      </c>
      <c r="J19" s="958">
        <v>12495</v>
      </c>
      <c r="K19" s="59"/>
      <c r="L19" s="59"/>
      <c r="M19" s="59">
        <v>0</v>
      </c>
      <c r="N19" s="59">
        <v>0</v>
      </c>
    </row>
    <row r="20" spans="1:14">
      <c r="A20" s="946" t="s">
        <v>2273</v>
      </c>
      <c r="B20" s="952">
        <v>2698</v>
      </c>
      <c r="C20" s="949">
        <v>2698</v>
      </c>
      <c r="D20" s="950">
        <v>2698</v>
      </c>
      <c r="E20" s="951">
        <v>2698</v>
      </c>
      <c r="F20" s="960">
        <v>0</v>
      </c>
      <c r="G20" s="962">
        <v>0</v>
      </c>
      <c r="H20" s="59">
        <v>0</v>
      </c>
      <c r="I20" s="958">
        <v>2698</v>
      </c>
      <c r="J20" s="958">
        <v>2698</v>
      </c>
      <c r="K20" s="59"/>
      <c r="L20" s="59"/>
      <c r="M20" s="59">
        <v>0</v>
      </c>
      <c r="N20" s="59">
        <v>0</v>
      </c>
    </row>
    <row r="21" spans="1:14">
      <c r="A21" s="946" t="s">
        <v>438</v>
      </c>
      <c r="B21" s="952">
        <v>11564</v>
      </c>
      <c r="C21" s="949">
        <v>11564</v>
      </c>
      <c r="D21" s="950">
        <v>9871</v>
      </c>
      <c r="E21" s="951">
        <v>11564</v>
      </c>
      <c r="F21" s="960">
        <v>159</v>
      </c>
      <c r="G21" s="962">
        <v>2850</v>
      </c>
      <c r="H21" s="59">
        <v>0</v>
      </c>
      <c r="I21" s="958">
        <v>11564</v>
      </c>
      <c r="J21" s="958">
        <v>6300</v>
      </c>
      <c r="K21" s="59"/>
      <c r="L21" s="59"/>
      <c r="M21" s="59">
        <v>2850</v>
      </c>
      <c r="N21" s="59">
        <v>0</v>
      </c>
    </row>
    <row r="22" spans="1:14">
      <c r="A22" s="946" t="s">
        <v>404</v>
      </c>
      <c r="B22" s="952">
        <v>2861</v>
      </c>
      <c r="C22" s="949">
        <v>2861</v>
      </c>
      <c r="D22" s="950">
        <v>2861</v>
      </c>
      <c r="E22" s="951">
        <v>2861</v>
      </c>
      <c r="F22" s="960">
        <v>0</v>
      </c>
      <c r="G22" s="962">
        <v>0</v>
      </c>
      <c r="H22" s="59">
        <v>0</v>
      </c>
      <c r="I22" s="958">
        <v>2861</v>
      </c>
      <c r="J22" s="958">
        <v>2861</v>
      </c>
      <c r="K22" s="59"/>
      <c r="L22" s="59"/>
      <c r="M22" s="59">
        <v>0</v>
      </c>
      <c r="N22" s="59">
        <v>0</v>
      </c>
    </row>
    <row r="23" spans="1:14">
      <c r="A23" s="946" t="s">
        <v>399</v>
      </c>
      <c r="B23" s="952">
        <v>2920</v>
      </c>
      <c r="C23" s="949">
        <v>1500.0000000000002</v>
      </c>
      <c r="D23" s="950">
        <v>2920</v>
      </c>
      <c r="E23" s="951">
        <v>0</v>
      </c>
      <c r="F23" s="960">
        <v>0</v>
      </c>
      <c r="G23" s="962">
        <v>200</v>
      </c>
      <c r="H23" s="59">
        <v>50</v>
      </c>
      <c r="I23" s="958">
        <v>0</v>
      </c>
      <c r="J23" s="958">
        <v>0</v>
      </c>
      <c r="K23" s="59"/>
      <c r="L23" s="59"/>
      <c r="M23" s="59">
        <v>200</v>
      </c>
      <c r="N23" s="59">
        <v>50</v>
      </c>
    </row>
    <row r="24" spans="1:14">
      <c r="A24" s="946" t="s">
        <v>421</v>
      </c>
      <c r="B24" s="952">
        <v>12972</v>
      </c>
      <c r="C24" s="949">
        <v>9500</v>
      </c>
      <c r="D24" s="950">
        <v>5333</v>
      </c>
      <c r="E24" s="951">
        <v>7167.0618253189405</v>
      </c>
      <c r="F24" s="960">
        <v>253</v>
      </c>
      <c r="G24" s="962">
        <v>100</v>
      </c>
      <c r="H24" s="59">
        <v>0</v>
      </c>
      <c r="I24" s="958">
        <v>7167.0618253189405</v>
      </c>
      <c r="J24" s="958">
        <v>954</v>
      </c>
      <c r="K24" s="59"/>
      <c r="L24" s="59"/>
      <c r="M24" s="59">
        <v>100</v>
      </c>
      <c r="N24" s="59">
        <v>0</v>
      </c>
    </row>
    <row r="25" spans="1:14">
      <c r="A25" s="946" t="s">
        <v>425</v>
      </c>
      <c r="B25" s="952">
        <v>5950</v>
      </c>
      <c r="C25" s="949">
        <v>5950</v>
      </c>
      <c r="D25" s="950">
        <v>5578</v>
      </c>
      <c r="E25" s="951">
        <v>5950</v>
      </c>
      <c r="F25" s="960">
        <v>130</v>
      </c>
      <c r="G25" s="962">
        <v>1050</v>
      </c>
      <c r="H25" s="59">
        <v>0</v>
      </c>
      <c r="I25" s="958">
        <v>5950</v>
      </c>
      <c r="J25" s="958">
        <v>5950</v>
      </c>
      <c r="K25" s="59"/>
      <c r="L25" s="59"/>
      <c r="M25" s="59">
        <v>1050</v>
      </c>
      <c r="N25" s="5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topLeftCell="I340" zoomScale="71" zoomScaleNormal="71" workbookViewId="0">
      <selection activeCell="P359" sqref="P359"/>
    </sheetView>
  </sheetViews>
  <sheetFormatPr defaultColWidth="10.6640625" defaultRowHeight="14.5"/>
  <cols>
    <col min="1" max="1" width="10.6640625" style="94"/>
    <col min="2" max="2" width="36" style="94" bestFit="1" customWidth="1"/>
    <col min="3" max="3" width="16.6640625" style="94" bestFit="1" customWidth="1"/>
    <col min="4" max="9" width="10.6640625" style="94"/>
    <col min="10" max="10" width="14.58203125" style="94" bestFit="1" customWidth="1"/>
    <col min="11" max="11" width="16.58203125" style="94" bestFit="1" customWidth="1"/>
    <col min="12" max="12" width="32.5" style="94" bestFit="1" customWidth="1"/>
    <col min="13" max="13" width="36.9140625" style="94" bestFit="1" customWidth="1"/>
    <col min="14" max="15" width="10.6640625" style="94"/>
    <col min="16" max="16" width="27.5" style="94" bestFit="1" customWidth="1"/>
    <col min="17" max="17" width="16.6640625" style="94" bestFit="1" customWidth="1"/>
    <col min="18" max="16384" width="10.6640625"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48"/>
      <c r="E4" s="448"/>
      <c r="F4" s="448"/>
      <c r="G4" s="448"/>
      <c r="I4" s="968" t="s">
        <v>20</v>
      </c>
      <c r="J4" s="969" t="s">
        <v>3146</v>
      </c>
      <c r="K4" s="448"/>
      <c r="L4" s="869"/>
      <c r="M4" s="869"/>
      <c r="Q4" s="448"/>
    </row>
    <row r="5" spans="1:33" ht="15.5">
      <c r="B5" s="968" t="s">
        <v>20</v>
      </c>
      <c r="C5" s="969" t="s">
        <v>3146</v>
      </c>
      <c r="G5" s="448"/>
      <c r="I5" s="968" t="s">
        <v>34</v>
      </c>
      <c r="J5" s="969" t="s">
        <v>34</v>
      </c>
      <c r="L5" s="869"/>
      <c r="M5" s="869"/>
      <c r="Q5" s="448"/>
    </row>
    <row r="6" spans="1:33" ht="15.5">
      <c r="B6" s="968" t="s">
        <v>34</v>
      </c>
      <c r="C6" s="969" t="s">
        <v>34</v>
      </c>
      <c r="G6" s="448"/>
      <c r="I6" s="981" t="s">
        <v>21</v>
      </c>
      <c r="J6" s="969" t="s">
        <v>293</v>
      </c>
      <c r="L6" s="448"/>
      <c r="M6" s="869"/>
      <c r="Q6" s="448"/>
    </row>
    <row r="7" spans="1:33" ht="15.5">
      <c r="B7" s="981" t="s">
        <v>21</v>
      </c>
      <c r="C7" s="969" t="s">
        <v>293</v>
      </c>
      <c r="G7" s="448"/>
      <c r="I7" s="968" t="s">
        <v>123</v>
      </c>
      <c r="J7" s="969" t="s">
        <v>43</v>
      </c>
      <c r="L7" s="869"/>
      <c r="M7" s="869"/>
      <c r="Q7" s="448"/>
    </row>
    <row r="8" spans="1:33" ht="15.5">
      <c r="B8" s="968" t="s">
        <v>123</v>
      </c>
      <c r="C8" s="969" t="s">
        <v>43</v>
      </c>
      <c r="G8" s="448"/>
      <c r="I8" s="968" t="s">
        <v>23</v>
      </c>
      <c r="J8" s="969" t="s">
        <v>1865</v>
      </c>
      <c r="L8" s="448"/>
      <c r="N8" s="146"/>
      <c r="Q8" s="448"/>
      <c r="AE8" s="146"/>
    </row>
    <row r="9" spans="1:33" s="99" customFormat="1" ht="15.5">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5">
      <c r="B10" s="973" t="s">
        <v>22</v>
      </c>
      <c r="C10" s="969" t="s">
        <v>3004</v>
      </c>
      <c r="D10" s="984" t="s">
        <v>1869</v>
      </c>
      <c r="E10" s="969" t="s">
        <v>2750</v>
      </c>
      <c r="F10" s="969" t="s">
        <v>2751</v>
      </c>
      <c r="G10" s="969" t="s">
        <v>2752</v>
      </c>
      <c r="I10" s="973" t="s">
        <v>22</v>
      </c>
      <c r="J10" s="968" t="s">
        <v>2281</v>
      </c>
      <c r="K10"/>
      <c r="L10"/>
      <c r="M10"/>
      <c r="N10"/>
      <c r="O10"/>
      <c r="P10" s="670"/>
      <c r="Q10" s="870"/>
      <c r="R10" s="94"/>
      <c r="S10" s="94"/>
      <c r="T10" s="94"/>
      <c r="U10" s="94"/>
      <c r="V10" s="94"/>
      <c r="W10" s="94"/>
      <c r="X10" s="94"/>
      <c r="Y10" s="94"/>
      <c r="Z10" s="94"/>
      <c r="AA10" s="94"/>
      <c r="AE10"/>
      <c r="AF10"/>
      <c r="AG10"/>
    </row>
    <row r="11" spans="1:33" ht="15.5">
      <c r="B11" s="970" t="s">
        <v>356</v>
      </c>
      <c r="C11" s="971">
        <v>1</v>
      </c>
      <c r="D11" s="972">
        <v>1086</v>
      </c>
      <c r="E11" s="975">
        <v>0</v>
      </c>
      <c r="F11" s="975">
        <v>0</v>
      </c>
      <c r="G11" s="975">
        <v>0</v>
      </c>
      <c r="I11" s="969" t="s">
        <v>356</v>
      </c>
      <c r="J11" s="969" t="s">
        <v>2256</v>
      </c>
      <c r="K11"/>
      <c r="L11"/>
      <c r="M11"/>
      <c r="N11"/>
      <c r="O11"/>
      <c r="P11" s="670"/>
      <c r="Q11" s="870"/>
      <c r="AE11"/>
      <c r="AF11"/>
      <c r="AG11"/>
    </row>
    <row r="12" spans="1:33" ht="15.5">
      <c r="B12" s="970" t="s">
        <v>398</v>
      </c>
      <c r="C12" s="971">
        <v>1</v>
      </c>
      <c r="D12" s="972">
        <v>2920</v>
      </c>
      <c r="E12" s="975">
        <v>0.48630136986301364</v>
      </c>
      <c r="F12" s="975">
        <v>0</v>
      </c>
      <c r="G12" s="975">
        <v>1</v>
      </c>
      <c r="I12" s="969" t="s">
        <v>398</v>
      </c>
      <c r="J12" s="969" t="s">
        <v>397</v>
      </c>
      <c r="K12"/>
      <c r="L12"/>
      <c r="M12"/>
      <c r="N12"/>
      <c r="O12"/>
      <c r="P12" s="670"/>
      <c r="Q12" s="870"/>
      <c r="AE12"/>
      <c r="AF12"/>
      <c r="AG12"/>
    </row>
    <row r="13" spans="1:33" ht="15.5">
      <c r="B13" s="970" t="s">
        <v>401</v>
      </c>
      <c r="C13" s="971">
        <v>5</v>
      </c>
      <c r="D13" s="972">
        <v>24835</v>
      </c>
      <c r="E13" s="975">
        <v>3.4668814173545393E-2</v>
      </c>
      <c r="F13" s="975">
        <v>0.16774713106502914</v>
      </c>
      <c r="G13" s="975">
        <v>0.21727400845580835</v>
      </c>
      <c r="I13" s="969" t="s">
        <v>401</v>
      </c>
      <c r="J13" s="969" t="s">
        <v>286</v>
      </c>
      <c r="K13"/>
      <c r="L13"/>
      <c r="M13"/>
      <c r="N13"/>
      <c r="O13"/>
      <c r="P13" s="670"/>
      <c r="Q13" s="870"/>
      <c r="AB13"/>
      <c r="AE13"/>
      <c r="AF13"/>
      <c r="AG13"/>
    </row>
    <row r="14" spans="1:33" ht="15.5">
      <c r="B14" s="970" t="s">
        <v>294</v>
      </c>
      <c r="C14" s="971">
        <v>14</v>
      </c>
      <c r="D14" s="972">
        <v>98105</v>
      </c>
      <c r="E14" s="975">
        <v>5.0680393455991068E-2</v>
      </c>
      <c r="F14" s="975">
        <v>0.22060037714693437</v>
      </c>
      <c r="G14" s="975">
        <v>0.14224302431919089</v>
      </c>
      <c r="I14" s="969"/>
      <c r="J14" s="969" t="s">
        <v>265</v>
      </c>
      <c r="K14"/>
      <c r="L14"/>
      <c r="M14"/>
      <c r="N14"/>
      <c r="O14"/>
      <c r="P14"/>
      <c r="Q14" s="870"/>
      <c r="AB14"/>
      <c r="AE14"/>
      <c r="AF14"/>
      <c r="AG14"/>
    </row>
    <row r="15" spans="1:33" ht="15.5">
      <c r="B15" s="970" t="s">
        <v>1621</v>
      </c>
      <c r="C15" s="971">
        <v>21</v>
      </c>
      <c r="D15" s="972">
        <v>126946</v>
      </c>
      <c r="E15" s="975">
        <v>5.7134529642525189E-2</v>
      </c>
      <c r="F15" s="975">
        <v>0.20329904053692116</v>
      </c>
      <c r="G15" s="975">
        <v>0.17543484553144029</v>
      </c>
      <c r="I15" s="969" t="s">
        <v>294</v>
      </c>
      <c r="J15" s="969" t="s">
        <v>2269</v>
      </c>
      <c r="K15"/>
      <c r="L15"/>
      <c r="M15"/>
      <c r="N15"/>
      <c r="AB15"/>
      <c r="AE15"/>
      <c r="AF15"/>
      <c r="AG15"/>
    </row>
    <row r="16" spans="1:33" ht="15.5">
      <c r="B16"/>
      <c r="C16"/>
      <c r="D16"/>
      <c r="E16"/>
      <c r="F16"/>
      <c r="G16" s="448"/>
      <c r="I16" s="969"/>
      <c r="J16" s="969" t="s">
        <v>2270</v>
      </c>
      <c r="O16"/>
      <c r="P16"/>
      <c r="Q16"/>
      <c r="R16"/>
      <c r="S16"/>
      <c r="U16" s="347"/>
      <c r="AB16"/>
      <c r="AE16"/>
      <c r="AF16"/>
      <c r="AG16"/>
    </row>
    <row r="17" spans="1:33" ht="15.5">
      <c r="B17"/>
      <c r="C17"/>
      <c r="D17"/>
      <c r="E17" s="669"/>
      <c r="F17"/>
      <c r="G17"/>
      <c r="H17"/>
      <c r="I17" s="969"/>
      <c r="J17" s="969" t="s">
        <v>286</v>
      </c>
      <c r="K17"/>
      <c r="L17"/>
      <c r="M17"/>
      <c r="N17"/>
      <c r="O17"/>
      <c r="P17"/>
      <c r="Q17"/>
      <c r="R17"/>
      <c r="S17"/>
      <c r="AB17"/>
      <c r="AE17"/>
      <c r="AF17"/>
      <c r="AG17"/>
    </row>
    <row r="18" spans="1:33" ht="15.5">
      <c r="B18" s="448"/>
      <c r="C18" s="448"/>
      <c r="D18" s="448"/>
      <c r="E18" s="669"/>
      <c r="F18" s="448"/>
      <c r="G18" s="448"/>
      <c r="H18" s="448"/>
      <c r="I18" s="969" t="s">
        <v>1621</v>
      </c>
      <c r="J18" s="969"/>
      <c r="K18" s="448"/>
      <c r="L18" s="448"/>
      <c r="M18" s="448"/>
      <c r="N18" s="448"/>
      <c r="O18" s="448"/>
      <c r="P18" s="448"/>
      <c r="Q18" s="448"/>
      <c r="R18" s="448"/>
      <c r="S18" s="448"/>
      <c r="AB18" s="448"/>
      <c r="AE18" s="448"/>
      <c r="AF18" s="448"/>
      <c r="AG18" s="448"/>
    </row>
    <row r="19" spans="1:33" ht="15.5">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5">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5">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5">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5">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5">
      <c r="AC24"/>
      <c r="AF24"/>
    </row>
    <row r="25" spans="1:33" ht="15.5">
      <c r="AC25"/>
    </row>
    <row r="26" spans="1:33" ht="15.5">
      <c r="B26" s="968" t="s">
        <v>20</v>
      </c>
      <c r="C26" s="969" t="s">
        <v>3146</v>
      </c>
      <c r="I26"/>
      <c r="J26"/>
      <c r="L26" s="968" t="s">
        <v>20</v>
      </c>
      <c r="M26" s="969" t="s">
        <v>3146</v>
      </c>
      <c r="AC26"/>
    </row>
    <row r="27" spans="1:33" ht="15.5">
      <c r="B27" s="981" t="s">
        <v>21</v>
      </c>
      <c r="C27" s="969" t="s">
        <v>293</v>
      </c>
      <c r="I27"/>
      <c r="J27"/>
      <c r="L27" s="981" t="s">
        <v>21</v>
      </c>
      <c r="M27" s="969" t="s">
        <v>293</v>
      </c>
      <c r="AC27"/>
    </row>
    <row r="28" spans="1:33" ht="15.5">
      <c r="B28" s="968" t="s">
        <v>34</v>
      </c>
      <c r="C28" s="969" t="s">
        <v>34</v>
      </c>
      <c r="I28"/>
      <c r="J28"/>
      <c r="L28" s="968" t="s">
        <v>34</v>
      </c>
      <c r="M28" s="969" t="s">
        <v>34</v>
      </c>
      <c r="P28" s="778" t="s">
        <v>1915</v>
      </c>
      <c r="Q28" s="119">
        <f>GETPIVOTDATA("Sum of #_Functional_improved_water_source_Handpump",$L$30,"Location Type","Camp")+GETPIVOTDATA("Sum of #_Functional_improved_water_source_tapstand_handdugwell",$L$30,"Location Type","Camp")</f>
        <v>1193</v>
      </c>
      <c r="AC28"/>
    </row>
    <row r="29" spans="1:33" ht="15.5">
      <c r="P29" s="778" t="s">
        <v>3039</v>
      </c>
      <c r="Q29" s="119">
        <f>(GETPIVOTDATA("Sum of #_Existing_improved_water_source_Handpump",$L$30,"Location Type","Camp")+GETPIVOTDATA("Sum of #_Existing_improved_water_source_tapstand_handdugwell",$L$30,"Location Type","Camp"))-Q28</f>
        <v>106</v>
      </c>
      <c r="AC29"/>
    </row>
    <row r="30" spans="1:33" ht="15.5">
      <c r="B30" s="968" t="s">
        <v>1619</v>
      </c>
      <c r="C30" s="984" t="s">
        <v>1626</v>
      </c>
      <c r="D30" s="984" t="s">
        <v>1627</v>
      </c>
      <c r="I30"/>
      <c r="J30"/>
      <c r="K30"/>
      <c r="L30" s="968" t="s">
        <v>1619</v>
      </c>
      <c r="M30" s="969" t="s">
        <v>3115</v>
      </c>
      <c r="N30" s="969" t="s">
        <v>3116</v>
      </c>
      <c r="O30" s="969" t="s">
        <v>3130</v>
      </c>
      <c r="P30" s="969" t="s">
        <v>3131</v>
      </c>
      <c r="Q30" s="390"/>
      <c r="R30" s="390"/>
      <c r="S30" s="390"/>
      <c r="T30" s="390"/>
      <c r="U30" s="390"/>
      <c r="V30" s="390"/>
      <c r="W30" s="390"/>
      <c r="X30" s="390"/>
      <c r="Y30" s="390"/>
      <c r="Z30" s="390"/>
      <c r="AA30" s="390"/>
      <c r="AB30" s="390"/>
      <c r="AC30" s="390"/>
      <c r="AD30" s="390"/>
      <c r="AE30" s="390"/>
      <c r="AF30" s="390"/>
      <c r="AG30" s="390"/>
    </row>
    <row r="31" spans="1:33" ht="15.5">
      <c r="B31" s="970" t="s">
        <v>43</v>
      </c>
      <c r="C31" s="977">
        <v>239.38600000000002</v>
      </c>
      <c r="D31" s="977">
        <v>16.032000000000004</v>
      </c>
      <c r="I31"/>
      <c r="J31"/>
      <c r="K31"/>
      <c r="L31" s="970" t="s">
        <v>43</v>
      </c>
      <c r="M31" s="971">
        <v>1109</v>
      </c>
      <c r="N31" s="971">
        <v>1210</v>
      </c>
      <c r="O31" s="971">
        <v>84</v>
      </c>
      <c r="P31" s="971">
        <v>89</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5">
      <c r="B42"/>
      <c r="C42"/>
      <c r="D42" s="101"/>
      <c r="E42" s="161"/>
      <c r="F42" s="101"/>
      <c r="G42" s="101"/>
      <c r="P42"/>
      <c r="Q42"/>
      <c r="R42" s="101"/>
      <c r="S42" s="161" t="s">
        <v>2199</v>
      </c>
      <c r="T42" s="101"/>
    </row>
    <row r="43" spans="2:33">
      <c r="B43" s="968" t="s">
        <v>34</v>
      </c>
      <c r="C43" s="969" t="s">
        <v>34</v>
      </c>
      <c r="D43" s="101"/>
      <c r="F43" s="101"/>
      <c r="G43" s="101"/>
      <c r="P43" s="968" t="s">
        <v>34</v>
      </c>
      <c r="Q43" s="969" t="s">
        <v>34</v>
      </c>
      <c r="R43" s="101"/>
      <c r="T43" s="101"/>
    </row>
    <row r="44" spans="2:33">
      <c r="B44" s="968" t="s">
        <v>123</v>
      </c>
      <c r="C44" s="969" t="s">
        <v>43</v>
      </c>
      <c r="D44" s="101"/>
      <c r="F44" s="101"/>
      <c r="G44" s="101"/>
      <c r="P44" s="968" t="s">
        <v>123</v>
      </c>
      <c r="Q44" s="969" t="s">
        <v>43</v>
      </c>
      <c r="R44" s="101"/>
      <c r="T44" s="101"/>
    </row>
    <row r="45" spans="2:33" ht="15" thickBot="1">
      <c r="B45" s="101"/>
      <c r="C45" s="101"/>
      <c r="D45" s="101"/>
      <c r="F45" s="101"/>
      <c r="G45" s="101"/>
      <c r="P45" s="101"/>
      <c r="Q45" s="101"/>
      <c r="R45" s="101"/>
      <c r="S45" s="1057" t="s">
        <v>127</v>
      </c>
      <c r="T45" s="1058"/>
    </row>
    <row r="46" spans="2:33" ht="29.5" thickBot="1">
      <c r="B46" s="968" t="s">
        <v>21</v>
      </c>
      <c r="C46" s="969" t="s">
        <v>2895</v>
      </c>
      <c r="D46" s="969" t="s">
        <v>3112</v>
      </c>
      <c r="E46"/>
      <c r="F46" s="503" t="s">
        <v>21</v>
      </c>
      <c r="G46" s="435" t="s">
        <v>1868</v>
      </c>
      <c r="H46" s="436" t="s">
        <v>1906</v>
      </c>
      <c r="I46" s="436" t="s">
        <v>1905</v>
      </c>
      <c r="K46" s="437" t="s">
        <v>3113</v>
      </c>
      <c r="L46" s="437" t="s">
        <v>3114</v>
      </c>
      <c r="M46" s="436" t="s">
        <v>2793</v>
      </c>
      <c r="P46" s="968" t="s">
        <v>21</v>
      </c>
      <c r="Q46" s="969" t="s">
        <v>2896</v>
      </c>
      <c r="R46" s="969" t="s">
        <v>3117</v>
      </c>
      <c r="S46"/>
      <c r="T46"/>
      <c r="U46" s="390"/>
      <c r="V46" s="503" t="s">
        <v>21</v>
      </c>
      <c r="W46" s="435" t="s">
        <v>1868</v>
      </c>
      <c r="X46" s="436" t="s">
        <v>1906</v>
      </c>
      <c r="Y46" s="436" t="s">
        <v>2794</v>
      </c>
      <c r="AA46" s="437" t="s">
        <v>3113</v>
      </c>
      <c r="AB46" s="437" t="s">
        <v>3114</v>
      </c>
      <c r="AC46" s="436" t="s">
        <v>2795</v>
      </c>
      <c r="AD46" s="390"/>
      <c r="AE46" s="390"/>
      <c r="AF46" s="390"/>
      <c r="AG46" s="390"/>
    </row>
    <row r="47" spans="2:33" ht="15.5">
      <c r="B47" s="970" t="s">
        <v>3143</v>
      </c>
      <c r="C47" s="971">
        <v>36</v>
      </c>
      <c r="D47" s="975">
        <v>1</v>
      </c>
      <c r="E47"/>
      <c r="F47" s="122" t="s">
        <v>2624</v>
      </c>
      <c r="G47" s="438">
        <v>21</v>
      </c>
      <c r="H47" s="438">
        <f>GETPIVOTDATA("[Measures].[Distinct Count of Site Name]",$B$55)</f>
        <v>18</v>
      </c>
      <c r="I47" s="504">
        <f>G47-H47</f>
        <v>3</v>
      </c>
      <c r="J47" s="894" t="s">
        <v>3191</v>
      </c>
      <c r="K47" s="811">
        <f>GETPIVOTDATA("Average of %_Water samples _passed_at_water source",$B$46,"Reporting Period","2022_Q1")</f>
        <v>1</v>
      </c>
      <c r="L47" s="811">
        <f>1-K47</f>
        <v>0</v>
      </c>
      <c r="M47" s="438">
        <f>GETPIVOTDATA("Sum of #_Water samples_Tested_at_water_source2",$B$46,"Reporting Period","2022_Q1")</f>
        <v>36</v>
      </c>
      <c r="P47" s="970" t="s">
        <v>3143</v>
      </c>
      <c r="Q47" s="971">
        <v>84</v>
      </c>
      <c r="R47" s="975">
        <v>0.99</v>
      </c>
      <c r="S47"/>
      <c r="T47"/>
      <c r="V47" s="122" t="s">
        <v>2624</v>
      </c>
      <c r="W47" s="438">
        <v>21</v>
      </c>
      <c r="X47" s="438">
        <f>GETPIVOTDATA("[Measures].[Distinct Count of Site Name]",$P$54)</f>
        <v>19</v>
      </c>
      <c r="Y47" s="438">
        <f>W47-X47</f>
        <v>2</v>
      </c>
      <c r="Z47" s="894" t="s">
        <v>3191</v>
      </c>
      <c r="AA47" s="811">
        <f>GETPIVOTDATA("Average of %_Water samples _passed_at_HH",$P$46,"Reporting Period","2022_Q1")</f>
        <v>0.99</v>
      </c>
      <c r="AB47" s="811">
        <f>1-AA47</f>
        <v>1.0000000000000009E-2</v>
      </c>
      <c r="AC47" s="731">
        <f>GETPIVOTDATA("Sum of #_Water samples_Tested_at_HH2",$P$46,"Reporting Period","2022_Q1")</f>
        <v>84</v>
      </c>
    </row>
    <row r="48" spans="2:33" ht="15.5">
      <c r="B48" s="970" t="s">
        <v>3144</v>
      </c>
      <c r="C48" s="971">
        <v>667</v>
      </c>
      <c r="D48" s="975">
        <v>0.6359999999999999</v>
      </c>
      <c r="E48"/>
      <c r="F48"/>
      <c r="G48" s="101"/>
      <c r="J48" s="894" t="s">
        <v>3192</v>
      </c>
      <c r="K48" s="811">
        <f>GETPIVOTDATA("Average of %_Water samples _passed_at_water source",$B$46,"Reporting Period","2022_Q2")</f>
        <v>0.6359999999999999</v>
      </c>
      <c r="L48" s="811">
        <f>1-K48</f>
        <v>0.3640000000000001</v>
      </c>
      <c r="M48" s="438">
        <f>GETPIVOTDATA("Sum of #_Water samples_Tested_at_water_source2",$B$46,"Reporting Period","2022_Q2")</f>
        <v>667</v>
      </c>
      <c r="P48" s="970" t="s">
        <v>3144</v>
      </c>
      <c r="Q48" s="971">
        <v>723</v>
      </c>
      <c r="R48" s="975">
        <v>0.46833333333333332</v>
      </c>
      <c r="S48"/>
      <c r="T48"/>
      <c r="Z48" s="894" t="s">
        <v>3192</v>
      </c>
      <c r="AA48" s="811">
        <f>GETPIVOTDATA("Average of %_Water samples _passed_at_HH",$P$46,"Reporting Period","2022_Q2")</f>
        <v>0.46833333333333332</v>
      </c>
      <c r="AB48" s="811">
        <f>1-AA48</f>
        <v>0.53166666666666673</v>
      </c>
      <c r="AC48" s="731">
        <f>GETPIVOTDATA("Sum of #_Water samples_Tested_at_HH2",$P$46,"Reporting Period","2022_Q2")</f>
        <v>723</v>
      </c>
    </row>
    <row r="49" spans="2:29" ht="15.5">
      <c r="B49" s="970" t="s">
        <v>3145</v>
      </c>
      <c r="C49" s="971">
        <v>1010</v>
      </c>
      <c r="D49" s="975">
        <v>0.61554285714285728</v>
      </c>
      <c r="E49" s="448"/>
      <c r="F49" s="448"/>
      <c r="G49" s="101"/>
      <c r="J49" s="930" t="s">
        <v>3213</v>
      </c>
      <c r="K49" s="811">
        <f>GETPIVOTDATA("Average of %_Water samples _passed_at_water source",$B$46,"Reporting Period","2022_Q3")</f>
        <v>0.61554285714285728</v>
      </c>
      <c r="L49" s="811">
        <f>1-K49</f>
        <v>0.38445714285714272</v>
      </c>
      <c r="M49" s="438">
        <f>GETPIVOTDATA("Sum of #_Water samples_Tested_at_water_source2",$B$46,"Reporting Period","2022_Q3")</f>
        <v>1010</v>
      </c>
      <c r="P49" s="970" t="s">
        <v>3145</v>
      </c>
      <c r="Q49" s="971">
        <v>1181</v>
      </c>
      <c r="R49" s="975">
        <v>0.31551538461538464</v>
      </c>
      <c r="S49" s="744"/>
      <c r="T49" s="744"/>
      <c r="Z49" s="930" t="s">
        <v>3213</v>
      </c>
      <c r="AA49" s="811">
        <f>GETPIVOTDATA("Average of %_Water samples _passed_at_HH",$P$46,"Reporting Period","2022_Q3")</f>
        <v>0.31551538461538464</v>
      </c>
      <c r="AB49" s="811">
        <f>1-AA49</f>
        <v>0.68448461538461536</v>
      </c>
      <c r="AC49" s="731">
        <f>GETPIVOTDATA("Sum of #_Water samples_Tested_at_HH2",$P$46,"Reporting Period","2022_Q3")</f>
        <v>1181</v>
      </c>
    </row>
    <row r="50" spans="2:29" ht="15.5">
      <c r="B50" s="970" t="s">
        <v>3146</v>
      </c>
      <c r="C50" s="971">
        <v>700</v>
      </c>
      <c r="D50" s="975">
        <v>0.504</v>
      </c>
      <c r="E50" s="448"/>
      <c r="F50" s="448"/>
      <c r="G50" s="101"/>
      <c r="J50" s="945" t="s">
        <v>3228</v>
      </c>
      <c r="K50" s="811">
        <f>GETPIVOTDATA("Average of %_Water samples _passed_at_water source",$B$46,"Reporting Period","2022_Q4")</f>
        <v>0.504</v>
      </c>
      <c r="L50" s="811">
        <f>1-K50</f>
        <v>0.496</v>
      </c>
      <c r="M50" s="438">
        <f>GETPIVOTDATA("Sum of #_Water samples_Tested_at_water_source2",$B$46,"Reporting Period","2022_Q4")</f>
        <v>700</v>
      </c>
      <c r="P50" s="970" t="s">
        <v>3146</v>
      </c>
      <c r="Q50" s="971">
        <v>1371</v>
      </c>
      <c r="R50" s="975">
        <v>0.3876470588235294</v>
      </c>
      <c r="S50" s="744"/>
      <c r="T50" s="744"/>
      <c r="Z50" s="894" t="s">
        <v>3228</v>
      </c>
      <c r="AA50" s="811">
        <f>GETPIVOTDATA("Average of %_Water samples _passed_at_HH",$P$46,"Reporting Period","2022_Q4")</f>
        <v>0.3876470588235294</v>
      </c>
      <c r="AB50" s="811">
        <f>1-AA50</f>
        <v>0.61235294117647054</v>
      </c>
      <c r="AC50" s="731">
        <f>GETPIVOTDATA("Sum of #_Water samples_Tested_at_HH2",$P$46,"Reporting Period","2022_Q4")</f>
        <v>1371</v>
      </c>
    </row>
    <row r="51" spans="2:29" ht="15.5">
      <c r="B51" s="970" t="s">
        <v>1621</v>
      </c>
      <c r="C51" s="971">
        <v>2413</v>
      </c>
      <c r="D51" s="975">
        <v>0.5937244444444445</v>
      </c>
      <c r="E51"/>
      <c r="F51"/>
      <c r="G51" s="101"/>
      <c r="P51" s="970" t="s">
        <v>1621</v>
      </c>
      <c r="Q51" s="971">
        <v>3359</v>
      </c>
      <c r="R51" s="975">
        <v>0.40236511627906979</v>
      </c>
      <c r="S51"/>
      <c r="T51"/>
    </row>
    <row r="52" spans="2:29" ht="15.5">
      <c r="D52"/>
      <c r="E52"/>
      <c r="F52"/>
      <c r="P52" s="453" t="s">
        <v>2817</v>
      </c>
      <c r="Q52" s="448" t="s" vm="2">
        <v>1620</v>
      </c>
      <c r="R52"/>
      <c r="S52"/>
      <c r="T52"/>
    </row>
    <row r="53" spans="2:29" ht="15.5">
      <c r="B53" s="453" t="s">
        <v>2816</v>
      </c>
      <c r="C53" s="448" t="s" vm="1">
        <v>1620</v>
      </c>
      <c r="D53"/>
      <c r="P53" s="448"/>
      <c r="Q53" s="448"/>
    </row>
    <row r="54" spans="2:29" ht="15.5">
      <c r="B54"/>
      <c r="C54"/>
      <c r="D54"/>
      <c r="P54" t="s">
        <v>3001</v>
      </c>
      <c r="Q54" s="448"/>
    </row>
    <row r="55" spans="2:29" ht="15.5">
      <c r="B55" t="s">
        <v>3001</v>
      </c>
      <c r="C55"/>
      <c r="D55"/>
      <c r="E55" s="161"/>
      <c r="P55" s="447">
        <v>19</v>
      </c>
      <c r="Q55" s="448"/>
    </row>
    <row r="56" spans="2:29" ht="15.5">
      <c r="B56" s="447">
        <v>18</v>
      </c>
      <c r="C56"/>
      <c r="D56"/>
    </row>
    <row r="57" spans="2:29" ht="15.5">
      <c r="B57"/>
      <c r="C57"/>
      <c r="D57"/>
      <c r="E57" s="390"/>
      <c r="F57" s="390"/>
      <c r="G57" s="390"/>
    </row>
    <row r="58" spans="2:29" ht="15.5">
      <c r="B58"/>
      <c r="C58"/>
      <c r="D58"/>
    </row>
    <row r="59" spans="2:29" s="113" customFormat="1" ht="15.5">
      <c r="B59"/>
      <c r="C59"/>
      <c r="D59"/>
      <c r="E59" s="116"/>
      <c r="F59" s="116"/>
      <c r="G59" s="117"/>
    </row>
    <row r="60" spans="2:29" s="113" customFormat="1" ht="15.5">
      <c r="B60"/>
      <c r="C60"/>
      <c r="D60"/>
      <c r="E60" s="116"/>
      <c r="F60" s="116"/>
      <c r="G60" s="117"/>
    </row>
    <row r="61" spans="2:29" s="113" customFormat="1" ht="15.5">
      <c r="B61"/>
      <c r="C61"/>
      <c r="D61"/>
      <c r="E61" s="116"/>
      <c r="F61" s="116"/>
      <c r="G61" s="117"/>
    </row>
    <row r="62" spans="2:29" s="113" customFormat="1">
      <c r="B62" s="968" t="s">
        <v>20</v>
      </c>
      <c r="C62" s="969" t="s">
        <v>3146</v>
      </c>
      <c r="D62" s="101"/>
      <c r="E62" s="116"/>
      <c r="F62" s="116"/>
      <c r="G62" s="117"/>
    </row>
    <row r="63" spans="2:29" s="113" customFormat="1">
      <c r="B63" s="968" t="s">
        <v>34</v>
      </c>
      <c r="C63" s="969" t="s">
        <v>34</v>
      </c>
      <c r="D63" s="101"/>
      <c r="E63" s="116"/>
      <c r="F63" s="116"/>
      <c r="G63" s="117"/>
    </row>
    <row r="64" spans="2:29" s="113" customFormat="1">
      <c r="B64" s="968" t="s">
        <v>123</v>
      </c>
      <c r="C64" s="969" t="s">
        <v>43</v>
      </c>
      <c r="D64" s="101"/>
      <c r="E64" s="116"/>
      <c r="F64" s="116"/>
      <c r="G64" s="117"/>
    </row>
    <row r="65" spans="2:15" s="113" customFormat="1">
      <c r="B65" s="101"/>
      <c r="C65" s="101"/>
      <c r="D65" s="101"/>
      <c r="E65" s="116"/>
      <c r="F65" s="116"/>
      <c r="G65" s="117"/>
    </row>
    <row r="66" spans="2:15" s="113" customFormat="1">
      <c r="B66" s="968" t="s">
        <v>2630</v>
      </c>
      <c r="C66" s="968" t="s">
        <v>1916</v>
      </c>
      <c r="D66" s="969"/>
      <c r="E66" s="116"/>
      <c r="F66" s="116"/>
      <c r="G66" s="117"/>
    </row>
    <row r="67" spans="2:15" s="113" customFormat="1">
      <c r="B67" s="973" t="s">
        <v>21</v>
      </c>
      <c r="C67" s="969" t="s">
        <v>1905</v>
      </c>
      <c r="D67" s="969" t="s">
        <v>1906</v>
      </c>
      <c r="E67" s="116"/>
      <c r="F67" s="116"/>
      <c r="G67" s="117"/>
    </row>
    <row r="68" spans="2:15" s="113" customFormat="1">
      <c r="B68" s="970" t="s">
        <v>293</v>
      </c>
      <c r="C68" s="971">
        <v>2</v>
      </c>
      <c r="D68" s="971">
        <v>19</v>
      </c>
      <c r="E68" s="116"/>
      <c r="F68" s="116"/>
      <c r="G68" s="117"/>
    </row>
    <row r="69" spans="2:15" s="113" customFormat="1" ht="15.5">
      <c r="B69"/>
      <c r="C69"/>
      <c r="D69"/>
      <c r="E69" s="116"/>
      <c r="F69" s="116"/>
      <c r="G69" s="117"/>
    </row>
    <row r="70" spans="2:15" s="113" customFormat="1" ht="15.5">
      <c r="B70"/>
      <c r="C70"/>
      <c r="D70"/>
      <c r="E70" s="116"/>
      <c r="F70" s="116"/>
      <c r="G70" s="117"/>
    </row>
    <row r="71" spans="2:15" s="113" customFormat="1" ht="15" thickBot="1">
      <c r="B71" s="101"/>
      <c r="C71" s="101"/>
      <c r="D71" s="101"/>
      <c r="E71" s="116"/>
      <c r="F71" s="116"/>
      <c r="G71" s="117"/>
    </row>
    <row r="72" spans="2:15" s="113" customFormat="1" ht="15.5">
      <c r="B72" s="104"/>
      <c r="C72" s="107" t="s">
        <v>1905</v>
      </c>
      <c r="D72" s="108" t="s">
        <v>1906</v>
      </c>
      <c r="E72"/>
      <c r="F72" s="116"/>
      <c r="G72" s="117"/>
    </row>
    <row r="73" spans="2:15" s="113" customFormat="1" ht="15.5">
      <c r="B73" s="105"/>
      <c r="C73" s="109"/>
      <c r="D73" s="110"/>
      <c r="E73"/>
      <c r="F73" s="116"/>
      <c r="G73" s="117"/>
      <c r="M73"/>
      <c r="N73"/>
      <c r="O73"/>
    </row>
    <row r="74" spans="2:15" s="113" customFormat="1" ht="15.5">
      <c r="B74" s="105" t="s">
        <v>293</v>
      </c>
      <c r="C74" s="109">
        <f>GETPIVOTDATA("Warter quality test done",$B$66,"State","Rakhine","Warter quality test done","No Test")</f>
        <v>2</v>
      </c>
      <c r="D74" s="110">
        <f>GETPIVOTDATA("Warter quality test done",$B$66,"State","Rakhine","Warter quality test done","Tested")</f>
        <v>19</v>
      </c>
      <c r="E74"/>
      <c r="F74" s="116"/>
      <c r="G74" s="117"/>
      <c r="M74"/>
      <c r="N74"/>
      <c r="O74"/>
    </row>
    <row r="75" spans="2:15" s="113" customFormat="1" ht="16" thickBot="1">
      <c r="B75" s="106"/>
      <c r="C75" s="111"/>
      <c r="D75" s="112"/>
      <c r="E75" s="116"/>
      <c r="F75" s="116"/>
      <c r="G75" s="117"/>
      <c r="M75"/>
      <c r="N75"/>
      <c r="O75"/>
    </row>
    <row r="76" spans="2:15" s="113" customFormat="1" ht="15.5">
      <c r="B76"/>
      <c r="C76"/>
      <c r="D76"/>
      <c r="E76" s="116"/>
      <c r="F76" s="116"/>
      <c r="G76" s="117"/>
    </row>
    <row r="77" spans="2:15" s="113" customFormat="1" ht="15.5">
      <c r="B77"/>
      <c r="C77"/>
      <c r="D77"/>
      <c r="E77" s="116"/>
      <c r="F77" s="116"/>
      <c r="G77" s="117"/>
    </row>
    <row r="78" spans="2:15" s="113" customFormat="1" ht="15.5">
      <c r="B78"/>
      <c r="C78"/>
      <c r="D78" s="115"/>
      <c r="E78" s="116"/>
      <c r="F78" s="116"/>
      <c r="G78" s="117"/>
    </row>
    <row r="79" spans="2:15" s="113" customFormat="1">
      <c r="B79" s="968" t="s">
        <v>20</v>
      </c>
      <c r="C79" s="969" t="s">
        <v>3146</v>
      </c>
      <c r="D79" s="101"/>
      <c r="E79" s="116"/>
      <c r="F79" s="116"/>
      <c r="G79" s="117"/>
    </row>
    <row r="80" spans="2:15" s="113" customFormat="1">
      <c r="B80" s="968" t="s">
        <v>34</v>
      </c>
      <c r="C80" s="969" t="s">
        <v>34</v>
      </c>
      <c r="D80" s="101"/>
      <c r="E80" s="116"/>
      <c r="F80" s="116"/>
      <c r="G80" s="117"/>
    </row>
    <row r="81" spans="1:26" s="113" customFormat="1">
      <c r="B81" s="385" t="s">
        <v>21</v>
      </c>
      <c r="C81" s="969" t="s">
        <v>293</v>
      </c>
      <c r="D81" s="101"/>
      <c r="E81" s="116"/>
      <c r="F81" s="116"/>
      <c r="G81" s="117"/>
    </row>
    <row r="82" spans="1:26" s="113" customFormat="1">
      <c r="B82" s="385" t="s">
        <v>293</v>
      </c>
      <c r="C82" s="101"/>
      <c r="D82" s="101"/>
      <c r="E82" s="116"/>
      <c r="F82" s="116"/>
      <c r="G82" s="117"/>
    </row>
    <row r="83" spans="1:26" s="113" customFormat="1" ht="15.5">
      <c r="B83" s="980" t="s">
        <v>21</v>
      </c>
      <c r="C83" s="969" t="s">
        <v>2754</v>
      </c>
      <c r="D83" s="969" t="s">
        <v>2750</v>
      </c>
      <c r="E83" s="116"/>
      <c r="F83" s="116"/>
      <c r="G83" s="117"/>
      <c r="V83"/>
      <c r="W83"/>
      <c r="X83"/>
    </row>
    <row r="84" spans="1:26" s="113" customFormat="1" ht="15.5">
      <c r="B84" s="970" t="s">
        <v>356</v>
      </c>
      <c r="C84" s="975">
        <v>1</v>
      </c>
      <c r="D84" s="975">
        <v>0</v>
      </c>
      <c r="E84" s="116"/>
      <c r="F84" s="116"/>
      <c r="G84" s="117"/>
      <c r="V84"/>
      <c r="W84"/>
      <c r="X84"/>
    </row>
    <row r="85" spans="1:26" s="113" customFormat="1" ht="15.5">
      <c r="B85" s="970" t="s">
        <v>398</v>
      </c>
      <c r="C85" s="975">
        <v>0.51369863013698636</v>
      </c>
      <c r="D85" s="975">
        <v>0.48630136986301364</v>
      </c>
      <c r="E85" s="116"/>
      <c r="F85" s="116"/>
      <c r="G85" s="117"/>
      <c r="K85"/>
      <c r="L85"/>
      <c r="M85"/>
      <c r="V85"/>
      <c r="W85"/>
      <c r="X85"/>
    </row>
    <row r="86" spans="1:26" s="113" customFormat="1" ht="15.5">
      <c r="B86" s="970" t="s">
        <v>401</v>
      </c>
      <c r="C86" s="975">
        <v>0.96533118582645461</v>
      </c>
      <c r="D86" s="975">
        <v>3.4668814173545393E-2</v>
      </c>
      <c r="E86" s="116"/>
      <c r="F86" s="116"/>
      <c r="G86" s="117"/>
      <c r="K86"/>
      <c r="L86"/>
      <c r="M86"/>
      <c r="V86"/>
      <c r="W86"/>
      <c r="X86"/>
    </row>
    <row r="87" spans="1:26" s="113" customFormat="1" ht="15.5">
      <c r="B87" s="970" t="s">
        <v>294</v>
      </c>
      <c r="C87" s="975">
        <v>0.94931960654400893</v>
      </c>
      <c r="D87" s="975">
        <v>5.0680393455991068E-2</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968" t="s">
        <v>20</v>
      </c>
      <c r="C98" s="969" t="s">
        <v>3146</v>
      </c>
      <c r="E98" s="97"/>
      <c r="P98" s="968" t="s">
        <v>20</v>
      </c>
      <c r="Q98" s="969" t="s">
        <v>3146</v>
      </c>
      <c r="S98" s="689"/>
      <c r="T98" s="689"/>
    </row>
    <row r="99" spans="2:30">
      <c r="B99" s="976" t="s">
        <v>21</v>
      </c>
      <c r="C99" s="969" t="s">
        <v>293</v>
      </c>
      <c r="E99" s="128" t="s">
        <v>293</v>
      </c>
      <c r="F99" s="129" t="s">
        <v>2951</v>
      </c>
      <c r="H99" s="101" t="s">
        <v>1915</v>
      </c>
      <c r="I99" s="100">
        <f>F100</f>
        <v>5743</v>
      </c>
      <c r="P99" s="976" t="s">
        <v>21</v>
      </c>
      <c r="Q99" s="969" t="s">
        <v>293</v>
      </c>
    </row>
    <row r="100" spans="2:30">
      <c r="B100" s="968" t="s">
        <v>34</v>
      </c>
      <c r="C100" s="969" t="s">
        <v>34</v>
      </c>
      <c r="E100" s="130" t="s">
        <v>1626</v>
      </c>
      <c r="F100" s="131">
        <f>GETPIVOTDATA("Sum of #_Functional_adult_latrines",$B$102,"Location Type","# in active camps (20:1)")</f>
        <v>5743</v>
      </c>
      <c r="H100" s="101" t="s">
        <v>2950</v>
      </c>
      <c r="I100" s="100">
        <f>GETPIVOTDATA("Sum of #_Existing_latrines",$B$102,"Location Type","# in active camps (20:1)")-I99</f>
        <v>753</v>
      </c>
      <c r="P100" s="968" t="s">
        <v>34</v>
      </c>
      <c r="Q100" s="969" t="s">
        <v>34</v>
      </c>
      <c r="S100" s="689"/>
      <c r="T100" s="689"/>
    </row>
    <row r="101" spans="2:30" s="99" customFormat="1">
      <c r="B101" s="94"/>
      <c r="C101" s="94"/>
      <c r="E101" s="130" t="s">
        <v>1912</v>
      </c>
      <c r="F101" s="131">
        <f>IF(F103-F100&lt;0,0,F103-F100)</f>
        <v>604</v>
      </c>
      <c r="G101" s="131"/>
      <c r="H101" s="101"/>
      <c r="I101" s="100"/>
      <c r="M101" s="94"/>
      <c r="P101" s="94"/>
      <c r="Q101" s="94"/>
      <c r="S101" s="94"/>
      <c r="T101" s="94"/>
      <c r="U101" s="94"/>
      <c r="V101" s="94"/>
      <c r="W101" s="94"/>
      <c r="Y101" s="94"/>
      <c r="AC101" s="94"/>
      <c r="AD101" s="94"/>
    </row>
    <row r="102" spans="2:30" ht="58">
      <c r="B102" s="969"/>
      <c r="C102" s="968" t="s">
        <v>1866</v>
      </c>
      <c r="E102" s="130" t="s">
        <v>2633</v>
      </c>
      <c r="F102" s="131">
        <f>GETPIVOTDATA("Sum of #_latrines_repaired",$B$102,"Location Type","# in active camps (20:1)")</f>
        <v>1274</v>
      </c>
      <c r="H102" s="101"/>
      <c r="I102" s="100"/>
      <c r="M102"/>
      <c r="P102" s="968" t="s">
        <v>1619</v>
      </c>
      <c r="Q102" s="969" t="s">
        <v>1903</v>
      </c>
      <c r="R102" s="969" t="s">
        <v>2899</v>
      </c>
      <c r="S102" s="969" t="s">
        <v>3048</v>
      </c>
      <c r="T102"/>
      <c r="U102"/>
    </row>
    <row r="103" spans="2:30" ht="16" thickBot="1">
      <c r="B103" s="968" t="s">
        <v>1867</v>
      </c>
      <c r="C103" s="969" t="s">
        <v>3177</v>
      </c>
      <c r="E103" s="132" t="s">
        <v>1903</v>
      </c>
      <c r="F103" s="394">
        <f>GETPIVOTDATA("# latrines (target)",$B$102,"Location Type","# in active camps (20:1)")</f>
        <v>6347</v>
      </c>
      <c r="I103" s="100"/>
      <c r="M103"/>
      <c r="P103" s="970" t="s">
        <v>356</v>
      </c>
      <c r="Q103" s="972">
        <v>54</v>
      </c>
      <c r="R103" s="972">
        <v>93</v>
      </c>
      <c r="S103" s="972">
        <v>-39</v>
      </c>
      <c r="T103" s="448"/>
      <c r="U103" s="453"/>
      <c r="V103" s="390"/>
      <c r="W103" s="390"/>
      <c r="X103" s="390"/>
      <c r="Y103" s="390"/>
      <c r="Z103" s="390"/>
      <c r="AA103" s="390"/>
      <c r="AB103" s="390"/>
      <c r="AC103" s="390"/>
      <c r="AD103" s="390"/>
    </row>
    <row r="104" spans="2:30" ht="15.5">
      <c r="B104" s="970" t="s">
        <v>1903</v>
      </c>
      <c r="C104" s="972">
        <v>6347</v>
      </c>
      <c r="E104"/>
      <c r="F104"/>
      <c r="G104"/>
      <c r="M104"/>
      <c r="P104" s="970" t="s">
        <v>398</v>
      </c>
      <c r="Q104" s="972">
        <v>146</v>
      </c>
      <c r="R104" s="972">
        <v>642</v>
      </c>
      <c r="S104" s="972">
        <v>-496</v>
      </c>
      <c r="T104" s="448"/>
      <c r="U104"/>
    </row>
    <row r="105" spans="2:30" ht="15.5">
      <c r="B105" s="970" t="s">
        <v>2897</v>
      </c>
      <c r="C105" s="972">
        <v>1274</v>
      </c>
      <c r="E105"/>
      <c r="F105"/>
      <c r="G105" s="670"/>
      <c r="M105"/>
      <c r="P105" s="970" t="s">
        <v>401</v>
      </c>
      <c r="Q105" s="972">
        <v>1242</v>
      </c>
      <c r="R105" s="972">
        <v>1117</v>
      </c>
      <c r="S105" s="972">
        <v>125</v>
      </c>
      <c r="T105" s="448"/>
      <c r="U105"/>
    </row>
    <row r="106" spans="2:30" ht="15.5">
      <c r="B106" s="970" t="s">
        <v>2898</v>
      </c>
      <c r="C106" s="972">
        <v>6496</v>
      </c>
      <c r="E106"/>
      <c r="F106"/>
      <c r="G106"/>
      <c r="K106"/>
      <c r="L106"/>
      <c r="M106"/>
      <c r="P106" s="970" t="s">
        <v>294</v>
      </c>
      <c r="Q106" s="972">
        <v>4905</v>
      </c>
      <c r="R106" s="972">
        <v>3891</v>
      </c>
      <c r="S106" s="972">
        <v>1014</v>
      </c>
      <c r="T106" s="448"/>
      <c r="U106"/>
    </row>
    <row r="107" spans="2:30" ht="15.5">
      <c r="B107" s="970" t="s">
        <v>2899</v>
      </c>
      <c r="C107" s="972">
        <v>5743</v>
      </c>
      <c r="E107"/>
      <c r="F107"/>
      <c r="G107"/>
      <c r="J107" s="453" t="s">
        <v>20</v>
      </c>
      <c r="K107" s="448" t="s">
        <v>3146</v>
      </c>
      <c r="L107"/>
      <c r="M107"/>
      <c r="P107"/>
      <c r="Q107"/>
      <c r="S107"/>
      <c r="T107"/>
      <c r="U107"/>
    </row>
    <row r="108" spans="2:30" ht="15.5">
      <c r="B108" s="970" t="s">
        <v>2900</v>
      </c>
      <c r="C108" s="972">
        <v>2504</v>
      </c>
      <c r="E108"/>
      <c r="F108"/>
      <c r="G108"/>
      <c r="K108"/>
      <c r="L108"/>
      <c r="M108"/>
      <c r="P108"/>
      <c r="Q108"/>
      <c r="S108"/>
      <c r="T108"/>
      <c r="U108"/>
    </row>
    <row r="109" spans="2:30" ht="15.5">
      <c r="B109" s="970" t="s">
        <v>2901</v>
      </c>
      <c r="C109" s="972">
        <v>138</v>
      </c>
      <c r="E109"/>
      <c r="F109"/>
      <c r="G109"/>
      <c r="J109" s="453" t="s">
        <v>22</v>
      </c>
      <c r="K109" s="448" t="s">
        <v>2782</v>
      </c>
      <c r="L109" s="448" t="s">
        <v>2899</v>
      </c>
      <c r="M109" s="448" t="s">
        <v>2990</v>
      </c>
      <c r="P109" s="791" t="s">
        <v>22</v>
      </c>
      <c r="Q109" s="791" t="s">
        <v>1626</v>
      </c>
      <c r="R109" s="791" t="s">
        <v>1627</v>
      </c>
      <c r="S109"/>
      <c r="T109"/>
      <c r="U109"/>
    </row>
    <row r="110" spans="2:30" ht="15.5">
      <c r="C110"/>
      <c r="D110"/>
      <c r="F110"/>
      <c r="G110"/>
      <c r="J110" s="736" t="s">
        <v>356</v>
      </c>
      <c r="K110" s="733">
        <v>1086</v>
      </c>
      <c r="L110" s="733">
        <v>93</v>
      </c>
      <c r="M110" s="733">
        <v>11.67741935483871</v>
      </c>
      <c r="N110" s="119">
        <f>GETPIVOTDATA("Sum of Total PoP ",$J$109,"Township","Kyaukpyu")/GETPIVOTDATA("Sum of #_Functional_adult_latrines",$J$109,"Township","Kyaukpyu")</f>
        <v>11.67741935483871</v>
      </c>
      <c r="P110" s="792" t="s">
        <v>356</v>
      </c>
      <c r="Q110" s="804">
        <f>GETPIVOTDATA("Sum of #_Functional_adult_latrines",$P$102,"Township","Kyaukpyu")</f>
        <v>93</v>
      </c>
      <c r="R110" s="794"/>
      <c r="S110"/>
      <c r="T110"/>
      <c r="U110"/>
    </row>
    <row r="111" spans="2:30" ht="15.5">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92" t="s">
        <v>398</v>
      </c>
      <c r="Q111" s="804">
        <f>GETPIVOTDATA("Sum of #_Functional_adult_latrines",$P$102,"Township","Myebon")</f>
        <v>642</v>
      </c>
      <c r="R111" s="794"/>
    </row>
    <row r="112" spans="2:30" ht="15.5">
      <c r="B112" s="968" t="s">
        <v>20</v>
      </c>
      <c r="C112" s="969" t="s">
        <v>3146</v>
      </c>
      <c r="F112" s="101"/>
      <c r="G112" s="101"/>
      <c r="J112" s="736" t="s">
        <v>401</v>
      </c>
      <c r="K112" s="733">
        <v>24835</v>
      </c>
      <c r="L112" s="733">
        <v>1117</v>
      </c>
      <c r="M112" s="733">
        <v>24.801427957907848</v>
      </c>
      <c r="N112" s="119">
        <f>GETPIVOTDATA("Sum of Total PoP ",$J$109,"Township","Pauktaw")/GETPIVOTDATA("Sum of #_Functional_adult_latrines",$J$109,"Township","Pauktaw")</f>
        <v>22.233661593554164</v>
      </c>
      <c r="P112" s="792" t="s">
        <v>401</v>
      </c>
      <c r="Q112" s="804">
        <f>GETPIVOTDATA("Sum of #_Functional_adult_latrines",$P$102,"Township","Pauktaw")</f>
        <v>1117</v>
      </c>
      <c r="R112" s="804">
        <f>GETPIVOTDATA("Sum of Latrines_Gap",$P$102,"Township","Pauktaw")</f>
        <v>125</v>
      </c>
    </row>
    <row r="113" spans="1:21" ht="15.5">
      <c r="A113" s="392" t="s">
        <v>2632</v>
      </c>
      <c r="B113" s="976" t="s">
        <v>21</v>
      </c>
      <c r="C113" s="969" t="s">
        <v>293</v>
      </c>
      <c r="J113" s="736" t="s">
        <v>294</v>
      </c>
      <c r="K113" s="733">
        <v>98105</v>
      </c>
      <c r="L113" s="733">
        <v>3891</v>
      </c>
      <c r="M113" s="733">
        <v>26.730032977960054</v>
      </c>
      <c r="N113" s="119">
        <f>GETPIVOTDATA("Sum of Total PoP ",$J$109,"Township","Sittwe")/GETPIVOTDATA("Sum of #_Functional_adult_latrines",$J$109,"Township","Sittwe")</f>
        <v>25.21331277306605</v>
      </c>
      <c r="P113" s="793" t="s">
        <v>294</v>
      </c>
      <c r="Q113" s="805">
        <f>GETPIVOTDATA("Sum of #_Functional_adult_latrines",$P$102,"Township","Sittwe")</f>
        <v>3891</v>
      </c>
      <c r="R113" s="805">
        <f>GETPIVOTDATA("Sum of Latrines_Gap",$P$102,"Township","Sittwe")</f>
        <v>1014</v>
      </c>
    </row>
    <row r="114" spans="1:21" ht="15.5">
      <c r="A114" s="392" t="s">
        <v>2631</v>
      </c>
      <c r="B114" s="968" t="s">
        <v>34</v>
      </c>
      <c r="C114" s="969" t="s">
        <v>34</v>
      </c>
      <c r="J114" s="736" t="s">
        <v>1621</v>
      </c>
      <c r="K114" s="733">
        <v>126946</v>
      </c>
      <c r="L114" s="733">
        <v>5743</v>
      </c>
      <c r="M114" s="733">
        <v>24.497776544770481</v>
      </c>
      <c r="Q114"/>
    </row>
    <row r="115" spans="1:21" ht="15.5">
      <c r="J115"/>
      <c r="K115"/>
      <c r="Q115"/>
    </row>
    <row r="116" spans="1:21" ht="15.5">
      <c r="B116" s="968" t="s">
        <v>1867</v>
      </c>
      <c r="C116" s="969"/>
      <c r="E116"/>
      <c r="F116" s="592" t="s">
        <v>2913</v>
      </c>
      <c r="G116" s="593" t="s">
        <v>2911</v>
      </c>
      <c r="H116" s="594" t="s">
        <v>2912</v>
      </c>
      <c r="O116"/>
      <c r="P116"/>
      <c r="Q116"/>
    </row>
    <row r="117" spans="1:21" ht="15.5">
      <c r="B117" s="970" t="s">
        <v>2909</v>
      </c>
      <c r="C117" s="975">
        <v>0.9826666666666668</v>
      </c>
      <c r="E117"/>
      <c r="F117" s="595" t="s">
        <v>2914</v>
      </c>
      <c r="G117" s="596">
        <f>GETPIVOTDATA("Average of %_of_Men_that_feel_safe_to_use_latrines_when_they_need_to_(or_at_day/night)'?",$B$116)</f>
        <v>0.9826666666666668</v>
      </c>
      <c r="H117" s="596">
        <f>1-G117</f>
        <v>1.7333333333333201E-2</v>
      </c>
      <c r="J117" s="177" t="s">
        <v>22</v>
      </c>
      <c r="K117" s="177" t="s">
        <v>2782</v>
      </c>
      <c r="L117" s="177" t="s">
        <v>2899</v>
      </c>
      <c r="M117" s="177" t="s">
        <v>2990</v>
      </c>
      <c r="O117"/>
      <c r="P117" s="968" t="s">
        <v>20</v>
      </c>
      <c r="Q117" s="969" t="s">
        <v>3146</v>
      </c>
      <c r="S117" s="689"/>
    </row>
    <row r="118" spans="1:21" ht="15.5">
      <c r="B118" s="970" t="s">
        <v>2910</v>
      </c>
      <c r="C118" s="975">
        <v>0.92399999999999993</v>
      </c>
      <c r="F118" s="595" t="s">
        <v>2915</v>
      </c>
      <c r="G118" s="596">
        <f>GETPIVOTDATA("Average of %_of_Women_that_feel_safe_to_use_latrines_when_they_need_to_(or_at_day/night)?",$B$116)</f>
        <v>0.92399999999999993</v>
      </c>
      <c r="H118" s="596">
        <f t="shared" ref="H118:H119" si="0">1-G118</f>
        <v>7.6000000000000068E-2</v>
      </c>
      <c r="I118" s="390"/>
      <c r="J118" s="736" t="s">
        <v>356</v>
      </c>
      <c r="K118" s="733">
        <f>GETPIVOTDATA("Sum of Total PoP ",$J$109,"Township","Kyaukpyu")</f>
        <v>1086</v>
      </c>
      <c r="L118" s="733">
        <f>GETPIVOTDATA("Sum of #_Functional_adult_latrines",$J$109,"Township","Kyaukpyu")</f>
        <v>93</v>
      </c>
      <c r="M118" s="119">
        <f>K118/L118</f>
        <v>11.67741935483871</v>
      </c>
      <c r="N118" s="390"/>
      <c r="O118"/>
      <c r="P118" s="976" t="s">
        <v>21</v>
      </c>
      <c r="Q118" s="969" t="s">
        <v>293</v>
      </c>
    </row>
    <row r="119" spans="1:21" ht="15.5">
      <c r="B119" s="970" t="s">
        <v>3118</v>
      </c>
      <c r="C119" s="975">
        <v>0.50727272727272732</v>
      </c>
      <c r="F119" s="595" t="s">
        <v>3119</v>
      </c>
      <c r="G119" s="596">
        <f>GETPIVOTDATA("Average of %_of_Children_that_feel_safe_to_use_latrines_when_they_need_to_(or_at_day/night)?",$B$116)</f>
        <v>0.50727272727272732</v>
      </c>
      <c r="H119" s="596">
        <f t="shared" si="0"/>
        <v>0.49272727272727268</v>
      </c>
      <c r="J119" s="736" t="s">
        <v>398</v>
      </c>
      <c r="K119" s="733">
        <f>GETPIVOTDATA("Sum of Total PoP ",$J$109,"Township","Myebon")</f>
        <v>2920</v>
      </c>
      <c r="L119" s="733">
        <f>GETPIVOTDATA("Sum of #_Functional_adult_latrines",$J$109,"Township","Myebon")</f>
        <v>642</v>
      </c>
      <c r="M119" s="119">
        <f t="shared" ref="M119:M121" si="1">K119/L119</f>
        <v>4.5482866043613708</v>
      </c>
      <c r="O119"/>
      <c r="P119" s="968" t="s">
        <v>34</v>
      </c>
      <c r="Q119" s="969" t="s">
        <v>34</v>
      </c>
      <c r="S119" s="689"/>
    </row>
    <row r="120" spans="1:21" ht="15.5">
      <c r="B120"/>
      <c r="C120"/>
      <c r="E120" s="448"/>
      <c r="J120" s="736" t="s">
        <v>401</v>
      </c>
      <c r="K120" s="733">
        <f>GETPIVOTDATA("Sum of Total PoP ",$J$109,"Township","Pauktaw")</f>
        <v>24835</v>
      </c>
      <c r="L120" s="733">
        <f>GETPIVOTDATA("Sum of #_Functional_adult_latrines",$J$109,"Township","Pauktaw")</f>
        <v>1117</v>
      </c>
      <c r="M120" s="119">
        <f t="shared" si="1"/>
        <v>22.233661593554164</v>
      </c>
      <c r="O120"/>
      <c r="R120" s="99"/>
    </row>
    <row r="121" spans="1:21" ht="15.5">
      <c r="B121" s="101"/>
      <c r="C121"/>
      <c r="D121"/>
      <c r="E121" s="134"/>
      <c r="J121" s="736" t="s">
        <v>294</v>
      </c>
      <c r="K121" s="733">
        <f>GETPIVOTDATA("Sum of Total PoP ",$J$109,"Township","Sittwe")</f>
        <v>98105</v>
      </c>
      <c r="L121" s="733">
        <f>GETPIVOTDATA("Sum of #_Functional_adult_latrines",$J$109,"Township","Sittwe")</f>
        <v>3891</v>
      </c>
      <c r="M121" s="119">
        <f t="shared" si="1"/>
        <v>25.21331277306605</v>
      </c>
      <c r="O121"/>
      <c r="P121" s="968" t="s">
        <v>1619</v>
      </c>
      <c r="Q121" s="969" t="s">
        <v>3049</v>
      </c>
      <c r="R121" s="969" t="s">
        <v>2941</v>
      </c>
      <c r="S121"/>
      <c r="T121" s="390"/>
      <c r="U121" s="390"/>
    </row>
    <row r="122" spans="1:21" ht="15.5">
      <c r="B122" s="101"/>
      <c r="C122"/>
      <c r="D122"/>
      <c r="E122" s="134"/>
      <c r="O122"/>
      <c r="P122" s="970" t="s">
        <v>356</v>
      </c>
      <c r="Q122" s="972">
        <v>54</v>
      </c>
      <c r="R122" s="972">
        <v>93</v>
      </c>
      <c r="S122"/>
      <c r="T122" s="134"/>
      <c r="U122" s="134"/>
    </row>
    <row r="123" spans="1:21" ht="15.5">
      <c r="B123" s="101"/>
      <c r="C123"/>
      <c r="D123"/>
      <c r="E123" s="98"/>
      <c r="J123" s="101"/>
      <c r="O123"/>
      <c r="P123" s="970" t="s">
        <v>398</v>
      </c>
      <c r="Q123" s="972">
        <v>146</v>
      </c>
      <c r="R123" s="972">
        <v>642</v>
      </c>
      <c r="S123"/>
    </row>
    <row r="124" spans="1:21" ht="15.5">
      <c r="B124" s="101"/>
      <c r="C124" s="96"/>
      <c r="D124" s="98"/>
      <c r="E124" s="98"/>
      <c r="J124" s="101"/>
      <c r="O124"/>
      <c r="P124" s="970" t="s">
        <v>401</v>
      </c>
      <c r="Q124" s="972">
        <v>1242</v>
      </c>
      <c r="R124" s="972">
        <v>1117</v>
      </c>
      <c r="S124"/>
    </row>
    <row r="125" spans="1:21" ht="15.5">
      <c r="B125" s="101"/>
      <c r="C125" s="96"/>
      <c r="D125" s="98"/>
      <c r="E125" s="98"/>
      <c r="F125" s="101"/>
      <c r="G125" s="101"/>
      <c r="J125" s="101"/>
      <c r="O125"/>
      <c r="P125" s="970" t="s">
        <v>294</v>
      </c>
      <c r="Q125" s="972">
        <v>4905</v>
      </c>
      <c r="R125" s="972">
        <v>3891</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968" t="s">
        <v>20</v>
      </c>
      <c r="C129" s="969" t="s">
        <v>3146</v>
      </c>
      <c r="E129" s="101"/>
      <c r="F129" s="968" t="s">
        <v>20</v>
      </c>
      <c r="G129" s="969" t="s">
        <v>3146</v>
      </c>
      <c r="Q129" s="101"/>
      <c r="R129" s="101"/>
      <c r="S129" s="101"/>
    </row>
    <row r="130" spans="1:21">
      <c r="A130" s="101"/>
      <c r="B130" s="968" t="s">
        <v>34</v>
      </c>
      <c r="C130" s="969" t="s">
        <v>34</v>
      </c>
      <c r="E130" s="101"/>
      <c r="F130" s="968" t="s">
        <v>34</v>
      </c>
      <c r="G130" s="969" t="s">
        <v>34</v>
      </c>
      <c r="Q130" s="101"/>
      <c r="R130" s="101"/>
      <c r="S130" s="101"/>
    </row>
    <row r="131" spans="1:21">
      <c r="A131" s="101"/>
      <c r="B131" s="968" t="s">
        <v>123</v>
      </c>
      <c r="C131" s="969" t="s">
        <v>43</v>
      </c>
      <c r="E131" s="101"/>
      <c r="Q131" s="101"/>
      <c r="R131" s="101"/>
      <c r="S131" s="101"/>
    </row>
    <row r="132" spans="1:21">
      <c r="A132" s="101"/>
      <c r="E132" s="101"/>
      <c r="F132" s="969" t="s">
        <v>2919</v>
      </c>
      <c r="G132" s="969" t="s">
        <v>2900</v>
      </c>
      <c r="H132" s="390"/>
      <c r="N132" s="390"/>
      <c r="O132" s="390"/>
      <c r="P132" s="390"/>
      <c r="Q132" s="600"/>
      <c r="R132" s="600"/>
      <c r="S132" s="600"/>
      <c r="T132" s="390"/>
      <c r="U132" s="390"/>
    </row>
    <row r="133" spans="1:21" ht="15.5">
      <c r="A133" s="101"/>
      <c r="B133" s="968" t="s">
        <v>2918</v>
      </c>
      <c r="C133" s="968" t="s">
        <v>1866</v>
      </c>
      <c r="D133" s="969"/>
      <c r="E133"/>
      <c r="F133" s="971">
        <v>0</v>
      </c>
      <c r="G133" s="971">
        <v>2504</v>
      </c>
    </row>
    <row r="134" spans="1:21" ht="15.5">
      <c r="A134" s="101"/>
      <c r="B134" s="968" t="s">
        <v>21</v>
      </c>
      <c r="C134" s="969" t="s">
        <v>41</v>
      </c>
      <c r="D134" s="969" t="s">
        <v>125</v>
      </c>
      <c r="E134"/>
      <c r="F134" s="390"/>
      <c r="G134" s="390"/>
      <c r="H134" s="390"/>
      <c r="I134" s="390"/>
      <c r="N134" s="390"/>
      <c r="O134" s="390"/>
      <c r="P134" s="390"/>
      <c r="Q134" s="390"/>
      <c r="R134" s="390"/>
      <c r="S134" s="390"/>
    </row>
    <row r="135" spans="1:21" ht="15.5">
      <c r="A135" s="101"/>
      <c r="B135" s="970" t="s">
        <v>293</v>
      </c>
      <c r="C135" s="971">
        <v>20</v>
      </c>
      <c r="D135" s="971">
        <v>1</v>
      </c>
      <c r="E135"/>
      <c r="F135" s="591" t="s">
        <v>2920</v>
      </c>
      <c r="G135" s="601" t="s">
        <v>2922</v>
      </c>
      <c r="H135" s="601" t="s">
        <v>2921</v>
      </c>
    </row>
    <row r="136" spans="1:21" ht="15.5">
      <c r="A136" s="101"/>
      <c r="B136"/>
      <c r="C136"/>
      <c r="D136"/>
      <c r="E136" s="101"/>
      <c r="F136" s="597">
        <f>GETPIVOTDATA("Sum of # of Total_People with disabilities",$F$132)</f>
        <v>0</v>
      </c>
      <c r="G136" s="599">
        <f>GETPIVOTDATA("Sum of #_of_PWD_with_adapted_sanitation_option",$F$132)</f>
        <v>2504</v>
      </c>
      <c r="H136" s="599">
        <f>F136-G136</f>
        <v>-2504</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6" t="s">
        <v>41</v>
      </c>
      <c r="D139" s="598" t="s">
        <v>125</v>
      </c>
      <c r="E139" s="101"/>
      <c r="F139" s="101"/>
      <c r="G139"/>
    </row>
    <row r="140" spans="1:21">
      <c r="A140" s="101"/>
      <c r="B140" s="135" t="s">
        <v>293</v>
      </c>
      <c r="C140" s="136">
        <f>GETPIVOTDATA("Is_there_an_effective_solid_waste_management_system_in_place?",$B$133,"State","Rakhine","Is_there_an_effective_solid_waste_management_system_in_place?","Yes")</f>
        <v>20</v>
      </c>
      <c r="D140" s="137">
        <v>0</v>
      </c>
      <c r="E140" s="101"/>
      <c r="F140" s="101"/>
      <c r="G140" s="101"/>
      <c r="Q140" s="101"/>
      <c r="R140" s="101"/>
      <c r="S140" s="101"/>
    </row>
    <row r="141" spans="1:21">
      <c r="A141" s="101"/>
      <c r="B141" s="101"/>
      <c r="C141" s="101"/>
      <c r="D141" s="101"/>
      <c r="E141" s="101"/>
      <c r="F141" s="101"/>
    </row>
    <row r="142" spans="1:21">
      <c r="B142" s="133"/>
      <c r="C142" s="134"/>
      <c r="D142" s="134"/>
      <c r="E142" s="134"/>
      <c r="F142" s="134"/>
    </row>
    <row r="147" spans="2:14" ht="15.5">
      <c r="E147"/>
      <c r="F147"/>
      <c r="G147"/>
      <c r="H147" s="101"/>
      <c r="I147" s="101"/>
      <c r="J147" s="101"/>
      <c r="K147" s="101"/>
    </row>
    <row r="148" spans="2:14" ht="15.5">
      <c r="E148"/>
      <c r="F148"/>
      <c r="G148"/>
      <c r="H148" s="101"/>
      <c r="I148" s="101"/>
      <c r="J148" s="101"/>
      <c r="K148" s="101"/>
    </row>
    <row r="149" spans="2:14" ht="15.5">
      <c r="E149"/>
      <c r="F149"/>
      <c r="G149"/>
      <c r="H149" s="101"/>
      <c r="I149" s="101"/>
      <c r="J149" s="101"/>
      <c r="K149" s="101"/>
    </row>
    <row r="150" spans="2:14" ht="15.5">
      <c r="E150"/>
      <c r="F150"/>
      <c r="G150"/>
      <c r="H150" s="101"/>
      <c r="I150" s="101"/>
      <c r="J150" s="101"/>
      <c r="K150" s="101"/>
    </row>
    <row r="151" spans="2:14" ht="15.5">
      <c r="E151"/>
      <c r="F151"/>
      <c r="G151"/>
      <c r="H151" s="101"/>
      <c r="I151" s="101"/>
      <c r="J151" s="101"/>
      <c r="K151" s="101"/>
    </row>
    <row r="152" spans="2:14">
      <c r="E152" s="101"/>
      <c r="F152" s="101"/>
      <c r="G152" s="101"/>
      <c r="H152" s="101"/>
      <c r="I152" s="101"/>
    </row>
    <row r="156" spans="2:14">
      <c r="J156" s="812"/>
      <c r="K156" s="812"/>
    </row>
    <row r="157" spans="2:14" ht="15.5">
      <c r="B157" s="448"/>
      <c r="C157" s="448"/>
      <c r="D157" s="448"/>
      <c r="E157" s="448"/>
      <c r="J157" s="97"/>
      <c r="K157" s="97"/>
    </row>
    <row r="158" spans="2:14" ht="15.5">
      <c r="B158" s="448"/>
      <c r="C158" s="448"/>
      <c r="D158" s="448"/>
      <c r="E158" s="448"/>
      <c r="J158"/>
      <c r="K158"/>
      <c r="L158"/>
      <c r="M158"/>
    </row>
    <row r="159" spans="2:14" ht="15.5">
      <c r="B159" s="968" t="s">
        <v>20</v>
      </c>
      <c r="C159" s="969" t="s">
        <v>3146</v>
      </c>
      <c r="D159" s="101"/>
      <c r="E159" s="448"/>
      <c r="J159"/>
      <c r="K159"/>
      <c r="L159"/>
      <c r="M159"/>
      <c r="N159" s="115"/>
    </row>
    <row r="160" spans="2:14" ht="15.5">
      <c r="B160" s="968" t="s">
        <v>34</v>
      </c>
      <c r="C160" s="969" t="s">
        <v>34</v>
      </c>
      <c r="D160" s="101"/>
      <c r="E160" s="448"/>
      <c r="J160"/>
      <c r="K160"/>
      <c r="L160"/>
      <c r="M160"/>
    </row>
    <row r="161" spans="2:14" ht="15.5">
      <c r="B161" s="983" t="s">
        <v>21</v>
      </c>
      <c r="C161" s="969" t="s">
        <v>293</v>
      </c>
      <c r="D161" s="101"/>
      <c r="E161" s="448"/>
      <c r="J161"/>
      <c r="K161"/>
      <c r="L161"/>
      <c r="M161"/>
    </row>
    <row r="162" spans="2:14" ht="15.5">
      <c r="B162" s="391"/>
      <c r="C162" s="101"/>
      <c r="D162" s="101"/>
      <c r="E162" s="448"/>
      <c r="J162"/>
      <c r="K162"/>
      <c r="L162"/>
      <c r="M162"/>
    </row>
    <row r="163" spans="2:14" ht="15.5">
      <c r="B163" s="980" t="s">
        <v>21</v>
      </c>
      <c r="C163" s="969" t="s">
        <v>2755</v>
      </c>
      <c r="D163" s="969" t="s">
        <v>2756</v>
      </c>
      <c r="E163" s="448"/>
      <c r="J163"/>
      <c r="K163"/>
      <c r="L163"/>
      <c r="M163"/>
    </row>
    <row r="164" spans="2:14" ht="15.5">
      <c r="B164" s="970" t="s">
        <v>356</v>
      </c>
      <c r="C164" s="975">
        <v>1</v>
      </c>
      <c r="D164" s="975">
        <v>0</v>
      </c>
      <c r="E164" s="448"/>
      <c r="J164"/>
      <c r="K164"/>
      <c r="L164"/>
      <c r="M164"/>
    </row>
    <row r="165" spans="2:14" ht="15.5">
      <c r="B165" s="970" t="s">
        <v>398</v>
      </c>
      <c r="C165" s="975">
        <v>1</v>
      </c>
      <c r="D165" s="975">
        <v>0</v>
      </c>
      <c r="E165" s="448"/>
      <c r="J165"/>
      <c r="K165"/>
      <c r="L165"/>
      <c r="M165"/>
    </row>
    <row r="166" spans="2:14" ht="15.5">
      <c r="B166" s="970" t="s">
        <v>401</v>
      </c>
      <c r="C166" s="975">
        <v>0.83225286893497086</v>
      </c>
      <c r="D166" s="975">
        <v>0.16774713106502914</v>
      </c>
      <c r="E166" s="448"/>
      <c r="J166"/>
      <c r="K166"/>
      <c r="L166"/>
      <c r="M166"/>
    </row>
    <row r="167" spans="2:14" ht="15.5">
      <c r="B167" s="970" t="s">
        <v>294</v>
      </c>
      <c r="C167" s="975">
        <v>0.77939962285306563</v>
      </c>
      <c r="D167" s="975">
        <v>0.22060037714693437</v>
      </c>
      <c r="E167" s="448"/>
      <c r="J167"/>
      <c r="K167"/>
      <c r="L167"/>
      <c r="M167"/>
    </row>
    <row r="168" spans="2:14" ht="15.5">
      <c r="B168"/>
      <c r="C168"/>
      <c r="D168"/>
      <c r="E168" s="448"/>
      <c r="J168"/>
      <c r="K168"/>
      <c r="L168"/>
      <c r="M168"/>
    </row>
    <row r="169" spans="2:14" ht="15.5">
      <c r="B169" s="448"/>
      <c r="C169" s="448"/>
      <c r="D169" s="448"/>
      <c r="E169" s="448"/>
      <c r="J169"/>
      <c r="K169"/>
      <c r="L169"/>
      <c r="M169"/>
    </row>
    <row r="170" spans="2:14" ht="15.5">
      <c r="B170" s="448"/>
      <c r="C170" s="448"/>
      <c r="D170" s="448"/>
      <c r="E170" s="448"/>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978" t="s">
        <v>34</v>
      </c>
      <c r="C176" s="975" t="s">
        <v>34</v>
      </c>
      <c r="D176"/>
      <c r="J176"/>
      <c r="K176"/>
      <c r="L176"/>
      <c r="M176"/>
      <c r="N176"/>
    </row>
    <row r="177" spans="1:26" ht="15.5">
      <c r="B177" s="97"/>
      <c r="C177" s="97"/>
      <c r="D177"/>
      <c r="J177"/>
      <c r="K177"/>
      <c r="L177"/>
      <c r="M177"/>
      <c r="N177"/>
    </row>
    <row r="178" spans="1:26" ht="15.5">
      <c r="B178" s="978" t="s">
        <v>21</v>
      </c>
      <c r="C178" s="975" t="s">
        <v>3214</v>
      </c>
      <c r="D178" s="977" t="s">
        <v>3215</v>
      </c>
      <c r="E178" s="977" t="s">
        <v>3216</v>
      </c>
      <c r="F178" s="390"/>
      <c r="G178" s="390"/>
      <c r="H178" s="390"/>
      <c r="I178" s="390"/>
      <c r="J178"/>
      <c r="K178"/>
      <c r="L178"/>
      <c r="M178"/>
      <c r="N178" s="448"/>
    </row>
    <row r="179" spans="1:26" ht="15.5">
      <c r="B179" s="979" t="s">
        <v>3143</v>
      </c>
      <c r="C179" s="972">
        <v>222</v>
      </c>
      <c r="D179" s="977">
        <v>759</v>
      </c>
      <c r="E179" s="977">
        <v>645</v>
      </c>
      <c r="J179"/>
      <c r="K179"/>
      <c r="L179"/>
      <c r="M179"/>
      <c r="N179"/>
    </row>
    <row r="180" spans="1:26" ht="15.5">
      <c r="B180" s="979" t="s">
        <v>3144</v>
      </c>
      <c r="C180" s="972">
        <v>149</v>
      </c>
      <c r="D180" s="977">
        <v>2885</v>
      </c>
      <c r="E180" s="977">
        <v>1555</v>
      </c>
      <c r="J180"/>
      <c r="K180"/>
      <c r="L180"/>
      <c r="M180"/>
      <c r="N180"/>
    </row>
    <row r="181" spans="1:26" ht="15.5">
      <c r="B181" s="979" t="s">
        <v>3145</v>
      </c>
      <c r="C181" s="972">
        <v>160</v>
      </c>
      <c r="D181" s="977">
        <v>3870</v>
      </c>
      <c r="E181" s="977">
        <v>2186</v>
      </c>
      <c r="M181"/>
      <c r="N181"/>
    </row>
    <row r="182" spans="1:26" ht="15.5">
      <c r="B182" s="979" t="s">
        <v>3146</v>
      </c>
      <c r="C182" s="972">
        <v>138</v>
      </c>
      <c r="D182" s="977">
        <v>3467</v>
      </c>
      <c r="E182" s="977">
        <v>1274</v>
      </c>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B189" s="968" t="s">
        <v>20</v>
      </c>
      <c r="C189" s="969" t="s">
        <v>3146</v>
      </c>
      <c r="D189" s="101"/>
      <c r="J189" s="118" t="s">
        <v>293</v>
      </c>
    </row>
    <row r="190" spans="1:26">
      <c r="B190" s="968" t="s">
        <v>34</v>
      </c>
      <c r="C190" s="969" t="s">
        <v>34</v>
      </c>
      <c r="I190" s="735" t="s">
        <v>1918</v>
      </c>
      <c r="J190" s="94">
        <f>GETPIVOTDATA("Sum of Total PoP ",$B$193,"State","Rakhine")</f>
        <v>126946</v>
      </c>
      <c r="K190" s="94">
        <f>J190*30%</f>
        <v>38083.799999999996</v>
      </c>
      <c r="M190" s="98"/>
    </row>
    <row r="191" spans="1:26">
      <c r="B191" s="968" t="s">
        <v>123</v>
      </c>
      <c r="C191" s="969" t="s">
        <v>43</v>
      </c>
      <c r="D191" s="101"/>
    </row>
    <row r="192" spans="1:26">
      <c r="J192" s="118" t="s">
        <v>34</v>
      </c>
      <c r="K192" s="118" t="s">
        <v>1627</v>
      </c>
    </row>
    <row r="193" spans="2:18">
      <c r="B193" s="968" t="s">
        <v>1619</v>
      </c>
      <c r="C193" s="969" t="s">
        <v>2782</v>
      </c>
      <c r="D193" s="969" t="s">
        <v>1897</v>
      </c>
      <c r="E193" s="969" t="s">
        <v>2923</v>
      </c>
      <c r="F193" s="969" t="s">
        <v>3041</v>
      </c>
      <c r="G193" s="969" t="s">
        <v>3042</v>
      </c>
      <c r="I193" s="735" t="s">
        <v>2987</v>
      </c>
      <c r="J193" s="119">
        <f>GETPIVOTDATA("Sum of # people reached by regular dedicated hygiene promotion_5",$B$193,"State","Rakhine")</f>
        <v>69572</v>
      </c>
      <c r="K193" s="119">
        <f>$J$190-J193</f>
        <v>57374</v>
      </c>
    </row>
    <row r="194" spans="2:18">
      <c r="B194" s="970" t="s">
        <v>293</v>
      </c>
      <c r="C194" s="971">
        <v>126946</v>
      </c>
      <c r="D194" s="971">
        <v>69572</v>
      </c>
      <c r="E194" s="971">
        <v>37352</v>
      </c>
      <c r="F194" s="971">
        <v>13270</v>
      </c>
      <c r="G194" s="971">
        <v>24009</v>
      </c>
      <c r="I194" s="779" t="s">
        <v>3040</v>
      </c>
      <c r="J194" s="119">
        <f>GETPIVOTDATA("Sum of #_of_affected_households_receiving_a_sufficient_quantity_of_soap",$B$193,"State","Rakhine")</f>
        <v>13270</v>
      </c>
      <c r="K194" s="119">
        <f>GETPIVOTDATA("Sum of Total HH",$B$193,"State","Rakhine")-J194</f>
        <v>10739</v>
      </c>
    </row>
    <row r="195" spans="2:18">
      <c r="B195" s="970" t="s">
        <v>1621</v>
      </c>
      <c r="C195" s="971">
        <v>126946</v>
      </c>
      <c r="D195" s="971">
        <v>69572</v>
      </c>
      <c r="E195" s="971">
        <v>37352</v>
      </c>
      <c r="F195" s="971">
        <v>13270</v>
      </c>
      <c r="G195" s="971">
        <v>24009</v>
      </c>
      <c r="I195" s="735" t="s">
        <v>2985</v>
      </c>
      <c r="J195" s="119">
        <f>GETPIVOTDATA("Sum of #_of_affected_women_and_girls_receiving_a_sufficient_quantity_of_sanitary_pads",$B$193,"State","Rakhine")</f>
        <v>37352</v>
      </c>
      <c r="K195" s="119">
        <f>IF(K190-J195&lt;0,0,K190-J195)</f>
        <v>731.79999999999563</v>
      </c>
    </row>
    <row r="196" spans="2:18" ht="15.5">
      <c r="B196"/>
      <c r="C196"/>
      <c r="D196"/>
      <c r="E196"/>
      <c r="F196"/>
      <c r="G196"/>
    </row>
    <row r="197" spans="2:18" ht="15.5">
      <c r="B197"/>
      <c r="C197"/>
      <c r="D197"/>
      <c r="E197"/>
      <c r="F197"/>
      <c r="G197"/>
    </row>
    <row r="198" spans="2:18" ht="15.5">
      <c r="B198"/>
      <c r="C198"/>
      <c r="D198"/>
      <c r="E198"/>
      <c r="F198"/>
      <c r="G198"/>
      <c r="Q198" s="103"/>
      <c r="R198" s="103"/>
    </row>
    <row r="199" spans="2:18">
      <c r="B199" s="101"/>
      <c r="C199" s="101"/>
      <c r="D199" s="101"/>
    </row>
    <row r="200" spans="2:18">
      <c r="B200" s="101"/>
      <c r="C200" s="101"/>
      <c r="D200" s="101"/>
    </row>
    <row r="201" spans="2:18">
      <c r="B201" s="101"/>
      <c r="C201" s="101"/>
      <c r="D201" s="101"/>
    </row>
    <row r="202" spans="2:18" ht="15.5">
      <c r="B202" s="448"/>
      <c r="C202" s="448"/>
      <c r="D202" s="448"/>
      <c r="E202" s="448"/>
      <c r="H202" s="115"/>
      <c r="I202" s="115"/>
      <c r="J202" s="115"/>
      <c r="K202" s="115"/>
      <c r="L202" s="115"/>
    </row>
    <row r="203" spans="2:18" ht="15.5">
      <c r="B203" s="347"/>
      <c r="C203" s="347"/>
      <c r="D203" s="347"/>
      <c r="E203" s="347"/>
      <c r="F203" s="347"/>
      <c r="G203" s="347"/>
      <c r="K203" s="448"/>
      <c r="L203" s="448"/>
      <c r="M203" s="448"/>
    </row>
    <row r="204" spans="2:18" ht="15.5">
      <c r="B204"/>
      <c r="C204"/>
      <c r="D204" s="115"/>
      <c r="K204" s="448"/>
      <c r="L204" s="448"/>
      <c r="M204" s="448"/>
    </row>
    <row r="205" spans="2:18" ht="15.5">
      <c r="B205" s="968" t="s">
        <v>20</v>
      </c>
      <c r="C205" s="969" t="s">
        <v>3146</v>
      </c>
      <c r="D205" s="101"/>
      <c r="K205" s="448"/>
      <c r="L205" s="448"/>
      <c r="M205" s="448"/>
    </row>
    <row r="206" spans="2:18" ht="15.5">
      <c r="B206" s="968" t="s">
        <v>34</v>
      </c>
      <c r="C206" s="969" t="s">
        <v>34</v>
      </c>
      <c r="D206" s="101"/>
      <c r="K206" s="448"/>
      <c r="L206" s="448"/>
      <c r="M206" s="448"/>
    </row>
    <row r="207" spans="2:18" ht="15.5">
      <c r="B207" s="983" t="s">
        <v>21</v>
      </c>
      <c r="C207" s="969" t="s">
        <v>293</v>
      </c>
      <c r="D207" s="101"/>
      <c r="K207" s="448"/>
      <c r="L207" s="448"/>
      <c r="M207" s="448"/>
    </row>
    <row r="208" spans="2:18" ht="15.5">
      <c r="B208" s="391"/>
      <c r="C208" s="101"/>
      <c r="D208" s="101"/>
      <c r="K208" s="448"/>
      <c r="L208" s="448"/>
      <c r="M208" s="448"/>
    </row>
    <row r="209" spans="2:25" ht="15.5">
      <c r="B209" s="980" t="s">
        <v>21</v>
      </c>
      <c r="C209" s="969" t="s">
        <v>2757</v>
      </c>
      <c r="D209" s="969" t="s">
        <v>2753</v>
      </c>
      <c r="K209" s="448"/>
      <c r="L209" s="448"/>
      <c r="M209" s="448"/>
    </row>
    <row r="210" spans="2:25" ht="15.5">
      <c r="B210" s="970" t="s">
        <v>356</v>
      </c>
      <c r="C210" s="975">
        <v>1</v>
      </c>
      <c r="D210" s="975">
        <v>0</v>
      </c>
      <c r="K210" s="448"/>
      <c r="L210" s="448"/>
      <c r="M210" s="448"/>
    </row>
    <row r="211" spans="2:25" ht="15.5">
      <c r="B211" s="970" t="s">
        <v>398</v>
      </c>
      <c r="C211" s="975">
        <v>0</v>
      </c>
      <c r="D211" s="975">
        <v>1</v>
      </c>
      <c r="K211" s="448"/>
      <c r="L211" s="448"/>
      <c r="M211" s="448"/>
    </row>
    <row r="212" spans="2:25" ht="15.5">
      <c r="B212" s="970" t="s">
        <v>401</v>
      </c>
      <c r="C212" s="975">
        <v>0.78272599154419165</v>
      </c>
      <c r="D212" s="975">
        <v>0.21727400845580835</v>
      </c>
      <c r="K212" s="448"/>
      <c r="L212" s="448"/>
      <c r="M212" s="448"/>
    </row>
    <row r="213" spans="2:25" ht="15.5">
      <c r="B213" s="970" t="s">
        <v>294</v>
      </c>
      <c r="C213" s="975">
        <v>0.85775697568080911</v>
      </c>
      <c r="D213" s="975">
        <v>0.14224302431919089</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3"/>
      <c r="P218" s="743"/>
    </row>
    <row r="219" spans="2:25" ht="15.5">
      <c r="B219" s="968" t="s">
        <v>20</v>
      </c>
      <c r="C219" s="969" t="s">
        <v>3146</v>
      </c>
      <c r="K219"/>
      <c r="L219"/>
      <c r="M219"/>
      <c r="O219" s="743"/>
      <c r="P219" s="743"/>
      <c r="Q219" s="101"/>
    </row>
    <row r="220" spans="2:25" ht="15.5">
      <c r="B220" s="968" t="s">
        <v>34</v>
      </c>
      <c r="C220" s="969" t="s">
        <v>34</v>
      </c>
      <c r="D220" s="101"/>
      <c r="K220"/>
      <c r="L220"/>
      <c r="M220"/>
    </row>
    <row r="221" spans="2:25" ht="15.5">
      <c r="K221"/>
      <c r="L221"/>
      <c r="M221"/>
      <c r="O221"/>
      <c r="P221"/>
      <c r="Q221"/>
      <c r="R221"/>
      <c r="T221" s="390"/>
      <c r="U221" s="390"/>
      <c r="V221" s="390"/>
      <c r="W221" s="742"/>
      <c r="X221" s="742"/>
      <c r="Y221" s="390"/>
    </row>
    <row r="222" spans="2:25" ht="15.5">
      <c r="B222" s="969" t="s">
        <v>2924</v>
      </c>
      <c r="C222" s="969" t="s">
        <v>2925</v>
      </c>
      <c r="D222"/>
      <c r="K222"/>
      <c r="L222"/>
      <c r="M222"/>
      <c r="O222"/>
      <c r="P222"/>
      <c r="Q222"/>
      <c r="R222"/>
      <c r="W222" s="743"/>
      <c r="X222" s="743"/>
      <c r="Y222" s="101"/>
    </row>
    <row r="223" spans="2:25" ht="15.5">
      <c r="B223" s="975">
        <v>0.78111111111111109</v>
      </c>
      <c r="C223" s="975">
        <v>0.93461538461538463</v>
      </c>
      <c r="D223"/>
      <c r="O223"/>
      <c r="P223"/>
      <c r="Q223"/>
      <c r="R223"/>
    </row>
    <row r="224" spans="2:25" ht="16" thickBot="1">
      <c r="B224"/>
      <c r="C224"/>
      <c r="D224"/>
      <c r="J224" s="448"/>
      <c r="K224" s="448"/>
      <c r="L224" s="448"/>
      <c r="M224" s="448"/>
      <c r="O224"/>
      <c r="P224"/>
      <c r="Q224"/>
      <c r="R224"/>
      <c r="W224"/>
      <c r="X224"/>
      <c r="Y224"/>
    </row>
    <row r="225" spans="2:26" ht="15.5">
      <c r="B225" s="603"/>
      <c r="C225" s="604" t="s">
        <v>41</v>
      </c>
      <c r="D225" s="605" t="s">
        <v>125</v>
      </c>
      <c r="J225" s="448"/>
      <c r="K225" s="448"/>
      <c r="L225" s="448"/>
      <c r="M225" s="448"/>
      <c r="O225"/>
      <c r="P225"/>
      <c r="Q225"/>
      <c r="R225"/>
      <c r="W225"/>
      <c r="X225"/>
      <c r="Y225"/>
    </row>
    <row r="226" spans="2:26" ht="15.5">
      <c r="B226" s="606" t="s">
        <v>2926</v>
      </c>
      <c r="C226" s="602">
        <f>GETPIVOTDATA("Average of %_of_women_and_girls_who_report_that_they_have_an_adequate_system_for_disposing_of_used_sanitary_pads",$B$222)</f>
        <v>0.78111111111111109</v>
      </c>
      <c r="D226" s="602">
        <f>1-C226</f>
        <v>0.21888888888888891</v>
      </c>
      <c r="J226" s="448"/>
      <c r="K226" s="448"/>
      <c r="L226" s="448"/>
      <c r="M226" s="448"/>
      <c r="O226"/>
      <c r="P226"/>
      <c r="Q226"/>
      <c r="R226"/>
      <c r="T226"/>
    </row>
    <row r="227" spans="2:26" ht="15.5">
      <c r="B227" s="606" t="s">
        <v>3120</v>
      </c>
      <c r="C227" s="602">
        <f>GETPIVOTDATA("Average of %_of_affected_people_who_report_handwashing_at_key_times",$B$222)</f>
        <v>0.93461538461538463</v>
      </c>
      <c r="D227" s="602">
        <f>1-C227</f>
        <v>6.5384615384615374E-2</v>
      </c>
      <c r="J227" s="448"/>
      <c r="K227" s="448"/>
      <c r="L227" s="448"/>
      <c r="M227" s="448"/>
      <c r="O227"/>
      <c r="P227"/>
      <c r="Q227"/>
      <c r="R227"/>
    </row>
    <row r="228" spans="2:26" ht="15.5">
      <c r="E228"/>
      <c r="F228"/>
      <c r="G228" s="390"/>
      <c r="H228" s="390"/>
      <c r="I228" s="390"/>
      <c r="J228" s="453"/>
      <c r="K228" s="453"/>
      <c r="L228" s="453"/>
      <c r="M228" s="453"/>
      <c r="N228" s="390"/>
      <c r="O228"/>
      <c r="P228"/>
      <c r="Q228"/>
      <c r="R228"/>
      <c r="T228" s="390"/>
    </row>
    <row r="229" spans="2:26" ht="15.5">
      <c r="E229"/>
      <c r="F229"/>
      <c r="J229" s="448"/>
      <c r="K229" s="448"/>
      <c r="L229" s="448"/>
      <c r="M229" s="448"/>
      <c r="O229"/>
      <c r="P229"/>
      <c r="Q229"/>
      <c r="R229"/>
    </row>
    <row r="230" spans="2:26" ht="15.5">
      <c r="E230"/>
      <c r="F230"/>
      <c r="J230" s="448"/>
      <c r="K230" s="448"/>
      <c r="L230" s="448"/>
      <c r="M230" s="448"/>
      <c r="O230"/>
      <c r="P230"/>
      <c r="Q230"/>
      <c r="R230"/>
    </row>
    <row r="231" spans="2:26" ht="15.5">
      <c r="J231" s="448"/>
      <c r="K231" s="448"/>
      <c r="L231" s="448"/>
      <c r="M231" s="448"/>
      <c r="O231"/>
      <c r="P231"/>
      <c r="Q231"/>
      <c r="R231"/>
    </row>
    <row r="232" spans="2:26" ht="15.5">
      <c r="J232" s="448"/>
      <c r="K232" s="448"/>
      <c r="L232" s="448"/>
      <c r="M232" s="448"/>
      <c r="O232"/>
      <c r="P232"/>
      <c r="Q232"/>
      <c r="R232"/>
      <c r="T232"/>
    </row>
    <row r="233" spans="2:26" ht="15.5">
      <c r="B233" s="968" t="s">
        <v>20</v>
      </c>
      <c r="C233" s="969" t="s">
        <v>3146</v>
      </c>
      <c r="J233" s="803"/>
      <c r="K233" s="803"/>
      <c r="L233" s="448"/>
      <c r="M233" s="448"/>
      <c r="O233"/>
      <c r="P233"/>
      <c r="Q233"/>
      <c r="R233"/>
      <c r="T233"/>
    </row>
    <row r="234" spans="2:26" ht="15.5">
      <c r="B234" s="968" t="s">
        <v>34</v>
      </c>
      <c r="C234" s="969" t="s">
        <v>34</v>
      </c>
      <c r="D234" s="101"/>
      <c r="J234" s="803"/>
      <c r="K234" s="803"/>
      <c r="L234" s="448"/>
      <c r="M234" s="448"/>
      <c r="O234"/>
      <c r="P234"/>
      <c r="Q234"/>
      <c r="R234"/>
      <c r="T234"/>
    </row>
    <row r="235" spans="2:26" ht="15.5">
      <c r="B235" s="638" t="s">
        <v>2939</v>
      </c>
      <c r="J235" s="638"/>
      <c r="L235" s="448"/>
      <c r="M235" s="448"/>
      <c r="O235"/>
      <c r="P235"/>
      <c r="Q235"/>
      <c r="R235"/>
      <c r="T235"/>
      <c r="W235"/>
      <c r="X235"/>
      <c r="Y235"/>
    </row>
    <row r="236" spans="2:26" ht="15.5">
      <c r="B236" s="968" t="s">
        <v>1867</v>
      </c>
      <c r="C236" s="969"/>
      <c r="D236"/>
      <c r="E236" s="638" t="s">
        <v>1918</v>
      </c>
      <c r="F236" t="s">
        <v>2941</v>
      </c>
      <c r="G236" t="s">
        <v>2940</v>
      </c>
      <c r="J236"/>
      <c r="K236"/>
      <c r="L236" s="453"/>
      <c r="M236" s="453"/>
      <c r="N236" s="390"/>
      <c r="O236"/>
      <c r="P236"/>
      <c r="Q236"/>
      <c r="R236"/>
      <c r="T236" s="453"/>
      <c r="U236" s="390"/>
      <c r="V236" s="390"/>
      <c r="W236" s="453"/>
      <c r="X236" s="453"/>
      <c r="Y236" s="453"/>
      <c r="Z236" s="390"/>
    </row>
    <row r="237" spans="2:26" ht="15.5">
      <c r="B237" s="970" t="s">
        <v>2942</v>
      </c>
      <c r="C237" s="972">
        <v>126946</v>
      </c>
      <c r="D237"/>
      <c r="E237">
        <f>GETPIVOTDATA(" Total PoP ",$B$236)</f>
        <v>126946</v>
      </c>
      <c r="F237">
        <f>GETPIVOTDATA("Men",$B$236)+GETPIVOTDATA("Women",$B$236)+GETPIVOTDATA("Boys",$B$236)+GETPIVOTDATA("Girls",$B$236)</f>
        <v>78359</v>
      </c>
      <c r="G237" s="453">
        <f>E237-F237</f>
        <v>48587</v>
      </c>
      <c r="H237" s="671"/>
      <c r="J237"/>
      <c r="K237"/>
      <c r="L237"/>
      <c r="M237"/>
      <c r="O237"/>
      <c r="P237"/>
      <c r="Q237"/>
      <c r="R237"/>
      <c r="T237"/>
      <c r="W237"/>
      <c r="X237"/>
      <c r="Y237"/>
    </row>
    <row r="238" spans="2:26" ht="15.5">
      <c r="B238" s="970" t="s">
        <v>2914</v>
      </c>
      <c r="C238" s="972">
        <v>14209</v>
      </c>
      <c r="D238" s="448"/>
      <c r="J238"/>
      <c r="K238"/>
      <c r="L238"/>
      <c r="M238"/>
      <c r="O238"/>
      <c r="P238"/>
      <c r="Q238"/>
      <c r="R238"/>
      <c r="T238"/>
      <c r="U238"/>
      <c r="V238"/>
      <c r="W238"/>
      <c r="X238"/>
      <c r="Y238"/>
    </row>
    <row r="239" spans="2:26" ht="15.5">
      <c r="B239" s="970" t="s">
        <v>2915</v>
      </c>
      <c r="C239" s="972">
        <v>21156</v>
      </c>
      <c r="E239" s="624" t="s">
        <v>2943</v>
      </c>
      <c r="F239" s="624" t="s">
        <v>2914</v>
      </c>
      <c r="G239" s="624" t="s">
        <v>2915</v>
      </c>
      <c r="H239" s="624" t="s">
        <v>2916</v>
      </c>
      <c r="I239" s="657" t="s">
        <v>2917</v>
      </c>
      <c r="O239"/>
      <c r="P239"/>
      <c r="Q239"/>
      <c r="R239"/>
      <c r="U239"/>
      <c r="V239"/>
      <c r="W239"/>
      <c r="X239"/>
      <c r="Y239"/>
    </row>
    <row r="240" spans="2:26" ht="15.5">
      <c r="B240" s="970" t="s">
        <v>2916</v>
      </c>
      <c r="C240" s="972">
        <v>22118</v>
      </c>
      <c r="E240" s="656">
        <f>E237-F237</f>
        <v>48587</v>
      </c>
      <c r="F240" s="656">
        <f>GETPIVOTDATA("Men",$B$236)</f>
        <v>14209</v>
      </c>
      <c r="G240" s="656">
        <f>GETPIVOTDATA("Women",$B$236)</f>
        <v>21156</v>
      </c>
      <c r="H240" s="656">
        <f>GETPIVOTDATA("Boys",$B$236)</f>
        <v>22118</v>
      </c>
      <c r="I240" s="655">
        <f>GETPIVOTDATA("Girls",$B$236)</f>
        <v>20876</v>
      </c>
      <c r="O240"/>
      <c r="P240"/>
      <c r="Q240"/>
      <c r="R240"/>
      <c r="T240" s="390"/>
      <c r="U240" s="453"/>
      <c r="V240" s="453"/>
      <c r="W240" s="453"/>
      <c r="X240" s="453"/>
      <c r="Y240" s="453"/>
      <c r="Z240" s="390"/>
    </row>
    <row r="241" spans="1:26" ht="15.5">
      <c r="B241" s="970" t="s">
        <v>2917</v>
      </c>
      <c r="C241" s="972">
        <v>20876</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5">
      <c r="K242"/>
      <c r="L242"/>
      <c r="M242"/>
      <c r="O242"/>
      <c r="P242"/>
      <c r="Q242"/>
      <c r="R242"/>
      <c r="U242"/>
      <c r="V242"/>
      <c r="W242"/>
    </row>
    <row r="243" spans="1:26" ht="15.5">
      <c r="K243"/>
      <c r="O243"/>
      <c r="P243"/>
      <c r="Q243"/>
      <c r="R243"/>
      <c r="U243"/>
      <c r="V243"/>
      <c r="W243"/>
    </row>
    <row r="244" spans="1:26" ht="15.5">
      <c r="K244" s="425"/>
      <c r="O244"/>
      <c r="P244"/>
      <c r="Q244"/>
      <c r="R244"/>
      <c r="U244" s="347"/>
      <c r="V244" s="347"/>
      <c r="W244" s="347"/>
    </row>
    <row r="245" spans="1:26" ht="15.5">
      <c r="K245" s="425"/>
      <c r="L245" s="426"/>
      <c r="M245" s="426"/>
      <c r="O245"/>
      <c r="P245"/>
      <c r="Q245"/>
      <c r="R245"/>
      <c r="U245" s="347"/>
      <c r="V245" s="347"/>
      <c r="W245" s="347"/>
    </row>
    <row r="246" spans="1:26" ht="15.5">
      <c r="K246" s="425"/>
      <c r="L246" s="426"/>
      <c r="M246" s="426"/>
      <c r="O246"/>
      <c r="P246"/>
      <c r="Q246"/>
      <c r="R246"/>
      <c r="U246" s="347"/>
      <c r="V246" s="347"/>
      <c r="W246" s="347"/>
    </row>
    <row r="247" spans="1:26" ht="15.5">
      <c r="K247" s="425"/>
      <c r="L247" s="426"/>
      <c r="M247" s="426"/>
      <c r="U247" s="347"/>
      <c r="V247" s="347"/>
      <c r="W247" s="347"/>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968" t="s">
        <v>20</v>
      </c>
      <c r="G251" s="969" t="s">
        <v>3146</v>
      </c>
      <c r="I251"/>
      <c r="J251"/>
    </row>
    <row r="252" spans="1:26" ht="15.5">
      <c r="F252" s="982" t="s">
        <v>21</v>
      </c>
      <c r="G252" s="969" t="s">
        <v>293</v>
      </c>
      <c r="I252"/>
      <c r="J252"/>
    </row>
    <row r="254" spans="1:26" ht="15.5">
      <c r="F254" s="968" t="s">
        <v>1868</v>
      </c>
      <c r="G254" s="968" t="s">
        <v>1866</v>
      </c>
      <c r="I254"/>
      <c r="J254"/>
      <c r="P254"/>
    </row>
    <row r="255" spans="1:26" ht="15.5">
      <c r="F255" s="968" t="s">
        <v>1619</v>
      </c>
      <c r="G255" s="969" t="s">
        <v>34</v>
      </c>
      <c r="I255"/>
      <c r="J255"/>
      <c r="O255" s="390"/>
      <c r="P255" s="453"/>
    </row>
    <row r="256" spans="1:26" ht="15.5">
      <c r="F256" s="970" t="s">
        <v>43</v>
      </c>
      <c r="G256" s="971">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968" t="s">
        <v>20</v>
      </c>
      <c r="D276" s="969" t="s">
        <v>3146</v>
      </c>
    </row>
    <row r="278" spans="3:12">
      <c r="C278" s="968" t="s">
        <v>21</v>
      </c>
      <c r="D278" s="968" t="s">
        <v>22</v>
      </c>
      <c r="E278" s="968" t="s">
        <v>23</v>
      </c>
      <c r="F278" s="968" t="s">
        <v>29</v>
      </c>
      <c r="G278" s="969" t="s">
        <v>1868</v>
      </c>
      <c r="H278" s="969" t="s">
        <v>1907</v>
      </c>
      <c r="I278" s="969" t="s">
        <v>1908</v>
      </c>
      <c r="J278" s="969" t="s">
        <v>1909</v>
      </c>
      <c r="K278" s="969" t="s">
        <v>1910</v>
      </c>
      <c r="L278" s="969" t="s">
        <v>1911</v>
      </c>
    </row>
    <row r="279" spans="3:12">
      <c r="C279" s="969" t="s">
        <v>293</v>
      </c>
      <c r="D279" s="969" t="s">
        <v>356</v>
      </c>
      <c r="E279" s="969" t="s">
        <v>367</v>
      </c>
      <c r="F279" s="969" t="s">
        <v>789</v>
      </c>
      <c r="G279" s="971">
        <v>1</v>
      </c>
      <c r="H279" s="972">
        <v>386</v>
      </c>
      <c r="I279" s="972">
        <v>1086</v>
      </c>
      <c r="J279" s="975">
        <v>0</v>
      </c>
      <c r="K279" s="975">
        <v>0</v>
      </c>
      <c r="L279" s="975">
        <v>0</v>
      </c>
    </row>
    <row r="280" spans="3:12">
      <c r="C280" s="969"/>
      <c r="D280" s="969" t="s">
        <v>398</v>
      </c>
      <c r="E280" s="969" t="s">
        <v>399</v>
      </c>
      <c r="F280" s="969" t="s">
        <v>789</v>
      </c>
      <c r="G280" s="971">
        <v>1</v>
      </c>
      <c r="H280" s="972">
        <v>716</v>
      </c>
      <c r="I280" s="972">
        <v>2920</v>
      </c>
      <c r="J280" s="975">
        <v>0.48630136986301364</v>
      </c>
      <c r="K280" s="975">
        <v>0</v>
      </c>
      <c r="L280" s="975">
        <v>1</v>
      </c>
    </row>
    <row r="281" spans="3:12">
      <c r="C281" s="969"/>
      <c r="D281" s="969" t="s">
        <v>401</v>
      </c>
      <c r="E281" s="969" t="s">
        <v>411</v>
      </c>
      <c r="F281" s="969" t="s">
        <v>789</v>
      </c>
      <c r="G281" s="971">
        <v>1</v>
      </c>
      <c r="H281" s="972">
        <v>1112</v>
      </c>
      <c r="I281" s="972">
        <v>5133</v>
      </c>
      <c r="J281" s="975">
        <v>0</v>
      </c>
      <c r="K281" s="975">
        <v>0.16695889343463866</v>
      </c>
      <c r="L281" s="975">
        <v>0.22170270796804992</v>
      </c>
    </row>
    <row r="282" spans="3:12">
      <c r="C282" s="969"/>
      <c r="D282" s="969"/>
      <c r="E282" s="969" t="s">
        <v>409</v>
      </c>
      <c r="F282" s="969" t="s">
        <v>789</v>
      </c>
      <c r="G282" s="971">
        <v>1</v>
      </c>
      <c r="H282" s="972">
        <v>1389</v>
      </c>
      <c r="I282" s="972">
        <v>6680</v>
      </c>
      <c r="J282" s="975">
        <v>0</v>
      </c>
      <c r="K282" s="975">
        <v>0.24041916167664668</v>
      </c>
      <c r="L282" s="975">
        <v>0.25838323353293413</v>
      </c>
    </row>
    <row r="283" spans="3:12">
      <c r="C283" s="969"/>
      <c r="D283" s="969"/>
      <c r="E283" s="969" t="s">
        <v>405</v>
      </c>
      <c r="F283" s="969" t="s">
        <v>1854</v>
      </c>
      <c r="G283" s="971">
        <v>1</v>
      </c>
      <c r="H283" s="972">
        <v>1076</v>
      </c>
      <c r="I283" s="972">
        <v>5024</v>
      </c>
      <c r="J283" s="975">
        <v>0</v>
      </c>
      <c r="K283" s="975">
        <v>0.25816082802547768</v>
      </c>
      <c r="L283" s="975">
        <v>0.25218949044585992</v>
      </c>
    </row>
    <row r="284" spans="3:12">
      <c r="C284" s="969"/>
      <c r="D284" s="969"/>
      <c r="E284" s="969" t="s">
        <v>406</v>
      </c>
      <c r="F284" s="969" t="s">
        <v>789</v>
      </c>
      <c r="G284" s="971">
        <v>1</v>
      </c>
      <c r="H284" s="972">
        <v>1064</v>
      </c>
      <c r="I284" s="972">
        <v>5137</v>
      </c>
      <c r="J284" s="975">
        <v>0</v>
      </c>
      <c r="K284" s="975">
        <v>7.9034455908117529E-2</v>
      </c>
      <c r="L284" s="975">
        <v>0.24625267665952888</v>
      </c>
    </row>
    <row r="285" spans="3:12">
      <c r="C285" s="969"/>
      <c r="D285" s="969"/>
      <c r="E285" s="969" t="s">
        <v>404</v>
      </c>
      <c r="F285" s="969" t="s">
        <v>789</v>
      </c>
      <c r="G285" s="971">
        <v>1</v>
      </c>
      <c r="H285" s="972">
        <v>811</v>
      </c>
      <c r="I285" s="972">
        <v>2861</v>
      </c>
      <c r="J285" s="975">
        <v>0.30094372596994057</v>
      </c>
      <c r="K285" s="975">
        <v>0</v>
      </c>
      <c r="L285" s="975">
        <v>0</v>
      </c>
    </row>
    <row r="286" spans="3:12">
      <c r="C286" s="969"/>
      <c r="D286" s="969" t="s">
        <v>294</v>
      </c>
      <c r="E286" s="969" t="s">
        <v>413</v>
      </c>
      <c r="F286" s="969" t="s">
        <v>789</v>
      </c>
      <c r="G286" s="971">
        <v>1</v>
      </c>
      <c r="H286" s="972">
        <v>380</v>
      </c>
      <c r="I286" s="972">
        <v>2489</v>
      </c>
      <c r="J286" s="975">
        <v>0</v>
      </c>
      <c r="K286" s="975">
        <v>1.1651265568501379E-2</v>
      </c>
      <c r="L286" s="975">
        <v>2.6315789473685403E-3</v>
      </c>
    </row>
    <row r="287" spans="3:12">
      <c r="C287" s="969"/>
      <c r="D287" s="969"/>
      <c r="E287" s="969" t="s">
        <v>424</v>
      </c>
      <c r="F287" s="969" t="s">
        <v>789</v>
      </c>
      <c r="G287" s="971">
        <v>1</v>
      </c>
      <c r="H287" s="972">
        <v>1012</v>
      </c>
      <c r="I287" s="972">
        <v>5101</v>
      </c>
      <c r="J287" s="975">
        <v>0</v>
      </c>
      <c r="K287" s="975">
        <v>5.7831797686728081E-2</v>
      </c>
      <c r="L287" s="975">
        <v>0.51086956521739135</v>
      </c>
    </row>
    <row r="288" spans="3:12">
      <c r="C288" s="969"/>
      <c r="D288" s="969"/>
      <c r="E288" s="969" t="s">
        <v>426</v>
      </c>
      <c r="F288" s="969" t="s">
        <v>789</v>
      </c>
      <c r="G288" s="971">
        <v>1</v>
      </c>
      <c r="H288" s="972">
        <v>1346</v>
      </c>
      <c r="I288" s="972">
        <v>8728</v>
      </c>
      <c r="J288" s="975">
        <v>0</v>
      </c>
      <c r="K288" s="975">
        <v>0.47834555453712191</v>
      </c>
      <c r="L288" s="975">
        <v>0.63224368499257055</v>
      </c>
    </row>
    <row r="289" spans="3:12">
      <c r="C289" s="969"/>
      <c r="D289" s="969"/>
      <c r="E289" s="969" t="s">
        <v>423</v>
      </c>
      <c r="F289" s="969" t="s">
        <v>789</v>
      </c>
      <c r="G289" s="971">
        <v>1</v>
      </c>
      <c r="H289" s="972">
        <v>1753</v>
      </c>
      <c r="I289" s="972">
        <v>11715</v>
      </c>
      <c r="J289" s="975">
        <v>0</v>
      </c>
      <c r="K289" s="975">
        <v>0.11011523687580027</v>
      </c>
      <c r="L289" s="975">
        <v>0</v>
      </c>
    </row>
    <row r="290" spans="3:12">
      <c r="C290" s="969"/>
      <c r="D290" s="969"/>
      <c r="E290" s="969" t="s">
        <v>430</v>
      </c>
      <c r="F290" s="969" t="s">
        <v>789</v>
      </c>
      <c r="G290" s="971">
        <v>1</v>
      </c>
      <c r="H290" s="972">
        <v>656</v>
      </c>
      <c r="I290" s="972">
        <v>3486</v>
      </c>
      <c r="J290" s="975">
        <v>0</v>
      </c>
      <c r="K290" s="975">
        <v>3.5570854847963296E-2</v>
      </c>
      <c r="L290" s="975">
        <v>0</v>
      </c>
    </row>
    <row r="291" spans="3:12">
      <c r="C291" s="969"/>
      <c r="D291" s="969"/>
      <c r="E291" s="969" t="s">
        <v>440</v>
      </c>
      <c r="F291" s="969" t="s">
        <v>789</v>
      </c>
      <c r="G291" s="971">
        <v>1</v>
      </c>
      <c r="H291" s="972">
        <v>774</v>
      </c>
      <c r="I291" s="972">
        <v>3095</v>
      </c>
      <c r="J291" s="975">
        <v>0</v>
      </c>
      <c r="K291" s="975">
        <v>0</v>
      </c>
      <c r="L291" s="975">
        <v>0</v>
      </c>
    </row>
    <row r="292" spans="3:12">
      <c r="C292" s="969"/>
      <c r="D292" s="969"/>
      <c r="E292" s="969" t="s">
        <v>431</v>
      </c>
      <c r="F292" s="969" t="s">
        <v>789</v>
      </c>
      <c r="G292" s="971">
        <v>1</v>
      </c>
      <c r="H292" s="972">
        <v>2728</v>
      </c>
      <c r="I292" s="972">
        <v>13302</v>
      </c>
      <c r="J292" s="975">
        <v>0</v>
      </c>
      <c r="K292" s="975">
        <v>0.28281461434370769</v>
      </c>
      <c r="L292" s="975">
        <v>0</v>
      </c>
    </row>
    <row r="293" spans="3:12">
      <c r="C293" s="969"/>
      <c r="D293" s="969"/>
      <c r="E293" s="969" t="s">
        <v>429</v>
      </c>
      <c r="F293" s="969" t="s">
        <v>789</v>
      </c>
      <c r="G293" s="971">
        <v>1</v>
      </c>
      <c r="H293" s="972">
        <v>2275</v>
      </c>
      <c r="I293" s="972">
        <v>12495</v>
      </c>
      <c r="J293" s="975">
        <v>0</v>
      </c>
      <c r="K293" s="975">
        <v>0</v>
      </c>
      <c r="L293" s="975">
        <v>0</v>
      </c>
    </row>
    <row r="294" spans="3:12">
      <c r="C294" s="969"/>
      <c r="D294" s="969"/>
      <c r="E294" s="969" t="s">
        <v>438</v>
      </c>
      <c r="F294" s="969" t="s">
        <v>789</v>
      </c>
      <c r="G294" s="971">
        <v>1</v>
      </c>
      <c r="H294" s="972">
        <v>2280</v>
      </c>
      <c r="I294" s="972">
        <v>11564</v>
      </c>
      <c r="J294" s="975">
        <v>0</v>
      </c>
      <c r="K294" s="975">
        <v>0.16023867173988238</v>
      </c>
      <c r="L294" s="975">
        <v>0</v>
      </c>
    </row>
    <row r="295" spans="3:12">
      <c r="C295" s="969"/>
      <c r="D295" s="969"/>
      <c r="E295" s="969" t="s">
        <v>421</v>
      </c>
      <c r="F295" s="969" t="s">
        <v>792</v>
      </c>
      <c r="G295" s="971">
        <v>1</v>
      </c>
      <c r="H295" s="972">
        <v>2038</v>
      </c>
      <c r="I295" s="972">
        <v>12972</v>
      </c>
      <c r="J295" s="975">
        <v>0.3832870798643232</v>
      </c>
      <c r="K295" s="975">
        <v>0.58888374961455447</v>
      </c>
      <c r="L295" s="975">
        <v>0.44896957801766435</v>
      </c>
    </row>
    <row r="296" spans="3:12">
      <c r="C296" s="969"/>
      <c r="D296" s="969"/>
      <c r="E296" s="969" t="s">
        <v>425</v>
      </c>
      <c r="F296" s="969" t="s">
        <v>789</v>
      </c>
      <c r="G296" s="971">
        <v>1</v>
      </c>
      <c r="H296" s="972">
        <v>1013</v>
      </c>
      <c r="I296" s="972">
        <v>5950</v>
      </c>
      <c r="J296" s="975">
        <v>0</v>
      </c>
      <c r="K296" s="975">
        <v>0.31462184873949584</v>
      </c>
      <c r="L296" s="975">
        <v>0</v>
      </c>
    </row>
    <row r="297" spans="3:12">
      <c r="C297" s="969"/>
      <c r="D297" s="969"/>
      <c r="E297" s="969" t="s">
        <v>2272</v>
      </c>
      <c r="F297" s="969" t="s">
        <v>789</v>
      </c>
      <c r="G297" s="971">
        <v>1</v>
      </c>
      <c r="H297" s="972">
        <v>400</v>
      </c>
      <c r="I297" s="972">
        <v>2262</v>
      </c>
      <c r="J297" s="975">
        <v>0</v>
      </c>
      <c r="K297" s="975">
        <v>0.21396993810786913</v>
      </c>
      <c r="L297" s="975">
        <v>0</v>
      </c>
    </row>
    <row r="298" spans="3:12">
      <c r="C298" s="969"/>
      <c r="D298" s="969"/>
      <c r="E298" s="969" t="s">
        <v>2271</v>
      </c>
      <c r="F298" s="969" t="s">
        <v>789</v>
      </c>
      <c r="G298" s="971">
        <v>1</v>
      </c>
      <c r="H298" s="972">
        <v>400</v>
      </c>
      <c r="I298" s="972">
        <v>2248</v>
      </c>
      <c r="J298" s="975">
        <v>0</v>
      </c>
      <c r="K298" s="975">
        <v>5.2935943060498203E-2</v>
      </c>
      <c r="L298" s="975">
        <v>0</v>
      </c>
    </row>
    <row r="299" spans="3:12">
      <c r="C299" s="969"/>
      <c r="D299" s="969"/>
      <c r="E299" s="969" t="s">
        <v>2273</v>
      </c>
      <c r="F299" s="969" t="s">
        <v>789</v>
      </c>
      <c r="G299" s="971">
        <v>1</v>
      </c>
      <c r="H299" s="972">
        <v>400</v>
      </c>
      <c r="I299" s="972">
        <v>2698</v>
      </c>
      <c r="J299" s="975">
        <v>0</v>
      </c>
      <c r="K299" s="975">
        <v>0</v>
      </c>
      <c r="L299" s="975">
        <v>0</v>
      </c>
    </row>
    <row r="300" spans="3:12">
      <c r="C300" s="969" t="s">
        <v>3002</v>
      </c>
      <c r="D300" s="969"/>
      <c r="E300" s="969"/>
      <c r="F300" s="969"/>
      <c r="G300" s="971">
        <v>21</v>
      </c>
      <c r="H300" s="972">
        <v>24009</v>
      </c>
      <c r="I300" s="972">
        <v>126946</v>
      </c>
      <c r="J300" s="975">
        <v>5.5739627414156064E-2</v>
      </c>
      <c r="K300" s="975">
        <v>0.14531203876985732</v>
      </c>
      <c r="L300" s="975">
        <v>0.17015440551339847</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5">
      <c r="A306" s="145" t="s">
        <v>3122</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2941</v>
      </c>
      <c r="O309" s="732" t="s">
        <v>2986</v>
      </c>
      <c r="Q309" s="94" t="s">
        <v>1622</v>
      </c>
      <c r="R309" s="94" t="s">
        <v>1904</v>
      </c>
      <c r="S309" s="732" t="s">
        <v>2941</v>
      </c>
      <c r="T309" s="732" t="s">
        <v>2986</v>
      </c>
    </row>
    <row r="310" spans="1:25">
      <c r="B310" s="968" t="s">
        <v>20</v>
      </c>
      <c r="C310" s="969" t="s">
        <v>3146</v>
      </c>
      <c r="E310" s="101"/>
      <c r="G310" s="101"/>
      <c r="H310" s="968" t="s">
        <v>20</v>
      </c>
      <c r="I310" s="969" t="s">
        <v>3146</v>
      </c>
      <c r="K310" s="101"/>
      <c r="L310" s="94" t="s">
        <v>3148</v>
      </c>
      <c r="M310" s="94">
        <v>6560.43</v>
      </c>
      <c r="N310" s="94">
        <f>HRP!E34</f>
        <v>600</v>
      </c>
      <c r="O310" s="94">
        <f>M310-N310</f>
        <v>5960.43</v>
      </c>
      <c r="Q310" s="94" t="s">
        <v>3158</v>
      </c>
      <c r="R310" s="94">
        <v>10934.050000000001</v>
      </c>
      <c r="S310" s="94">
        <f>HRP!E35</f>
        <v>8250</v>
      </c>
      <c r="T310" s="94">
        <f>R310-S310</f>
        <v>2684.0500000000011</v>
      </c>
    </row>
    <row r="311" spans="1:25">
      <c r="B311" s="968" t="s">
        <v>34</v>
      </c>
      <c r="C311" s="969" t="s">
        <v>34</v>
      </c>
      <c r="E311" s="101"/>
      <c r="G311" s="101"/>
      <c r="H311" s="968" t="s">
        <v>34</v>
      </c>
      <c r="I311" s="969" t="s">
        <v>34</v>
      </c>
      <c r="K311" s="101"/>
    </row>
    <row r="312" spans="1:25">
      <c r="B312" s="427"/>
      <c r="E312" s="101"/>
      <c r="G312" s="101"/>
      <c r="H312" s="427"/>
      <c r="K312" s="101"/>
    </row>
    <row r="313" spans="1:25" s="99" customFormat="1" ht="15.5">
      <c r="B313" s="974" t="s">
        <v>21</v>
      </c>
      <c r="C313" s="969" t="s">
        <v>2807</v>
      </c>
      <c r="D313" s="969" t="s">
        <v>2980</v>
      </c>
      <c r="E313" s="969" t="s">
        <v>3121</v>
      </c>
      <c r="G313"/>
      <c r="H313" s="968" t="s">
        <v>1867</v>
      </c>
      <c r="I313" s="969"/>
      <c r="J313"/>
      <c r="K313"/>
      <c r="L313"/>
      <c r="M313" s="814"/>
      <c r="N313" s="814"/>
      <c r="O313" s="814"/>
      <c r="P313" s="814"/>
      <c r="Q313" s="814"/>
      <c r="R313" s="814"/>
      <c r="S313" s="814"/>
      <c r="T313" s="814"/>
      <c r="U313" s="814"/>
      <c r="V313" s="814"/>
      <c r="W313" s="814"/>
      <c r="X313" s="814"/>
      <c r="Y313" s="814"/>
    </row>
    <row r="314" spans="1:25" ht="15.5">
      <c r="B314" s="970" t="s">
        <v>293</v>
      </c>
      <c r="C314" s="972">
        <v>106</v>
      </c>
      <c r="D314" s="972">
        <v>1</v>
      </c>
      <c r="E314" s="972">
        <v>61</v>
      </c>
      <c r="G314"/>
      <c r="H314" s="970" t="s">
        <v>3123</v>
      </c>
      <c r="I314" s="972">
        <v>210</v>
      </c>
      <c r="J314"/>
      <c r="K314"/>
      <c r="L314"/>
    </row>
    <row r="315" spans="1:25" ht="15.5">
      <c r="C315"/>
      <c r="D315"/>
      <c r="E315"/>
      <c r="F315"/>
      <c r="G315"/>
      <c r="H315" s="970" t="s">
        <v>3124</v>
      </c>
      <c r="I315" s="972"/>
      <c r="J315" s="101"/>
      <c r="K315" s="101"/>
    </row>
    <row r="316" spans="1:25" ht="15.5">
      <c r="C316"/>
      <c r="D316"/>
      <c r="E316"/>
      <c r="F316"/>
      <c r="G316"/>
      <c r="H316" s="970" t="s">
        <v>3125</v>
      </c>
      <c r="I316" s="972">
        <v>5300</v>
      </c>
      <c r="J316" s="101"/>
      <c r="K316" s="101"/>
    </row>
    <row r="317" spans="1:25" ht="15.5">
      <c r="C317"/>
      <c r="D317"/>
      <c r="E317"/>
      <c r="F317"/>
      <c r="G317"/>
      <c r="H317" s="970" t="s">
        <v>3178</v>
      </c>
      <c r="I317" s="972">
        <v>50</v>
      </c>
      <c r="J317" s="101"/>
      <c r="K317" s="101"/>
    </row>
    <row r="318" spans="1:25" ht="15.5">
      <c r="C318" s="101"/>
      <c r="D318" s="101"/>
      <c r="E318" s="101"/>
      <c r="F318" s="101"/>
      <c r="G318" s="101"/>
      <c r="H318"/>
      <c r="I318"/>
      <c r="J318" s="101"/>
      <c r="K318" s="101"/>
    </row>
    <row r="319" spans="1:25" s="404" customFormat="1" ht="15.5">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5">
      <c r="B324" s="101"/>
      <c r="C324" s="101"/>
      <c r="D324" s="101"/>
      <c r="E324" s="101"/>
      <c r="F324" s="101"/>
      <c r="G324" s="101"/>
      <c r="H324" s="101"/>
      <c r="I324" s="101"/>
      <c r="J324" s="101"/>
      <c r="K324"/>
      <c r="L324"/>
      <c r="M324"/>
      <c r="N324"/>
      <c r="O324"/>
      <c r="P324"/>
      <c r="Q324"/>
    </row>
    <row r="325" spans="2:30" ht="15.5">
      <c r="B325" s="101"/>
      <c r="C325" s="101"/>
      <c r="D325" s="101"/>
      <c r="E325" s="101"/>
      <c r="F325" s="101"/>
      <c r="G325" s="101"/>
      <c r="H325" s="101"/>
      <c r="I325" s="101"/>
      <c r="J325" s="101"/>
      <c r="K325"/>
      <c r="L325"/>
      <c r="M325"/>
      <c r="N325"/>
      <c r="O325"/>
      <c r="P325"/>
      <c r="Q325"/>
    </row>
    <row r="326" spans="2:30" ht="15.5">
      <c r="C326" s="101"/>
      <c r="D326" s="101"/>
      <c r="E326" s="101"/>
      <c r="F326" s="101"/>
      <c r="G326" s="101"/>
      <c r="H326" s="101"/>
      <c r="I326" s="101"/>
      <c r="J326" s="101"/>
      <c r="K326"/>
      <c r="L326"/>
      <c r="M326"/>
      <c r="N326"/>
      <c r="O326"/>
      <c r="P326"/>
      <c r="Q326"/>
    </row>
    <row r="327" spans="2:30" ht="15.5">
      <c r="C327" s="101"/>
      <c r="D327" s="101"/>
      <c r="E327" s="101"/>
      <c r="F327" s="101"/>
      <c r="G327" s="101"/>
      <c r="H327" s="101"/>
      <c r="I327" s="101"/>
      <c r="J327" s="101"/>
      <c r="K327"/>
      <c r="L327"/>
      <c r="M327"/>
      <c r="N327"/>
      <c r="O327"/>
      <c r="P327"/>
      <c r="Q327"/>
    </row>
    <row r="328" spans="2:30" ht="15.5">
      <c r="C328" s="101"/>
      <c r="D328" s="101"/>
      <c r="E328" s="101"/>
      <c r="F328" s="101"/>
      <c r="G328" s="101"/>
      <c r="H328" s="101"/>
      <c r="I328" s="101"/>
      <c r="J328" s="101"/>
      <c r="K328"/>
      <c r="L328"/>
      <c r="M328"/>
      <c r="N328"/>
      <c r="O328"/>
      <c r="P328"/>
      <c r="Q328"/>
    </row>
    <row r="329" spans="2:30" ht="15.5">
      <c r="C329" s="101"/>
      <c r="D329" s="101"/>
      <c r="E329" s="101"/>
      <c r="F329" s="101"/>
      <c r="G329" s="101"/>
      <c r="H329" s="101"/>
      <c r="I329" s="803"/>
      <c r="J329" s="803"/>
      <c r="K329"/>
      <c r="L329"/>
      <c r="N329"/>
      <c r="O329"/>
      <c r="P329"/>
    </row>
    <row r="330" spans="2:30" ht="15.5" hidden="1">
      <c r="B330" s="968" t="s">
        <v>20</v>
      </c>
      <c r="C330" s="969" t="s">
        <v>1620</v>
      </c>
      <c r="F330" s="101"/>
      <c r="G330" s="101"/>
      <c r="H330" s="101"/>
      <c r="I330" s="803"/>
      <c r="J330" s="803"/>
      <c r="K330" s="754"/>
      <c r="L330" s="754"/>
      <c r="N330"/>
      <c r="O330"/>
      <c r="P330"/>
    </row>
    <row r="331" spans="2:30" ht="15.5" hidden="1">
      <c r="B331" s="968" t="s">
        <v>34</v>
      </c>
      <c r="C331" s="969" t="s">
        <v>34</v>
      </c>
      <c r="F331" s="101"/>
      <c r="G331" s="101"/>
      <c r="H331" s="101"/>
      <c r="I331" s="427"/>
      <c r="K331" s="427"/>
      <c r="N331"/>
      <c r="O331"/>
      <c r="P331"/>
    </row>
    <row r="332" spans="2:30" ht="15.5" hidden="1">
      <c r="B332" s="427"/>
      <c r="F332" s="101"/>
      <c r="G332" s="101"/>
      <c r="H332" s="101"/>
      <c r="I332"/>
      <c r="J332"/>
      <c r="K332"/>
      <c r="L332"/>
      <c r="M332"/>
      <c r="N332"/>
      <c r="O332"/>
      <c r="P332"/>
      <c r="Q332"/>
      <c r="R332"/>
      <c r="S332"/>
      <c r="T332"/>
      <c r="U332"/>
      <c r="V332"/>
      <c r="W332"/>
      <c r="X332"/>
      <c r="Y332"/>
      <c r="Z332"/>
      <c r="AA332"/>
      <c r="AB332"/>
      <c r="AC332"/>
      <c r="AD332"/>
    </row>
    <row r="333" spans="2:30" ht="15.5" hidden="1">
      <c r="B333"/>
      <c r="C333"/>
      <c r="D333"/>
      <c r="F333"/>
      <c r="G333" s="600"/>
      <c r="H333" s="600"/>
      <c r="I333"/>
      <c r="J333"/>
      <c r="K333"/>
      <c r="L333"/>
      <c r="M333"/>
      <c r="N333"/>
      <c r="O333"/>
      <c r="P333"/>
      <c r="Q333"/>
      <c r="R333"/>
      <c r="S333"/>
      <c r="T333"/>
      <c r="U333"/>
      <c r="V333"/>
      <c r="W333"/>
      <c r="X333"/>
      <c r="Y333"/>
      <c r="Z333"/>
      <c r="AA333"/>
      <c r="AB333"/>
      <c r="AC333"/>
      <c r="AD333"/>
    </row>
    <row r="334" spans="2:30" ht="16"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 hidden="1" thickBot="1">
      <c r="B335" s="101"/>
      <c r="C335" s="101"/>
      <c r="D335" s="101"/>
      <c r="F335" s="101"/>
      <c r="G335" s="101"/>
      <c r="H335" s="101"/>
      <c r="I335" s="101"/>
      <c r="J335" s="101"/>
      <c r="K335"/>
      <c r="L335"/>
      <c r="N335"/>
      <c r="O335" s="607"/>
    </row>
    <row r="336" spans="2:30" ht="15.5" hidden="1">
      <c r="B336" s="607"/>
      <c r="C336" s="618" t="s">
        <v>41</v>
      </c>
      <c r="D336" s="619" t="s">
        <v>125</v>
      </c>
      <c r="F336" s="101"/>
      <c r="G336" s="101"/>
      <c r="H336" s="101"/>
      <c r="I336" s="448"/>
      <c r="J336" s="448"/>
      <c r="K336" s="448"/>
      <c r="L336" s="448"/>
      <c r="M336" s="448"/>
      <c r="N336" s="448"/>
      <c r="O336" s="448"/>
      <c r="P336" s="448"/>
      <c r="Q336" s="448"/>
      <c r="R336" s="448"/>
      <c r="S336" s="448"/>
    </row>
    <row r="337" spans="1:25" ht="15.5" hidden="1">
      <c r="B337" s="730" t="s">
        <v>2927</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 hidden="1" thickBot="1">
      <c r="B338" s="610"/>
      <c r="C338" s="611"/>
      <c r="D338" s="612"/>
      <c r="F338" s="101"/>
      <c r="G338" s="101"/>
      <c r="H338" s="101"/>
      <c r="I338" s="448"/>
      <c r="J338" s="448"/>
      <c r="K338" s="448"/>
      <c r="L338" s="448"/>
      <c r="M338" s="448"/>
      <c r="N338" s="448"/>
      <c r="O338" s="448"/>
      <c r="P338" s="448"/>
      <c r="Q338" s="448"/>
      <c r="R338" s="448"/>
      <c r="S338" s="448"/>
    </row>
    <row r="339" spans="1:25" ht="15.5" hidden="1">
      <c r="C339" s="101"/>
      <c r="D339" s="101"/>
      <c r="E339" s="101"/>
      <c r="F339" s="101"/>
      <c r="G339" s="101"/>
      <c r="H339" s="101"/>
      <c r="I339" s="448"/>
      <c r="J339" s="448"/>
      <c r="K339" s="448"/>
      <c r="L339" s="448"/>
      <c r="M339" s="448"/>
      <c r="N339" s="448"/>
      <c r="O339" s="448"/>
      <c r="P339" s="448"/>
      <c r="Q339" s="448"/>
      <c r="R339" s="448"/>
      <c r="S339" s="448"/>
    </row>
    <row r="340" spans="1:25" ht="15.5">
      <c r="C340" s="101"/>
      <c r="D340" s="101"/>
      <c r="E340" s="101"/>
      <c r="F340" s="101"/>
      <c r="G340" s="101"/>
      <c r="H340" s="101"/>
      <c r="I340" s="448"/>
      <c r="J340" s="448"/>
      <c r="K340" s="448"/>
      <c r="L340" s="448"/>
      <c r="M340" s="448"/>
      <c r="N340" s="448"/>
      <c r="O340" s="448"/>
      <c r="P340" s="448"/>
      <c r="Q340" s="448"/>
      <c r="R340" s="448"/>
      <c r="S340" s="448"/>
    </row>
    <row r="341" spans="1:25" ht="15.5">
      <c r="C341" s="101"/>
      <c r="D341" s="101"/>
      <c r="E341" s="101"/>
      <c r="F341" s="101"/>
      <c r="G341" s="101"/>
      <c r="H341" s="101"/>
      <c r="I341" s="448"/>
      <c r="J341" s="448"/>
      <c r="K341" s="448"/>
      <c r="L341" s="448"/>
      <c r="M341" s="448"/>
      <c r="N341" s="448"/>
      <c r="O341" s="448"/>
      <c r="P341" s="448"/>
      <c r="Q341" s="448"/>
      <c r="R341" s="448"/>
      <c r="S341" s="448"/>
    </row>
    <row r="342" spans="1:25" ht="15.5">
      <c r="C342" s="101"/>
      <c r="D342" s="101"/>
      <c r="E342" s="101"/>
      <c r="F342" s="101"/>
      <c r="G342" s="101"/>
      <c r="H342" s="101"/>
      <c r="I342" s="448"/>
      <c r="J342" s="448"/>
      <c r="K342" s="448"/>
      <c r="L342" s="448"/>
      <c r="M342" s="448"/>
      <c r="N342" s="448"/>
      <c r="O342" s="448"/>
      <c r="P342" s="448"/>
      <c r="Q342" s="448"/>
      <c r="R342" s="448"/>
      <c r="S342" s="448"/>
    </row>
    <row r="343" spans="1:25" ht="15.5">
      <c r="C343" s="101"/>
      <c r="D343" s="101"/>
      <c r="E343" s="101"/>
      <c r="F343" s="101"/>
      <c r="G343" s="101"/>
      <c r="H343" s="101"/>
      <c r="I343" s="448"/>
      <c r="J343" s="448"/>
      <c r="K343" s="448"/>
      <c r="L343" s="448"/>
      <c r="M343" s="448"/>
      <c r="N343" s="448"/>
      <c r="O343" s="448"/>
      <c r="P343" s="448"/>
      <c r="Q343" s="448"/>
      <c r="R343" s="448"/>
      <c r="S343" s="448"/>
    </row>
    <row r="344" spans="1:25" ht="18.5">
      <c r="A344" s="620" t="s">
        <v>2928</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5">
      <c r="C345" s="101"/>
      <c r="D345" s="101"/>
      <c r="E345" s="101"/>
      <c r="F345" s="101"/>
      <c r="G345" s="101"/>
      <c r="H345" s="101"/>
      <c r="I345" s="101"/>
      <c r="J345" s="101"/>
      <c r="K345" s="101"/>
      <c r="L345"/>
      <c r="M345"/>
    </row>
    <row r="346" spans="1:25" ht="15.5">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968" t="s">
        <v>34</v>
      </c>
      <c r="L347" s="969" t="s">
        <v>34</v>
      </c>
      <c r="M347" s="101"/>
      <c r="N347" s="101"/>
    </row>
    <row r="348" spans="1:25">
      <c r="B348" s="968" t="s">
        <v>20</v>
      </c>
      <c r="C348" s="969" t="s">
        <v>3146</v>
      </c>
      <c r="D348" s="101"/>
      <c r="E348" s="101"/>
      <c r="G348" s="101"/>
      <c r="H348" s="101"/>
      <c r="I348" s="101"/>
      <c r="J348" s="101"/>
      <c r="K348" s="427"/>
      <c r="M348" s="101"/>
      <c r="N348" s="101"/>
    </row>
    <row r="349" spans="1:25">
      <c r="B349" s="968" t="s">
        <v>34</v>
      </c>
      <c r="C349" s="969" t="s">
        <v>34</v>
      </c>
      <c r="D349" s="101"/>
      <c r="E349" s="101"/>
      <c r="G349" s="101"/>
      <c r="H349" s="101"/>
      <c r="I349" s="101"/>
      <c r="J349" s="101"/>
      <c r="K349" s="969"/>
      <c r="L349" s="968" t="s">
        <v>1866</v>
      </c>
      <c r="M349" s="969"/>
      <c r="N349" s="969"/>
      <c r="O349" s="969"/>
      <c r="P349" s="390"/>
      <c r="Q349" s="390"/>
      <c r="R349" s="390"/>
      <c r="S349" s="390"/>
      <c r="T349" s="390"/>
      <c r="U349" s="390"/>
      <c r="V349" s="390"/>
      <c r="W349" s="390"/>
    </row>
    <row r="350" spans="1:25">
      <c r="B350" s="427"/>
      <c r="D350" s="101"/>
      <c r="E350" s="101"/>
      <c r="G350" s="101"/>
      <c r="H350" s="101"/>
      <c r="I350" s="101"/>
      <c r="J350" s="101"/>
      <c r="K350" s="968" t="s">
        <v>1867</v>
      </c>
      <c r="L350" s="969" t="s">
        <v>3143</v>
      </c>
      <c r="M350" s="969" t="s">
        <v>3144</v>
      </c>
      <c r="N350" s="969" t="s">
        <v>3145</v>
      </c>
      <c r="O350" s="969" t="s">
        <v>3146</v>
      </c>
    </row>
    <row r="351" spans="1:25">
      <c r="B351" s="969" t="s">
        <v>2930</v>
      </c>
      <c r="C351" s="969" t="s">
        <v>2931</v>
      </c>
      <c r="D351" s="969" t="s">
        <v>2929</v>
      </c>
      <c r="E351" s="969" t="s">
        <v>2955</v>
      </c>
      <c r="G351" s="101"/>
      <c r="H351" s="101"/>
      <c r="I351" s="101"/>
      <c r="J351" s="101"/>
      <c r="K351" s="970" t="s">
        <v>3051</v>
      </c>
      <c r="L351" s="975">
        <v>0.96142857142857152</v>
      </c>
      <c r="M351" s="975">
        <v>0.96875</v>
      </c>
      <c r="N351" s="975">
        <v>0.95750000000000002</v>
      </c>
      <c r="O351" s="975">
        <v>0.95588235294117652</v>
      </c>
    </row>
    <row r="352" spans="1:25">
      <c r="B352" s="975">
        <v>0.95588235294117629</v>
      </c>
      <c r="C352" s="975">
        <v>0.97705882352941176</v>
      </c>
      <c r="D352" s="975">
        <v>0.88823529411764701</v>
      </c>
      <c r="E352" s="975">
        <v>0.97812500000000013</v>
      </c>
      <c r="G352" s="101"/>
      <c r="H352" s="101"/>
      <c r="I352" s="101"/>
      <c r="J352" s="101"/>
      <c r="K352" s="970" t="s">
        <v>2933</v>
      </c>
      <c r="L352" s="975">
        <v>0.97428571428571431</v>
      </c>
      <c r="M352" s="975">
        <v>0.92428571428571438</v>
      </c>
      <c r="N352" s="975">
        <v>0.98166666666666658</v>
      </c>
      <c r="O352" s="975">
        <v>0.97705882352941176</v>
      </c>
    </row>
    <row r="353" spans="2:33">
      <c r="B353" s="101"/>
      <c r="C353" s="101"/>
      <c r="D353" s="101"/>
      <c r="E353" s="101"/>
      <c r="G353" s="101"/>
      <c r="H353" s="101"/>
      <c r="I353" s="101"/>
      <c r="J353" s="101"/>
      <c r="K353" s="970" t="s">
        <v>2934</v>
      </c>
      <c r="L353" s="975">
        <v>0.93285714285714272</v>
      </c>
      <c r="M353" s="975">
        <v>0.87249999999999994</v>
      </c>
      <c r="N353" s="975">
        <v>0.9</v>
      </c>
      <c r="O353" s="975">
        <v>0.88823529411764712</v>
      </c>
    </row>
    <row r="354" spans="2:33">
      <c r="D354" s="101"/>
      <c r="E354" s="101"/>
      <c r="G354" s="101"/>
      <c r="H354" s="101"/>
      <c r="I354" s="101"/>
      <c r="J354" s="101"/>
      <c r="K354" s="970" t="s">
        <v>2956</v>
      </c>
      <c r="L354" s="975">
        <v>0.96714285714285719</v>
      </c>
      <c r="M354" s="975">
        <v>0.98199999999999998</v>
      </c>
      <c r="N354" s="975">
        <v>0.98133333333333328</v>
      </c>
      <c r="O354" s="975">
        <v>0.97812499999999991</v>
      </c>
    </row>
    <row r="355" spans="2:33" ht="15.5">
      <c r="C355" s="613" t="s">
        <v>41</v>
      </c>
      <c r="D355" s="101" t="s">
        <v>125</v>
      </c>
      <c r="E355" s="101"/>
      <c r="G355" s="101"/>
      <c r="H355" s="101"/>
      <c r="I355" s="101"/>
      <c r="J355" s="101"/>
      <c r="K355" s="101"/>
      <c r="L355"/>
      <c r="M355"/>
    </row>
    <row r="356" spans="2:33" ht="15.5">
      <c r="B356" s="622" t="s">
        <v>2932</v>
      </c>
      <c r="C356" s="623">
        <f>GETPIVOTDATA("Average of %_of_affected_people_surveyed_who_report_feeling_satistfied_with_the_latrine_design_and_sanitation_service",$B$351)</f>
        <v>0.95588235294117629</v>
      </c>
      <c r="D356" s="623">
        <f>1-C356</f>
        <v>4.4117647058823706E-2</v>
      </c>
      <c r="E356" s="101"/>
      <c r="G356" s="101"/>
      <c r="H356" s="101"/>
      <c r="I356" s="101"/>
      <c r="J356" s="101"/>
      <c r="K356" s="101"/>
      <c r="L356"/>
      <c r="M356"/>
    </row>
    <row r="357" spans="2:33" ht="15.5">
      <c r="B357" s="614" t="s">
        <v>2933</v>
      </c>
      <c r="C357" s="616">
        <f>GETPIVOTDATA("Average of %_of_affected_people_surveyed_who_report_feeling_satistfied_with_the_water_point_design_and_water_service",$B$351)</f>
        <v>0.97705882352941176</v>
      </c>
      <c r="D357" s="616">
        <f t="shared" ref="D357:D359" si="2">1-C357</f>
        <v>2.2941176470588243E-2</v>
      </c>
      <c r="E357" s="101"/>
      <c r="G357" s="101"/>
      <c r="H357" s="101"/>
      <c r="I357" s="101"/>
      <c r="J357" s="101"/>
      <c r="K357" s="101"/>
      <c r="L357"/>
      <c r="M357"/>
    </row>
    <row r="358" spans="2:33">
      <c r="B358" s="615" t="s">
        <v>2934</v>
      </c>
      <c r="C358" s="617">
        <f>GETPIVOTDATA("Average of %_of_complaints_received_that_result_in_timely_corrective_action_and_feedback_to_the_community",$B$351)</f>
        <v>0.88823529411764701</v>
      </c>
      <c r="D358" s="617">
        <f t="shared" si="2"/>
        <v>0.11176470588235299</v>
      </c>
      <c r="E358" s="101"/>
      <c r="G358" s="101"/>
      <c r="H358" s="101"/>
      <c r="I358" s="101"/>
      <c r="J358" s="101"/>
      <c r="K358" s="772" t="s">
        <v>1867</v>
      </c>
      <c r="L358" s="614" t="s">
        <v>3043</v>
      </c>
      <c r="M358" s="614" t="s">
        <v>3044</v>
      </c>
      <c r="N358" s="614" t="s">
        <v>3045</v>
      </c>
      <c r="O358" s="614" t="s">
        <v>3046</v>
      </c>
      <c r="R358" s="777" t="s">
        <v>3038</v>
      </c>
    </row>
    <row r="359" spans="2:33">
      <c r="B359" s="615" t="s">
        <v>2956</v>
      </c>
      <c r="C359" s="617">
        <f>GETPIVOTDATA("Average of %_of_affected_people_surveyed_who_report_feeling_informed_about_the_different_WASH_services_available_to_them",$B$351)</f>
        <v>0.97812500000000013</v>
      </c>
      <c r="D359" s="617">
        <f t="shared" si="2"/>
        <v>2.1874999999999867E-2</v>
      </c>
      <c r="E359" s="101"/>
      <c r="G359" s="101"/>
      <c r="H359" s="101"/>
      <c r="I359" s="101"/>
      <c r="J359" s="101"/>
      <c r="K359" s="773" t="s">
        <v>3051</v>
      </c>
      <c r="L359" s="616">
        <v>0.96142857142857152</v>
      </c>
      <c r="M359" s="616">
        <v>0.96875</v>
      </c>
      <c r="N359" s="616">
        <v>0.95750000000000002</v>
      </c>
      <c r="O359" s="617">
        <v>0.95588235294117652</v>
      </c>
      <c r="P359" s="775">
        <f>AVERAGE(L359:O359)</f>
        <v>0.96089023109243699</v>
      </c>
      <c r="Q359" s="775"/>
      <c r="R359" s="776"/>
    </row>
    <row r="360" spans="2:33">
      <c r="C360" s="101"/>
      <c r="D360" s="101"/>
      <c r="E360" s="101"/>
      <c r="F360" s="101"/>
      <c r="G360" s="101"/>
      <c r="H360" s="101"/>
      <c r="I360" s="101"/>
      <c r="J360" s="101"/>
      <c r="K360" s="773" t="s">
        <v>2933</v>
      </c>
      <c r="L360" s="986">
        <v>0.97428571428571431</v>
      </c>
      <c r="M360" s="986">
        <v>0.92428571428571438</v>
      </c>
      <c r="N360" s="986">
        <v>0.98166666666666658</v>
      </c>
      <c r="O360" s="795">
        <v>0.97705882352941176</v>
      </c>
      <c r="P360" s="775">
        <f t="shared" ref="P360:P362" si="3">AVERAGE(L360:O360)</f>
        <v>0.9643242296918767</v>
      </c>
      <c r="Q360" s="775">
        <f>AVERAGE(P359:P360)</f>
        <v>0.9626072303921569</v>
      </c>
      <c r="R360" s="775">
        <v>0.64174968071519789</v>
      </c>
      <c r="S360" s="774">
        <f>AVERAGE(Q360:R360)</f>
        <v>0.80217845555367739</v>
      </c>
    </row>
    <row r="361" spans="2:33">
      <c r="C361" s="101"/>
      <c r="D361" s="101"/>
      <c r="E361" s="101"/>
      <c r="F361" s="101"/>
      <c r="G361" s="101"/>
      <c r="H361" s="101"/>
      <c r="I361" s="101"/>
      <c r="J361" s="101"/>
      <c r="K361" s="773" t="s">
        <v>2934</v>
      </c>
      <c r="L361" s="616">
        <v>0.93285714285714272</v>
      </c>
      <c r="M361" s="616">
        <v>0.87249999999999994</v>
      </c>
      <c r="N361" s="616">
        <v>0.9</v>
      </c>
      <c r="O361" s="617">
        <v>0.88823529411764712</v>
      </c>
      <c r="P361" s="97">
        <f t="shared" si="3"/>
        <v>0.89839810924369745</v>
      </c>
      <c r="R361" s="97">
        <v>0.42</v>
      </c>
      <c r="S361" s="774">
        <f>AVERAGE(P361:R361)</f>
        <v>0.65919905462184869</v>
      </c>
    </row>
    <row r="362" spans="2:33">
      <c r="C362" s="101"/>
      <c r="D362" s="101"/>
      <c r="E362" s="101"/>
      <c r="F362" s="101"/>
      <c r="G362" s="101"/>
      <c r="H362" s="101"/>
      <c r="I362" s="101"/>
      <c r="J362" s="101"/>
      <c r="K362" s="773" t="s">
        <v>2956</v>
      </c>
      <c r="L362" s="986">
        <v>0.96714285714285719</v>
      </c>
      <c r="M362" s="986">
        <v>0.98199999999999998</v>
      </c>
      <c r="N362" s="986">
        <v>0.98133333333333328</v>
      </c>
      <c r="O362" s="795">
        <v>0.97812499999999991</v>
      </c>
      <c r="P362" s="97">
        <f t="shared" si="3"/>
        <v>0.97715029761904759</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5">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5">
      <c r="C368"/>
      <c r="D368"/>
      <c r="E368"/>
      <c r="F368"/>
      <c r="G368"/>
      <c r="H368"/>
      <c r="I368" s="660"/>
      <c r="J368" s="101"/>
      <c r="K368" s="101"/>
    </row>
    <row r="369" spans="3:11" ht="15.5">
      <c r="C369"/>
      <c r="D369"/>
      <c r="E369"/>
      <c r="F369"/>
      <c r="G369"/>
      <c r="H369"/>
      <c r="I369" s="660"/>
      <c r="J369" s="101"/>
      <c r="K369" s="101"/>
    </row>
    <row r="370" spans="3:11" ht="15.5">
      <c r="C370"/>
      <c r="D370"/>
      <c r="E370"/>
      <c r="F370"/>
      <c r="G370"/>
      <c r="H370"/>
      <c r="I370" s="660"/>
      <c r="J370" s="101"/>
      <c r="K370" s="101"/>
    </row>
    <row r="371" spans="3:11" ht="15.5">
      <c r="C371"/>
      <c r="D371"/>
      <c r="E371"/>
      <c r="F371"/>
      <c r="G371"/>
      <c r="H371"/>
      <c r="I371" s="101"/>
      <c r="J371" s="101"/>
      <c r="K371" s="101"/>
    </row>
    <row r="372" spans="3:11" ht="15.5">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5">
      <c r="C375" s="448"/>
      <c r="D375" s="101"/>
      <c r="E375" s="101"/>
      <c r="F375" s="101"/>
      <c r="G375" s="101"/>
      <c r="H375" s="101"/>
      <c r="I375" s="101"/>
      <c r="J375" s="101"/>
      <c r="K375" s="101"/>
    </row>
    <row r="376" spans="3:11" ht="15.5">
      <c r="C376" s="448"/>
      <c r="D376" s="101"/>
      <c r="E376" s="101"/>
      <c r="F376" s="101"/>
      <c r="G376" s="101"/>
      <c r="H376" s="101"/>
      <c r="I376" s="101"/>
      <c r="J376" s="101"/>
      <c r="K376" s="101"/>
    </row>
    <row r="377" spans="3:11" ht="15.5">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5">
      <c r="C384"/>
      <c r="D384"/>
      <c r="E384"/>
      <c r="F384"/>
      <c r="G384"/>
      <c r="H384"/>
      <c r="I384" s="101"/>
      <c r="J384" s="600"/>
      <c r="K384" s="600"/>
    </row>
    <row r="385" spans="3:11" ht="15.5">
      <c r="C385"/>
      <c r="D385"/>
      <c r="E385"/>
      <c r="F385"/>
      <c r="G385"/>
      <c r="H385"/>
      <c r="I385" s="101"/>
      <c r="J385" s="101"/>
      <c r="K385" s="101"/>
    </row>
    <row r="386" spans="3:11" ht="15.5">
      <c r="C386"/>
      <c r="D386"/>
      <c r="E386"/>
      <c r="F386"/>
      <c r="G386"/>
      <c r="H386"/>
      <c r="I386" s="101"/>
      <c r="J386" s="101"/>
      <c r="K386" s="101"/>
    </row>
    <row r="387" spans="3:11" ht="15.5">
      <c r="C387"/>
      <c r="D387"/>
      <c r="E387"/>
      <c r="F387"/>
      <c r="G387"/>
      <c r="H387"/>
      <c r="I387" s="101"/>
      <c r="J387" s="101"/>
      <c r="K387" s="101"/>
    </row>
    <row r="388" spans="3:11" ht="15.5">
      <c r="C388"/>
      <c r="D388"/>
      <c r="E388"/>
      <c r="F388"/>
      <c r="G388"/>
      <c r="H388"/>
      <c r="I388" s="101"/>
      <c r="J388" s="101"/>
      <c r="K388" s="101"/>
    </row>
    <row r="389" spans="3:11" ht="15.5">
      <c r="C389"/>
      <c r="D389"/>
      <c r="E389"/>
      <c r="F389"/>
      <c r="G389"/>
      <c r="H389"/>
      <c r="I389" s="101"/>
      <c r="J389" s="101"/>
      <c r="K389" s="101"/>
    </row>
    <row r="390" spans="3:11">
      <c r="C390" s="101"/>
      <c r="D390" s="101"/>
      <c r="E390" s="101"/>
      <c r="F390" s="101"/>
      <c r="G390" s="101"/>
      <c r="H390" s="101"/>
      <c r="I390" s="101"/>
      <c r="J390" s="101"/>
      <c r="K390" s="101"/>
    </row>
    <row r="391" spans="3:11" ht="15.5">
      <c r="C391" s="448"/>
      <c r="D391" s="448"/>
      <c r="E391" s="448"/>
      <c r="F391" s="101"/>
      <c r="G391" s="101"/>
      <c r="H391" s="101"/>
      <c r="I391" s="101"/>
      <c r="J391" s="101"/>
      <c r="K391" s="101"/>
    </row>
    <row r="392" spans="3:11" ht="15.5">
      <c r="C392" s="448"/>
      <c r="D392" s="448"/>
      <c r="E392" s="448"/>
      <c r="F392" s="101"/>
      <c r="G392" s="101"/>
      <c r="H392" s="101"/>
      <c r="I392" s="101"/>
      <c r="J392" s="101"/>
      <c r="K392" s="101"/>
    </row>
    <row r="393" spans="3:11" ht="15.5">
      <c r="C393" s="448"/>
      <c r="D393" s="448"/>
      <c r="E393" s="448"/>
      <c r="F393" s="101"/>
      <c r="G393" s="101"/>
      <c r="H393" s="101"/>
      <c r="I393" s="101"/>
      <c r="J393" s="101"/>
      <c r="K393" s="101"/>
    </row>
    <row r="394" spans="3:11" ht="15.5">
      <c r="C394" s="448"/>
      <c r="D394" s="448"/>
      <c r="E394" s="448"/>
      <c r="F394" s="101"/>
      <c r="G394" s="101"/>
      <c r="H394" s="101"/>
      <c r="I394" s="101"/>
      <c r="J394" s="101"/>
      <c r="K394" s="101"/>
    </row>
    <row r="395" spans="3:11" ht="15.5">
      <c r="C395" s="448"/>
      <c r="D395" s="448"/>
      <c r="E395" s="448"/>
      <c r="F395" s="101"/>
      <c r="G395" s="101"/>
      <c r="H395" s="101"/>
      <c r="I395" s="101"/>
      <c r="J395" s="101"/>
      <c r="K395" s="101"/>
    </row>
    <row r="396" spans="3:11" ht="15.5">
      <c r="C396" s="448"/>
      <c r="D396" s="448"/>
      <c r="E396" s="448"/>
      <c r="F396" s="101"/>
      <c r="G396" s="101"/>
      <c r="H396" s="101"/>
      <c r="I396" s="101"/>
      <c r="J396" s="101"/>
      <c r="K396" s="101"/>
    </row>
    <row r="397" spans="3:11" ht="15.5">
      <c r="C397" s="448"/>
      <c r="D397" s="448"/>
      <c r="E397" s="448"/>
      <c r="F397" s="101"/>
      <c r="G397" s="101"/>
      <c r="H397" s="101"/>
      <c r="I397" s="101"/>
      <c r="J397" s="101"/>
      <c r="K397" s="101"/>
    </row>
    <row r="398" spans="3:11" ht="15.5">
      <c r="C398" s="448"/>
      <c r="D398" s="448"/>
      <c r="E398" s="448"/>
      <c r="F398" s="101"/>
      <c r="G398" s="101"/>
      <c r="H398" s="101"/>
      <c r="I398" s="101"/>
      <c r="J398" s="101"/>
      <c r="K398" s="101"/>
    </row>
    <row r="399" spans="3:11" ht="15.5">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50"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1"/>
  <drawing r:id="rId32"/>
  <extLst>
    <ext xmlns:x14="http://schemas.microsoft.com/office/spreadsheetml/2009/9/main" uri="{A8765BA9-456A-4dab-B4F3-ACF838C121DE}">
      <x14:slicerList>
        <x14:slicer r:id="rId3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topLeftCell="A46" zoomScale="70" zoomScaleNormal="60" zoomScaleSheetLayoutView="70" zoomScalePageLayoutView="80" workbookViewId="0">
      <selection activeCell="W64" sqref="W64"/>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4"/>
      <c r="B1" s="1059" t="s">
        <v>3229</v>
      </c>
      <c r="C1" s="1059"/>
      <c r="D1" s="1059"/>
      <c r="E1" s="1059"/>
      <c r="F1" s="1059"/>
      <c r="G1" s="1059"/>
      <c r="H1" s="1059"/>
      <c r="I1" s="1059"/>
      <c r="J1" s="1059"/>
      <c r="K1" s="1059"/>
      <c r="L1" s="1059"/>
      <c r="M1" s="1059"/>
      <c r="N1" s="1059"/>
      <c r="O1" s="1059"/>
      <c r="P1" s="1059"/>
      <c r="Q1" s="1059"/>
      <c r="R1" s="1059"/>
      <c r="S1" s="1059"/>
      <c r="T1" s="1059"/>
      <c r="U1" s="1059"/>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50" spans="2:27" ht="15.5">
      <c r="V50"/>
    </row>
    <row r="51" spans="2:27" ht="15.5">
      <c r="V51" s="448"/>
      <c r="W51" s="448"/>
    </row>
    <row r="52" spans="2:27" ht="15.5">
      <c r="V52" s="448"/>
      <c r="W52" s="448"/>
    </row>
    <row r="53" spans="2:27" ht="15.5">
      <c r="V53" s="448"/>
      <c r="W53" s="448"/>
    </row>
    <row r="54" spans="2:27" ht="20.5" customHeight="1">
      <c r="V54" s="448"/>
      <c r="W54" s="448"/>
    </row>
    <row r="55" spans="2:27" ht="20" customHeight="1"/>
    <row r="57" spans="2:27" ht="15.5">
      <c r="X57"/>
      <c r="Y57"/>
    </row>
    <row r="58" spans="2:27" ht="21.75" customHeight="1">
      <c r="B58" s="638"/>
      <c r="C58" s="638"/>
      <c r="D58" s="638"/>
      <c r="E58" s="638"/>
      <c r="F58" s="638"/>
      <c r="G58" s="638"/>
      <c r="V58" s="160"/>
      <c r="W58"/>
      <c r="X58"/>
      <c r="Y58"/>
      <c r="Z58"/>
    </row>
    <row r="59" spans="2:27" ht="15.5">
      <c r="V59" s="160"/>
      <c r="W59" s="347"/>
      <c r="X59" s="347"/>
      <c r="Y59" s="347"/>
      <c r="Z59"/>
    </row>
    <row r="60" spans="2:27" ht="15.5">
      <c r="V60" s="448"/>
      <c r="W60" s="448"/>
      <c r="Y60" s="347"/>
      <c r="Z60"/>
    </row>
    <row r="61" spans="2:27" s="454" customFormat="1" ht="15.5">
      <c r="V61" s="465"/>
      <c r="W61" s="465"/>
      <c r="Y61" s="465"/>
      <c r="Z61" s="465"/>
    </row>
    <row r="62" spans="2:27" s="454" customFormat="1" ht="25.5" customHeight="1">
      <c r="W62" s="465"/>
      <c r="X62" s="465"/>
      <c r="Z62" s="465"/>
      <c r="AA62" s="465"/>
    </row>
    <row r="63" spans="2:27" s="454" customFormat="1" ht="15.5">
      <c r="W63" s="465"/>
      <c r="X63" s="465"/>
      <c r="Z63" s="465"/>
      <c r="AA63" s="465"/>
    </row>
    <row r="64" spans="2:27" s="454" customFormat="1" ht="23.25" customHeight="1">
      <c r="W64" s="465"/>
      <c r="X64" s="465"/>
      <c r="Z64" s="465"/>
      <c r="AA64" s="465"/>
    </row>
    <row r="65" spans="2:27" ht="9.65" customHeight="1">
      <c r="W65" s="448"/>
      <c r="X65" s="448"/>
      <c r="Z65" s="347"/>
      <c r="AA65"/>
    </row>
    <row r="66" spans="2:27" ht="55.25" customHeight="1">
      <c r="B66" s="799" t="s">
        <v>3050</v>
      </c>
      <c r="C66" s="639" t="s">
        <v>1893</v>
      </c>
      <c r="D66" s="639" t="s">
        <v>3004</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0</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5">
      <c r="B69" s="625" t="s">
        <v>401</v>
      </c>
      <c r="C69" s="626" t="s">
        <v>3047</v>
      </c>
      <c r="D69" s="626">
        <v>5</v>
      </c>
      <c r="E69" s="627">
        <v>24835</v>
      </c>
      <c r="F69" s="628">
        <v>3.4668814173545393E-2</v>
      </c>
      <c r="G69" s="628">
        <v>0.16372055566740484</v>
      </c>
      <c r="H69" s="628">
        <v>6.752566941815985E-2</v>
      </c>
      <c r="V69" s="448"/>
      <c r="W69" s="448"/>
      <c r="X69" s="347"/>
      <c r="Y69" s="347"/>
      <c r="Z69"/>
    </row>
    <row r="70" spans="2:27" ht="31.5" thickBot="1">
      <c r="B70" s="630" t="s">
        <v>294</v>
      </c>
      <c r="C70" s="631" t="s">
        <v>3036</v>
      </c>
      <c r="D70" s="631">
        <v>14</v>
      </c>
      <c r="E70" s="632">
        <v>98105</v>
      </c>
      <c r="F70" s="633">
        <v>3.539065287192289E-2</v>
      </c>
      <c r="G70" s="633">
        <v>0.15573110442892824</v>
      </c>
      <c r="H70" s="929">
        <v>0.12987042632568235</v>
      </c>
      <c r="W70" s="347"/>
      <c r="X70" s="347"/>
      <c r="Y70" s="347"/>
      <c r="Z70"/>
    </row>
    <row r="71" spans="2:27" ht="21.65" customHeight="1" thickTop="1">
      <c r="B71" s="634" t="s">
        <v>1872</v>
      </c>
      <c r="C71" s="635" t="s">
        <v>1902</v>
      </c>
      <c r="D71" s="635">
        <f>SUBTOTAL(109,D67:D70)</f>
        <v>21</v>
      </c>
      <c r="E71" s="636">
        <f>SUBTOTAL(109,E67:E70)</f>
        <v>126946</v>
      </c>
      <c r="F71" s="753">
        <v>4.5318481874182748E-2</v>
      </c>
      <c r="G71" s="637">
        <v>0.15237975202054421</v>
      </c>
      <c r="H71" s="753">
        <v>0.13657727045106638</v>
      </c>
      <c r="W71" s="347"/>
      <c r="X71" s="347"/>
      <c r="Y71" s="347"/>
      <c r="Z71"/>
    </row>
    <row r="72" spans="2:27" ht="15.5">
      <c r="V72" s="347"/>
      <c r="W72" s="347"/>
      <c r="X72" s="347"/>
      <c r="Y72" s="347"/>
      <c r="Z72" s="347"/>
    </row>
    <row r="73" spans="2:27" ht="15.5">
      <c r="V73" s="347"/>
      <c r="W73" s="347"/>
      <c r="X73" s="347"/>
      <c r="Y73" s="347"/>
      <c r="Z73" s="347"/>
    </row>
    <row r="74" spans="2:27" ht="15.5">
      <c r="V74" s="347"/>
      <c r="W74" s="347"/>
      <c r="X74" s="347"/>
      <c r="Y74" s="347"/>
      <c r="Z74" s="347"/>
    </row>
    <row r="75" spans="2:27" ht="15.5">
      <c r="V75" s="347"/>
      <c r="W75" s="347"/>
      <c r="X75" s="347"/>
      <c r="Y75" s="347"/>
      <c r="Z75" s="347"/>
    </row>
    <row r="76" spans="2:27" ht="15.5">
      <c r="V76" s="347"/>
      <c r="W76" s="347"/>
      <c r="X76" s="347"/>
      <c r="Y76" s="347"/>
      <c r="Z76" s="347"/>
    </row>
    <row r="77" spans="2:27" ht="15.5">
      <c r="V77" s="347"/>
      <c r="W77" s="347"/>
      <c r="X77" s="347"/>
      <c r="Y77" s="347"/>
      <c r="Z77" s="347"/>
    </row>
    <row r="78" spans="2:27" ht="15.5">
      <c r="V78" s="347"/>
      <c r="W78" s="347"/>
      <c r="X78" s="347"/>
      <c r="Y78" s="347"/>
      <c r="Z78" s="347"/>
    </row>
    <row r="79" spans="2:27" ht="15.5">
      <c r="V79" s="347"/>
      <c r="W79" s="347"/>
      <c r="X79" s="347"/>
      <c r="Y79" s="347"/>
      <c r="Z79" s="347"/>
    </row>
    <row r="80" spans="2:27" ht="15.5">
      <c r="V80" s="347"/>
      <c r="W80" s="347"/>
      <c r="X80" s="347"/>
      <c r="Y80" s="347"/>
      <c r="Z80" s="347"/>
    </row>
    <row r="81" spans="22:26" ht="15.5">
      <c r="V81" s="347"/>
      <c r="W81" s="347"/>
      <c r="X81" s="347"/>
      <c r="Y81" s="347"/>
      <c r="Z81" s="347"/>
    </row>
    <row r="82" spans="22:26" ht="15.5">
      <c r="V82" s="347"/>
      <c r="W82" s="347"/>
      <c r="X82" s="347"/>
      <c r="Y82" s="347"/>
      <c r="Z82" s="347"/>
    </row>
    <row r="83" spans="22:26" ht="15.5">
      <c r="V83" s="347"/>
      <c r="W83" s="347"/>
      <c r="X83" s="347"/>
      <c r="Y83" s="347"/>
      <c r="Z83" s="347"/>
    </row>
    <row r="84" spans="22:26" ht="15.5">
      <c r="V84" s="347"/>
      <c r="W84" s="347"/>
      <c r="X84" s="347"/>
      <c r="Y84" s="347"/>
      <c r="Z84" s="347"/>
    </row>
    <row r="85" spans="22:26" ht="15.5">
      <c r="V85" s="347"/>
      <c r="W85" s="347"/>
      <c r="X85" s="347"/>
      <c r="Y85" s="347"/>
      <c r="Z85" s="347"/>
    </row>
    <row r="86" spans="22:26" ht="15.5">
      <c r="V86" s="347"/>
      <c r="W86" s="347"/>
      <c r="X86" s="347"/>
      <c r="Y86" s="347"/>
      <c r="Z86" s="347"/>
    </row>
    <row r="87" spans="22:26" ht="15.5">
      <c r="V87" s="347"/>
      <c r="W87" s="347"/>
      <c r="X87" s="347"/>
      <c r="Y87" s="347"/>
      <c r="Z87" s="347"/>
    </row>
    <row r="88" spans="22:26" ht="15.5">
      <c r="V88" s="347"/>
      <c r="W88" s="347"/>
      <c r="X88" s="347"/>
      <c r="Y88" s="347"/>
      <c r="Z88" s="347"/>
    </row>
    <row r="89" spans="22:26" ht="15.5">
      <c r="V89" s="347"/>
      <c r="W89" s="347"/>
      <c r="X89" s="347"/>
      <c r="Y89" s="347"/>
      <c r="Z89" s="347"/>
    </row>
    <row r="90" spans="22:26" ht="15.5">
      <c r="V90" s="347"/>
      <c r="W90" s="347"/>
      <c r="X90" s="347"/>
      <c r="Y90" s="347"/>
      <c r="Z90" s="347"/>
    </row>
    <row r="91" spans="22:26" ht="15.5">
      <c r="V91" s="347"/>
      <c r="W91" s="347"/>
      <c r="X91" s="347"/>
      <c r="Y91" s="347"/>
      <c r="Z91" s="347"/>
    </row>
    <row r="92" spans="22:26" ht="15.5">
      <c r="V92" s="347"/>
      <c r="W92" s="347"/>
      <c r="X92" s="347"/>
      <c r="Y92" s="347"/>
      <c r="Z92" s="347"/>
    </row>
    <row r="93" spans="22:26" ht="15.5">
      <c r="V93" s="347"/>
      <c r="W93" s="347"/>
      <c r="X93" s="347"/>
      <c r="Y93" s="347"/>
      <c r="Z93" s="347"/>
    </row>
    <row r="94" spans="22:26" ht="15.5">
      <c r="V94" s="347"/>
      <c r="W94" s="347"/>
      <c r="X94" s="347"/>
      <c r="Y94" s="347"/>
      <c r="Z94" s="347"/>
    </row>
    <row r="95" spans="22:26" ht="15.5">
      <c r="V95" s="347"/>
      <c r="W95" s="347"/>
      <c r="X95" s="347"/>
      <c r="Y95" s="347"/>
      <c r="Z95" s="347"/>
    </row>
    <row r="96" spans="22:26" ht="15.5">
      <c r="V96" s="347"/>
      <c r="W96" s="347"/>
      <c r="X96" s="347"/>
      <c r="Y96" s="347"/>
      <c r="Z96" s="347"/>
    </row>
    <row r="97" spans="2:26" ht="15.5">
      <c r="V97" s="347"/>
      <c r="W97" s="347"/>
      <c r="X97" s="347"/>
      <c r="Y97" s="347"/>
      <c r="Z97" s="347"/>
    </row>
    <row r="98" spans="2:26" s="661" customFormat="1" ht="15.5">
      <c r="V98" s="659"/>
      <c r="W98" s="659"/>
      <c r="X98" s="659"/>
      <c r="Y98" s="659"/>
      <c r="Z98" s="659"/>
    </row>
    <row r="99" spans="2:26" ht="15.5">
      <c r="B99" s="662"/>
      <c r="C99" s="663"/>
      <c r="D99" s="664"/>
      <c r="E99" s="664"/>
      <c r="F99" s="665"/>
      <c r="G99" s="665"/>
      <c r="V99" s="347"/>
      <c r="W99" s="347"/>
      <c r="X99" s="347"/>
      <c r="Y99" s="347"/>
      <c r="Z99" s="347"/>
    </row>
    <row r="100" spans="2:26" ht="15.5">
      <c r="B100" s="673"/>
      <c r="C100" s="675"/>
      <c r="D100" s="676"/>
      <c r="E100" s="675"/>
      <c r="F100" s="677"/>
      <c r="G100" s="681"/>
      <c r="V100" s="448"/>
      <c r="W100" s="448"/>
      <c r="X100" s="448"/>
      <c r="Y100" s="448"/>
      <c r="Z100" s="448"/>
    </row>
    <row r="101" spans="2:26" ht="15.5">
      <c r="B101" s="673"/>
      <c r="C101" s="678"/>
      <c r="D101" s="679"/>
      <c r="E101" s="678"/>
      <c r="F101" s="680"/>
      <c r="G101" s="682"/>
      <c r="V101" s="347"/>
      <c r="W101" s="347"/>
      <c r="X101" s="347"/>
      <c r="Y101" s="347"/>
      <c r="Z101" s="347"/>
    </row>
    <row r="102" spans="2:26" ht="15.5">
      <c r="B102" s="673"/>
      <c r="C102" s="678"/>
      <c r="D102" s="679"/>
      <c r="E102" s="678"/>
      <c r="F102" s="680"/>
      <c r="G102" s="682"/>
      <c r="V102" s="347"/>
      <c r="W102" s="347"/>
      <c r="X102" s="347"/>
      <c r="Y102" s="347"/>
      <c r="Z102" s="347"/>
    </row>
    <row r="103" spans="2:26" ht="15.5">
      <c r="B103" s="673"/>
      <c r="C103" s="678"/>
      <c r="D103" s="679"/>
      <c r="E103" s="678"/>
      <c r="F103" s="680"/>
      <c r="G103" s="682"/>
      <c r="V103" s="347"/>
      <c r="W103" s="347"/>
      <c r="X103" s="347"/>
      <c r="Y103" s="347"/>
      <c r="Z103" s="347"/>
    </row>
    <row r="104" spans="2:26" ht="15.5">
      <c r="B104" s="668"/>
      <c r="C104" s="666"/>
      <c r="D104" s="674"/>
      <c r="E104" s="666"/>
      <c r="F104" s="667"/>
      <c r="G104" s="683"/>
      <c r="V104" s="448"/>
      <c r="W104" s="448"/>
      <c r="X104" s="448"/>
      <c r="Y104" s="448"/>
      <c r="Z104" s="448"/>
    </row>
    <row r="105" spans="2:26" ht="15.5">
      <c r="V105" s="347"/>
      <c r="W105" s="347"/>
      <c r="X105" s="347"/>
      <c r="Y105" s="347"/>
      <c r="Z105" s="347"/>
    </row>
    <row r="106" spans="2:26" ht="15.5">
      <c r="V106" s="347"/>
      <c r="W106" s="347"/>
      <c r="X106" s="347"/>
      <c r="Y106" s="347"/>
      <c r="Z106" s="347"/>
    </row>
    <row r="107" spans="2:26" ht="15.5">
      <c r="V107" s="347"/>
      <c r="W107" s="347"/>
      <c r="X107" s="347"/>
      <c r="Y107" s="347"/>
      <c r="Z107" s="347"/>
    </row>
    <row r="108" spans="2:26" ht="15.5">
      <c r="V108" s="347"/>
      <c r="W108" s="347"/>
      <c r="X108" s="347"/>
      <c r="Y108" s="347"/>
      <c r="Z108" s="347"/>
    </row>
    <row r="109" spans="2:26" ht="15.5">
      <c r="V109" s="347"/>
      <c r="W109" s="347"/>
      <c r="X109" s="347"/>
      <c r="Y109" s="347"/>
      <c r="Z109" s="347"/>
    </row>
    <row r="110" spans="2:26" ht="15.5">
      <c r="V110" s="347"/>
      <c r="W110" s="347"/>
      <c r="X110" s="347"/>
      <c r="Y110" s="347"/>
      <c r="Z110" s="347"/>
    </row>
    <row r="111" spans="2:26" ht="15.5">
      <c r="V111" s="347"/>
      <c r="W111" s="347"/>
      <c r="X111" s="347"/>
      <c r="Y111" s="347"/>
      <c r="Z111" s="347"/>
    </row>
    <row r="112" spans="2:26" ht="15.5">
      <c r="V112" s="347"/>
      <c r="W112" s="347"/>
      <c r="X112" s="347"/>
      <c r="Y112" s="347"/>
      <c r="Z112" s="347"/>
    </row>
    <row r="113" spans="22:26" ht="15.5">
      <c r="V113" s="347"/>
      <c r="W113" s="347"/>
      <c r="X113" s="347"/>
      <c r="Y113" s="347"/>
      <c r="Z113" s="347"/>
    </row>
    <row r="114" spans="22:26" ht="15.5">
      <c r="V114" s="347"/>
      <c r="W114" s="347"/>
      <c r="X114" s="347"/>
      <c r="Y114" s="347"/>
      <c r="Z114" s="347"/>
    </row>
    <row r="115" spans="22:26" ht="15.5">
      <c r="V115" s="347"/>
      <c r="W115" s="347"/>
      <c r="X115" s="347"/>
      <c r="Y115" s="347"/>
      <c r="Z115" s="347"/>
    </row>
    <row r="116" spans="22:26" ht="15.5">
      <c r="V116" s="347"/>
      <c r="W116" s="347"/>
      <c r="X116" s="347"/>
      <c r="Y116" s="347"/>
      <c r="Z116" s="347"/>
    </row>
    <row r="117" spans="22:26" ht="15.5">
      <c r="V117" s="347"/>
      <c r="W117" s="347"/>
      <c r="X117" s="347"/>
      <c r="Y117" s="347"/>
      <c r="Z117" s="347"/>
    </row>
    <row r="118" spans="22:26" ht="15.5">
      <c r="V118" s="347"/>
      <c r="W118" s="347"/>
      <c r="X118" s="347"/>
      <c r="Y118" s="347"/>
      <c r="Z118" s="347"/>
    </row>
    <row r="119" spans="22:26" ht="15.5">
      <c r="X119"/>
      <c r="Y11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3"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AA25" sqref="AA25"/>
    </sheetView>
  </sheetViews>
  <sheetFormatPr defaultColWidth="9" defaultRowHeight="15.5"/>
  <cols>
    <col min="1" max="1" width="31.83203125" style="57" bestFit="1" customWidth="1"/>
    <col min="2" max="2" width="14.08203125" style="57" bestFit="1" customWidth="1"/>
    <col min="3" max="3" width="10.4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384" t="s">
        <v>20</v>
      </c>
      <c r="B27" s="57" t="s">
        <v>1865</v>
      </c>
    </row>
    <row r="28" spans="1:7" hidden="1"/>
    <row r="29" spans="1:7" s="84" customFormat="1" ht="31" hidden="1">
      <c r="A29" s="985" t="s">
        <v>21</v>
      </c>
      <c r="B29" s="985" t="s">
        <v>22</v>
      </c>
      <c r="C29" s="953" t="s">
        <v>1918</v>
      </c>
      <c r="D29" s="57" t="s">
        <v>2645</v>
      </c>
      <c r="E29" s="57" t="s">
        <v>2644</v>
      </c>
      <c r="F29" s="57" t="s">
        <v>2643</v>
      </c>
      <c r="G29"/>
    </row>
    <row r="30" spans="1:7" hidden="1">
      <c r="A30" s="57" t="s">
        <v>293</v>
      </c>
      <c r="B30" s="57" t="s">
        <v>356</v>
      </c>
      <c r="C30" s="947">
        <v>4323</v>
      </c>
      <c r="D30" s="947">
        <v>4323</v>
      </c>
      <c r="E30" s="947">
        <v>4323</v>
      </c>
      <c r="F30" s="947">
        <v>4323</v>
      </c>
      <c r="G30"/>
    </row>
    <row r="31" spans="1:7" hidden="1">
      <c r="B31" s="57" t="s">
        <v>398</v>
      </c>
      <c r="C31" s="947">
        <v>11680</v>
      </c>
      <c r="D31" s="947">
        <v>0</v>
      </c>
      <c r="E31" s="947">
        <v>11680</v>
      </c>
      <c r="F31" s="947">
        <v>6000.0000000000009</v>
      </c>
      <c r="G31"/>
    </row>
    <row r="32" spans="1:7" hidden="1">
      <c r="B32" s="57" t="s">
        <v>401</v>
      </c>
      <c r="C32" s="947">
        <v>98989</v>
      </c>
      <c r="D32" s="947">
        <v>91916</v>
      </c>
      <c r="E32" s="947">
        <v>79512</v>
      </c>
      <c r="F32" s="947">
        <v>97267</v>
      </c>
      <c r="G32"/>
    </row>
    <row r="33" spans="1:7" hidden="1">
      <c r="B33" s="57" t="s">
        <v>294</v>
      </c>
      <c r="C33" s="947">
        <v>374233</v>
      </c>
      <c r="D33" s="947">
        <v>285624.08395123063</v>
      </c>
      <c r="E33" s="947">
        <v>313638</v>
      </c>
      <c r="F33" s="947">
        <v>365789</v>
      </c>
      <c r="G33"/>
    </row>
    <row r="34" spans="1:7" hidden="1">
      <c r="A34" s="57" t="s">
        <v>3002</v>
      </c>
      <c r="C34" s="947">
        <v>489225</v>
      </c>
      <c r="D34" s="947">
        <v>381863.08395123063</v>
      </c>
      <c r="E34" s="947">
        <v>409153</v>
      </c>
      <c r="F34" s="947">
        <v>473379</v>
      </c>
      <c r="G34"/>
    </row>
    <row r="35" spans="1:7" hidden="1">
      <c r="A35" s="57" t="s">
        <v>1621</v>
      </c>
      <c r="C35" s="947">
        <v>489225</v>
      </c>
      <c r="D35" s="947">
        <v>381863.08395123063</v>
      </c>
      <c r="E35" s="947">
        <v>409153</v>
      </c>
      <c r="F35" s="947">
        <v>473379</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3" customWidth="1"/>
    <col min="2" max="2" width="81.83203125" style="643" customWidth="1"/>
    <col min="3" max="16384" width="9" style="643"/>
  </cols>
  <sheetData>
    <row r="2" spans="1:2" ht="18.5">
      <c r="A2" s="1060" t="s">
        <v>2994</v>
      </c>
      <c r="B2" s="1060"/>
    </row>
    <row r="3" spans="1:2">
      <c r="A3" s="649" t="s">
        <v>21</v>
      </c>
      <c r="B3" s="648" t="s">
        <v>2935</v>
      </c>
    </row>
    <row r="4" spans="1:2">
      <c r="A4" s="650" t="s">
        <v>293</v>
      </c>
      <c r="B4" s="644" t="s">
        <v>2957</v>
      </c>
    </row>
    <row r="5" spans="1:2" ht="46.5">
      <c r="A5" s="651"/>
      <c r="B5" s="644" t="s">
        <v>2993</v>
      </c>
    </row>
    <row r="6" spans="1:2">
      <c r="A6" s="651"/>
      <c r="B6" s="644" t="s">
        <v>61</v>
      </c>
    </row>
    <row r="7" spans="1:2">
      <c r="A7" s="642" t="s">
        <v>2936</v>
      </c>
      <c r="B7" s="642" t="s">
        <v>2937</v>
      </c>
    </row>
    <row r="8" spans="1:2" ht="46.5">
      <c r="A8" s="645" t="s">
        <v>293</v>
      </c>
      <c r="B8" s="646" t="s">
        <v>2995</v>
      </c>
    </row>
    <row r="9" spans="1:2" ht="31">
      <c r="A9" s="690"/>
      <c r="B9" s="646" t="s">
        <v>2996</v>
      </c>
    </row>
    <row r="10" spans="1:2">
      <c r="A10" s="647" t="s">
        <v>2936</v>
      </c>
      <c r="B10" s="647" t="s">
        <v>2938</v>
      </c>
    </row>
    <row r="11" spans="1:2">
      <c r="A11" s="652" t="s">
        <v>293</v>
      </c>
      <c r="B11" s="653" t="s">
        <v>2958</v>
      </c>
    </row>
    <row r="12" spans="1:2" ht="31">
      <c r="A12" s="654"/>
      <c r="B12" s="653" t="s">
        <v>2997</v>
      </c>
    </row>
    <row r="13" spans="1:2" ht="46.5">
      <c r="A13" s="654"/>
      <c r="B13" s="653" t="s">
        <v>2998</v>
      </c>
    </row>
  </sheetData>
  <mergeCells count="1">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I39" sqref="I39"/>
    </sheetView>
  </sheetViews>
  <sheetFormatPr defaultColWidth="20.58203125" defaultRowHeight="15.5"/>
  <cols>
    <col min="1" max="1" width="28.9140625" style="57" hidden="1" customWidth="1"/>
    <col min="2" max="2" width="14.83203125" style="57" hidden="1" customWidth="1"/>
    <col min="3" max="3" width="58.1640625" style="57" hidden="1" customWidth="1"/>
    <col min="4" max="4" width="46" style="57" hidden="1" customWidth="1"/>
    <col min="5" max="5" width="73.4140625" style="57" hidden="1" customWidth="1"/>
    <col min="6" max="6" width="20.58203125" style="57" hidden="1" customWidth="1"/>
    <col min="7" max="16384" width="20.58203125" style="57"/>
  </cols>
  <sheetData>
    <row r="1" spans="1:20" ht="26.25" customHeight="1">
      <c r="A1" s="1061" t="s">
        <v>3231</v>
      </c>
      <c r="B1" s="1061"/>
      <c r="C1" s="1061"/>
      <c r="D1" s="1061"/>
      <c r="E1" s="1061"/>
      <c r="F1" s="1061"/>
      <c r="G1" s="1061"/>
      <c r="H1" s="1061"/>
      <c r="I1" s="1061"/>
      <c r="J1" s="1061"/>
      <c r="K1" s="1061"/>
      <c r="L1" s="1061"/>
      <c r="M1" s="1061"/>
      <c r="N1" s="1061"/>
      <c r="O1" s="1061"/>
      <c r="P1" s="1061"/>
      <c r="Q1" s="1061"/>
      <c r="R1" s="1061"/>
      <c r="S1" s="1061"/>
      <c r="T1" s="1061"/>
    </row>
    <row r="33" spans="1:27">
      <c r="A33"/>
      <c r="B33"/>
    </row>
    <row r="34" spans="1:27">
      <c r="A34" s="384" t="s">
        <v>20</v>
      </c>
      <c r="B34" s="57" t="s">
        <v>3146</v>
      </c>
    </row>
    <row r="35" spans="1:27">
      <c r="A35" s="985" t="s">
        <v>22</v>
      </c>
      <c r="B35" s="57" t="s">
        <v>1865</v>
      </c>
    </row>
    <row r="36" spans="1:27">
      <c r="A36" s="985" t="s">
        <v>21</v>
      </c>
      <c r="B36" s="57" t="s">
        <v>1865</v>
      </c>
    </row>
    <row r="37" spans="1:27">
      <c r="C37" s="177"/>
      <c r="D37" s="177"/>
      <c r="E37" s="177"/>
    </row>
    <row r="38" spans="1:27" s="84" customFormat="1">
      <c r="A38" s="384" t="s">
        <v>23</v>
      </c>
      <c r="B38" s="953" t="s">
        <v>1918</v>
      </c>
      <c r="C38" s="57" t="s">
        <v>2681</v>
      </c>
      <c r="D38" s="57" t="s">
        <v>2682</v>
      </c>
      <c r="E38" s="57" t="s">
        <v>2683</v>
      </c>
      <c r="F38"/>
      <c r="G38"/>
      <c r="H38"/>
      <c r="I38"/>
      <c r="J38"/>
      <c r="K38"/>
      <c r="L38"/>
      <c r="M38"/>
      <c r="N38"/>
      <c r="O38"/>
      <c r="P38"/>
      <c r="Q38"/>
      <c r="R38"/>
      <c r="S38"/>
      <c r="T38"/>
      <c r="U38"/>
      <c r="V38"/>
      <c r="W38"/>
      <c r="X38"/>
      <c r="Y38"/>
      <c r="Z38"/>
      <c r="AA38"/>
    </row>
    <row r="39" spans="1:27">
      <c r="A39" s="57" t="s">
        <v>411</v>
      </c>
      <c r="B39" s="947">
        <v>5133</v>
      </c>
      <c r="C39" s="947">
        <v>3995</v>
      </c>
      <c r="D39" s="947">
        <v>4276</v>
      </c>
      <c r="E39" s="947">
        <v>5133</v>
      </c>
      <c r="F39"/>
      <c r="G39"/>
      <c r="H39"/>
      <c r="I39"/>
      <c r="J39"/>
      <c r="K39"/>
      <c r="L39"/>
      <c r="M39"/>
      <c r="N39"/>
      <c r="O39"/>
      <c r="P39"/>
      <c r="Q39"/>
      <c r="R39"/>
      <c r="S39"/>
      <c r="T39"/>
      <c r="U39"/>
      <c r="V39"/>
      <c r="W39"/>
      <c r="X39"/>
      <c r="Y39"/>
      <c r="Z39"/>
      <c r="AA39"/>
    </row>
    <row r="40" spans="1:27">
      <c r="A40" s="57" t="s">
        <v>413</v>
      </c>
      <c r="B40" s="947">
        <v>2489</v>
      </c>
      <c r="C40" s="947">
        <v>2482.4499999999998</v>
      </c>
      <c r="D40" s="947">
        <v>2460</v>
      </c>
      <c r="E40" s="947">
        <v>2489</v>
      </c>
      <c r="F40"/>
      <c r="G40"/>
      <c r="H40"/>
      <c r="I40"/>
      <c r="J40"/>
      <c r="K40"/>
      <c r="L40"/>
      <c r="M40"/>
      <c r="N40"/>
      <c r="O40"/>
      <c r="P40"/>
      <c r="Q40"/>
      <c r="R40"/>
      <c r="S40"/>
      <c r="T40"/>
      <c r="U40"/>
      <c r="V40"/>
      <c r="W40"/>
      <c r="X40"/>
      <c r="Y40"/>
      <c r="Z40"/>
      <c r="AA40"/>
    </row>
    <row r="41" spans="1:27">
      <c r="A41" s="57" t="s">
        <v>424</v>
      </c>
      <c r="B41" s="947">
        <v>5101</v>
      </c>
      <c r="C41" s="947">
        <v>2495.054347826087</v>
      </c>
      <c r="D41" s="947">
        <v>4806</v>
      </c>
      <c r="E41" s="947">
        <v>5101</v>
      </c>
      <c r="F41"/>
      <c r="G41"/>
      <c r="H41"/>
      <c r="I41"/>
      <c r="J41"/>
      <c r="K41"/>
      <c r="L41"/>
      <c r="M41"/>
      <c r="N41"/>
      <c r="O41"/>
      <c r="P41"/>
      <c r="Q41"/>
      <c r="R41"/>
      <c r="S41"/>
      <c r="T41"/>
      <c r="U41"/>
      <c r="V41"/>
      <c r="W41"/>
      <c r="X41"/>
      <c r="Y41"/>
      <c r="Z41"/>
      <c r="AA41"/>
    </row>
    <row r="42" spans="1:27">
      <c r="A42" s="57" t="s">
        <v>426</v>
      </c>
      <c r="B42" s="947">
        <v>8728</v>
      </c>
      <c r="C42" s="947">
        <v>3209.7771173848441</v>
      </c>
      <c r="D42" s="947">
        <v>4553</v>
      </c>
      <c r="E42" s="947">
        <v>8728</v>
      </c>
      <c r="F42"/>
      <c r="G42"/>
      <c r="H42"/>
      <c r="I42"/>
      <c r="J42"/>
      <c r="K42"/>
      <c r="L42"/>
      <c r="M42"/>
      <c r="N42"/>
      <c r="O42"/>
      <c r="P42"/>
      <c r="Q42"/>
      <c r="R42"/>
      <c r="S42"/>
      <c r="T42"/>
      <c r="U42"/>
      <c r="V42"/>
      <c r="W42"/>
      <c r="X42"/>
      <c r="Y42"/>
      <c r="Z42"/>
      <c r="AA42"/>
    </row>
    <row r="43" spans="1:27">
      <c r="A43" s="57" t="s">
        <v>423</v>
      </c>
      <c r="B43" s="947">
        <v>11715</v>
      </c>
      <c r="C43" s="947">
        <v>11715</v>
      </c>
      <c r="D43" s="947">
        <v>10425</v>
      </c>
      <c r="E43" s="947">
        <v>11715</v>
      </c>
      <c r="F43"/>
      <c r="G43"/>
      <c r="H43"/>
      <c r="I43"/>
      <c r="J43"/>
      <c r="K43"/>
      <c r="L43"/>
      <c r="M43"/>
      <c r="N43"/>
      <c r="O43"/>
      <c r="P43"/>
      <c r="Q43"/>
      <c r="R43"/>
      <c r="S43"/>
      <c r="T43"/>
      <c r="U43"/>
      <c r="V43"/>
      <c r="W43"/>
      <c r="X43"/>
      <c r="Y43"/>
      <c r="Z43"/>
      <c r="AA43"/>
    </row>
    <row r="44" spans="1:27">
      <c r="A44" s="57" t="s">
        <v>367</v>
      </c>
      <c r="B44" s="947">
        <v>1086</v>
      </c>
      <c r="C44" s="947">
        <v>1086</v>
      </c>
      <c r="D44" s="947">
        <v>1086</v>
      </c>
      <c r="E44" s="947">
        <v>1086</v>
      </c>
      <c r="F44"/>
      <c r="G44"/>
    </row>
    <row r="45" spans="1:27">
      <c r="A45" s="57" t="s">
        <v>409</v>
      </c>
      <c r="B45" s="947">
        <v>6680</v>
      </c>
      <c r="C45" s="947">
        <v>4954</v>
      </c>
      <c r="D45" s="947">
        <v>5074</v>
      </c>
      <c r="E45" s="947">
        <v>6680</v>
      </c>
      <c r="F45"/>
      <c r="G45"/>
    </row>
    <row r="46" spans="1:27">
      <c r="A46" s="57" t="s">
        <v>430</v>
      </c>
      <c r="B46" s="947">
        <v>3486</v>
      </c>
      <c r="C46" s="947">
        <v>3486</v>
      </c>
      <c r="D46" s="947">
        <v>3362</v>
      </c>
      <c r="E46" s="947">
        <v>3486</v>
      </c>
      <c r="F46"/>
      <c r="G46"/>
    </row>
    <row r="47" spans="1:27">
      <c r="A47" s="57" t="s">
        <v>405</v>
      </c>
      <c r="B47" s="947">
        <v>5024</v>
      </c>
      <c r="C47" s="947">
        <v>3757</v>
      </c>
      <c r="D47" s="947">
        <v>3727</v>
      </c>
      <c r="E47" s="947">
        <v>5024</v>
      </c>
      <c r="F47"/>
      <c r="G47"/>
    </row>
    <row r="48" spans="1:27">
      <c r="A48" s="57" t="s">
        <v>406</v>
      </c>
      <c r="B48" s="947">
        <v>5137</v>
      </c>
      <c r="C48" s="947">
        <v>3872</v>
      </c>
      <c r="D48" s="947">
        <v>4731</v>
      </c>
      <c r="E48" s="947">
        <v>5137</v>
      </c>
      <c r="F48"/>
      <c r="G48"/>
    </row>
    <row r="49" spans="1:7">
      <c r="A49" s="57" t="s">
        <v>440</v>
      </c>
      <c r="B49" s="947">
        <v>3095</v>
      </c>
      <c r="C49" s="947">
        <v>3095</v>
      </c>
      <c r="D49" s="947">
        <v>3095</v>
      </c>
      <c r="E49" s="947">
        <v>3095</v>
      </c>
      <c r="F49"/>
      <c r="G49"/>
    </row>
    <row r="50" spans="1:7">
      <c r="A50" s="57" t="s">
        <v>431</v>
      </c>
      <c r="B50" s="947">
        <v>13302</v>
      </c>
      <c r="C50" s="947">
        <v>13302</v>
      </c>
      <c r="D50" s="947">
        <v>9540</v>
      </c>
      <c r="E50" s="947">
        <v>13302</v>
      </c>
      <c r="F50"/>
      <c r="G50"/>
    </row>
    <row r="51" spans="1:7">
      <c r="A51" s="57" t="s">
        <v>429</v>
      </c>
      <c r="B51" s="947">
        <v>12495</v>
      </c>
      <c r="C51" s="947">
        <v>12495</v>
      </c>
      <c r="D51" s="947">
        <v>12495</v>
      </c>
      <c r="E51" s="947">
        <v>12495</v>
      </c>
      <c r="F51"/>
      <c r="G51"/>
    </row>
    <row r="52" spans="1:7">
      <c r="A52" s="57" t="s">
        <v>438</v>
      </c>
      <c r="B52" s="947">
        <v>11564</v>
      </c>
      <c r="C52" s="947">
        <v>11564</v>
      </c>
      <c r="D52" s="947">
        <v>9711</v>
      </c>
      <c r="E52" s="947">
        <v>11564</v>
      </c>
      <c r="F52"/>
      <c r="G52"/>
    </row>
    <row r="53" spans="1:7">
      <c r="A53" s="57" t="s">
        <v>404</v>
      </c>
      <c r="B53" s="947">
        <v>2861</v>
      </c>
      <c r="C53" s="947">
        <v>2861</v>
      </c>
      <c r="D53" s="947">
        <v>2861</v>
      </c>
      <c r="E53" s="947">
        <v>2000</v>
      </c>
      <c r="F53"/>
      <c r="G53"/>
    </row>
    <row r="54" spans="1:7">
      <c r="A54" s="57" t="s">
        <v>399</v>
      </c>
      <c r="B54" s="947">
        <v>2920</v>
      </c>
      <c r="C54" s="947">
        <v>0</v>
      </c>
      <c r="D54" s="947">
        <v>2920</v>
      </c>
      <c r="E54" s="947">
        <v>1500.0000000000002</v>
      </c>
      <c r="F54"/>
      <c r="G54"/>
    </row>
    <row r="55" spans="1:7">
      <c r="A55" s="57" t="s">
        <v>421</v>
      </c>
      <c r="B55" s="947">
        <v>12972</v>
      </c>
      <c r="C55" s="947">
        <v>7147.9666339548576</v>
      </c>
      <c r="D55" s="947">
        <v>5333</v>
      </c>
      <c r="E55" s="947">
        <v>7999.9999999999991</v>
      </c>
      <c r="F55"/>
      <c r="G55"/>
    </row>
    <row r="56" spans="1:7">
      <c r="A56" s="57" t="s">
        <v>425</v>
      </c>
      <c r="B56" s="947">
        <v>5950</v>
      </c>
      <c r="C56" s="947">
        <v>5950</v>
      </c>
      <c r="D56" s="947">
        <v>4078</v>
      </c>
      <c r="E56" s="947">
        <v>5950</v>
      </c>
      <c r="F56"/>
      <c r="G56"/>
    </row>
    <row r="57" spans="1:7">
      <c r="A57" s="57" t="s">
        <v>2272</v>
      </c>
      <c r="B57" s="947">
        <v>2262</v>
      </c>
      <c r="C57" s="947">
        <v>2262</v>
      </c>
      <c r="D57" s="947">
        <v>1778</v>
      </c>
      <c r="E57" s="947">
        <v>2262</v>
      </c>
      <c r="F57"/>
      <c r="G57"/>
    </row>
    <row r="58" spans="1:7">
      <c r="A58" s="57" t="s">
        <v>2271</v>
      </c>
      <c r="B58" s="947">
        <v>2248</v>
      </c>
      <c r="C58" s="947">
        <v>2248</v>
      </c>
      <c r="D58" s="947">
        <v>2129</v>
      </c>
      <c r="E58" s="947">
        <v>2248</v>
      </c>
      <c r="F58"/>
      <c r="G58"/>
    </row>
    <row r="59" spans="1:7">
      <c r="A59" s="57" t="s">
        <v>2273</v>
      </c>
      <c r="B59" s="947">
        <v>2698</v>
      </c>
      <c r="C59" s="947">
        <v>2698</v>
      </c>
      <c r="D59" s="947">
        <v>2698</v>
      </c>
      <c r="E59" s="947">
        <v>2698</v>
      </c>
      <c r="F59"/>
      <c r="G59"/>
    </row>
    <row r="60" spans="1:7">
      <c r="A60" s="57" t="s">
        <v>1621</v>
      </c>
      <c r="B60" s="947">
        <v>126946</v>
      </c>
      <c r="C60" s="947">
        <v>104675.24809916578</v>
      </c>
      <c r="D60" s="947">
        <v>101138</v>
      </c>
      <c r="E60" s="947">
        <v>119693</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110"/>
  <sheetViews>
    <sheetView showGridLines="0" zoomScale="70" zoomScaleNormal="70" workbookViewId="0">
      <selection activeCell="R9" sqref="R9"/>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3" t="s">
        <v>34</v>
      </c>
      <c r="M2" s="448" t="s">
        <v>34</v>
      </c>
    </row>
    <row r="3" spans="12:16">
      <c r="N3" s="347"/>
      <c r="O3" s="347"/>
      <c r="P3" s="347"/>
    </row>
    <row r="4" spans="12:16">
      <c r="L4" s="453" t="s">
        <v>23</v>
      </c>
      <c r="M4" s="453" t="s">
        <v>20</v>
      </c>
      <c r="N4" s="448" t="s">
        <v>2681</v>
      </c>
      <c r="O4" s="448" t="s">
        <v>2682</v>
      </c>
      <c r="P4" s="448" t="s">
        <v>2683</v>
      </c>
    </row>
    <row r="5" spans="12:16">
      <c r="L5" s="448" t="s">
        <v>411</v>
      </c>
      <c r="M5" s="448" t="s">
        <v>3143</v>
      </c>
      <c r="N5" s="447">
        <v>5133</v>
      </c>
      <c r="O5" s="447">
        <v>3960</v>
      </c>
      <c r="P5" s="447">
        <v>5133</v>
      </c>
    </row>
    <row r="6" spans="12:16">
      <c r="M6" s="448" t="s">
        <v>3144</v>
      </c>
      <c r="N6" s="447">
        <v>5133</v>
      </c>
      <c r="O6" s="447">
        <v>4516</v>
      </c>
      <c r="P6" s="447">
        <v>5133</v>
      </c>
    </row>
    <row r="7" spans="12:16">
      <c r="M7" s="448" t="s">
        <v>3145</v>
      </c>
      <c r="N7" s="447">
        <v>5133</v>
      </c>
      <c r="O7" s="447">
        <v>4396</v>
      </c>
      <c r="P7" s="447">
        <v>5133</v>
      </c>
    </row>
    <row r="8" spans="12:16">
      <c r="M8" s="448" t="s">
        <v>3146</v>
      </c>
      <c r="N8" s="447">
        <v>3995</v>
      </c>
      <c r="O8" s="447">
        <v>4276</v>
      </c>
      <c r="P8" s="447">
        <v>5133</v>
      </c>
    </row>
    <row r="9" spans="12:16">
      <c r="L9" s="448" t="s">
        <v>3007</v>
      </c>
      <c r="M9" s="448"/>
      <c r="N9" s="447">
        <v>19394</v>
      </c>
      <c r="O9" s="447">
        <v>17148</v>
      </c>
      <c r="P9" s="447">
        <v>20532</v>
      </c>
    </row>
    <row r="10" spans="12:16">
      <c r="L10" s="448" t="s">
        <v>413</v>
      </c>
      <c r="M10" s="448" t="s">
        <v>3143</v>
      </c>
      <c r="N10" s="447">
        <v>2139</v>
      </c>
      <c r="O10" s="447">
        <v>2139</v>
      </c>
      <c r="P10" s="447">
        <v>2139</v>
      </c>
    </row>
    <row r="11" spans="12:16">
      <c r="M11" s="448" t="s">
        <v>3144</v>
      </c>
      <c r="N11" s="447">
        <v>2489</v>
      </c>
      <c r="O11" s="447">
        <v>2300</v>
      </c>
      <c r="P11" s="447">
        <v>2489</v>
      </c>
    </row>
    <row r="12" spans="12:16">
      <c r="M12" s="448" t="s">
        <v>3145</v>
      </c>
      <c r="N12" s="447">
        <v>2489</v>
      </c>
      <c r="O12" s="447">
        <v>2480</v>
      </c>
      <c r="P12" s="447">
        <v>2489</v>
      </c>
    </row>
    <row r="13" spans="12:16">
      <c r="M13" s="448" t="s">
        <v>3146</v>
      </c>
      <c r="N13" s="447">
        <v>2482.4499999999998</v>
      </c>
      <c r="O13" s="447">
        <v>2460</v>
      </c>
      <c r="P13" s="447">
        <v>2489</v>
      </c>
    </row>
    <row r="14" spans="12:16">
      <c r="L14" s="448" t="s">
        <v>3008</v>
      </c>
      <c r="M14" s="448"/>
      <c r="N14" s="447">
        <v>9599.4500000000007</v>
      </c>
      <c r="O14" s="447">
        <v>9379</v>
      </c>
      <c r="P14" s="447">
        <v>9606</v>
      </c>
    </row>
    <row r="15" spans="12:16">
      <c r="L15" s="448" t="s">
        <v>424</v>
      </c>
      <c r="M15" s="448" t="s">
        <v>3143</v>
      </c>
      <c r="N15" s="447">
        <v>4875</v>
      </c>
      <c r="O15" s="447">
        <v>4875</v>
      </c>
      <c r="P15" s="447">
        <v>4875</v>
      </c>
    </row>
    <row r="16" spans="12:16">
      <c r="M16" s="448" t="s">
        <v>3144</v>
      </c>
      <c r="N16" s="447">
        <v>5101</v>
      </c>
      <c r="O16" s="447">
        <v>4500</v>
      </c>
      <c r="P16" s="447">
        <v>5101</v>
      </c>
    </row>
    <row r="17" spans="12:16">
      <c r="M17" s="448" t="s">
        <v>3145</v>
      </c>
      <c r="N17" s="447">
        <v>5101</v>
      </c>
      <c r="O17" s="447">
        <v>4606</v>
      </c>
      <c r="P17" s="447">
        <v>5101</v>
      </c>
    </row>
    <row r="18" spans="12:16">
      <c r="M18" s="448" t="s">
        <v>3146</v>
      </c>
      <c r="N18" s="447">
        <v>2495.054347826087</v>
      </c>
      <c r="O18" s="447">
        <v>4806</v>
      </c>
      <c r="P18" s="447">
        <v>5101</v>
      </c>
    </row>
    <row r="19" spans="12:16">
      <c r="L19" s="448" t="s">
        <v>3009</v>
      </c>
      <c r="M19" s="448"/>
      <c r="N19" s="447">
        <v>17572.054347826088</v>
      </c>
      <c r="O19" s="447">
        <v>18787</v>
      </c>
      <c r="P19" s="447">
        <v>20178</v>
      </c>
    </row>
    <row r="20" spans="12:16">
      <c r="L20" s="448" t="s">
        <v>426</v>
      </c>
      <c r="M20" s="448" t="s">
        <v>3143</v>
      </c>
      <c r="N20" s="447">
        <v>7033</v>
      </c>
      <c r="O20" s="447">
        <v>5540</v>
      </c>
      <c r="P20" s="447">
        <v>7033</v>
      </c>
    </row>
    <row r="21" spans="12:16">
      <c r="M21" s="448" t="s">
        <v>3144</v>
      </c>
      <c r="N21" s="447">
        <v>8630.7340267459131</v>
      </c>
      <c r="O21" s="447">
        <v>4800</v>
      </c>
      <c r="P21" s="447">
        <v>8728</v>
      </c>
    </row>
    <row r="22" spans="12:16">
      <c r="M22" s="448" t="s">
        <v>3145</v>
      </c>
      <c r="N22" s="447">
        <v>8728</v>
      </c>
      <c r="O22" s="447">
        <v>5933</v>
      </c>
      <c r="P22" s="447">
        <v>8728</v>
      </c>
    </row>
    <row r="23" spans="12:16">
      <c r="M23" s="448" t="s">
        <v>3146</v>
      </c>
      <c r="N23" s="447">
        <v>3209.7771173848441</v>
      </c>
      <c r="O23" s="447">
        <v>4553</v>
      </c>
      <c r="P23" s="447">
        <v>8728</v>
      </c>
    </row>
    <row r="24" spans="12:16">
      <c r="L24" s="448" t="s">
        <v>3010</v>
      </c>
      <c r="M24" s="448"/>
      <c r="N24" s="447">
        <v>27601.51114413076</v>
      </c>
      <c r="O24" s="447">
        <v>20826</v>
      </c>
      <c r="P24" s="447">
        <v>33217</v>
      </c>
    </row>
    <row r="25" spans="12:16">
      <c r="L25" s="448" t="s">
        <v>423</v>
      </c>
      <c r="M25" s="448" t="s">
        <v>3143</v>
      </c>
      <c r="N25" s="447">
        <v>11056</v>
      </c>
      <c r="O25" s="447">
        <v>9068</v>
      </c>
      <c r="P25" s="447">
        <v>11056</v>
      </c>
    </row>
    <row r="26" spans="12:16">
      <c r="M26" s="448" t="s">
        <v>3144</v>
      </c>
      <c r="N26" s="447">
        <v>11715</v>
      </c>
      <c r="O26" s="447">
        <v>8920</v>
      </c>
      <c r="P26" s="447">
        <v>11715</v>
      </c>
    </row>
    <row r="27" spans="12:16">
      <c r="M27" s="448" t="s">
        <v>3145</v>
      </c>
      <c r="N27" s="447">
        <v>11715</v>
      </c>
      <c r="O27" s="447">
        <v>11005</v>
      </c>
      <c r="P27" s="447">
        <v>11715</v>
      </c>
    </row>
    <row r="28" spans="12:16">
      <c r="M28" s="448" t="s">
        <v>3146</v>
      </c>
      <c r="N28" s="447">
        <v>11715</v>
      </c>
      <c r="O28" s="447">
        <v>10425</v>
      </c>
      <c r="P28" s="447">
        <v>11715</v>
      </c>
    </row>
    <row r="29" spans="12:16">
      <c r="L29" s="448" t="s">
        <v>3011</v>
      </c>
      <c r="M29" s="448"/>
      <c r="N29" s="447">
        <v>46201</v>
      </c>
      <c r="O29" s="447">
        <v>39418</v>
      </c>
      <c r="P29" s="447">
        <v>46201</v>
      </c>
    </row>
    <row r="30" spans="12:16">
      <c r="L30" s="448" t="s">
        <v>367</v>
      </c>
      <c r="M30" s="448" t="s">
        <v>3143</v>
      </c>
      <c r="N30" s="447">
        <v>1067</v>
      </c>
      <c r="O30" s="447">
        <v>1067</v>
      </c>
      <c r="P30" s="447">
        <v>1067</v>
      </c>
    </row>
    <row r="31" spans="12:16">
      <c r="M31" s="448" t="s">
        <v>3144</v>
      </c>
      <c r="N31" s="447">
        <v>1084</v>
      </c>
      <c r="O31" s="447">
        <v>1084</v>
      </c>
      <c r="P31" s="447">
        <v>1084</v>
      </c>
    </row>
    <row r="32" spans="12:16">
      <c r="M32" s="448" t="s">
        <v>3145</v>
      </c>
      <c r="N32" s="447">
        <v>1086</v>
      </c>
      <c r="O32" s="447">
        <v>1086</v>
      </c>
      <c r="P32" s="447">
        <v>1086</v>
      </c>
    </row>
    <row r="33" spans="12:16">
      <c r="M33" s="448" t="s">
        <v>3146</v>
      </c>
      <c r="N33" s="447">
        <v>1086</v>
      </c>
      <c r="O33" s="447">
        <v>1086</v>
      </c>
      <c r="P33" s="447">
        <v>1086</v>
      </c>
    </row>
    <row r="34" spans="12:16">
      <c r="L34" s="448" t="s">
        <v>3012</v>
      </c>
      <c r="M34" s="448"/>
      <c r="N34" s="447">
        <v>4323</v>
      </c>
      <c r="O34" s="447">
        <v>4323</v>
      </c>
      <c r="P34" s="447">
        <v>4323</v>
      </c>
    </row>
    <row r="35" spans="12:16">
      <c r="L35" s="448" t="s">
        <v>409</v>
      </c>
      <c r="M35" s="448" t="s">
        <v>3143</v>
      </c>
      <c r="N35" s="447">
        <v>6674</v>
      </c>
      <c r="O35" s="447">
        <v>4669</v>
      </c>
      <c r="P35" s="447">
        <v>6674</v>
      </c>
    </row>
    <row r="36" spans="12:16">
      <c r="M36" s="448" t="s">
        <v>3144</v>
      </c>
      <c r="N36" s="447">
        <v>6680</v>
      </c>
      <c r="O36" s="447">
        <v>5074</v>
      </c>
      <c r="P36" s="447">
        <v>6680</v>
      </c>
    </row>
    <row r="37" spans="12:16">
      <c r="M37" s="448" t="s">
        <v>3145</v>
      </c>
      <c r="N37" s="447">
        <v>6680</v>
      </c>
      <c r="O37" s="447">
        <v>5074</v>
      </c>
      <c r="P37" s="447">
        <v>6680</v>
      </c>
    </row>
    <row r="38" spans="12:16">
      <c r="M38" s="448" t="s">
        <v>3146</v>
      </c>
      <c r="N38" s="447">
        <v>4954</v>
      </c>
      <c r="O38" s="447">
        <v>5074</v>
      </c>
      <c r="P38" s="447">
        <v>6680</v>
      </c>
    </row>
    <row r="39" spans="12:16">
      <c r="L39" s="448" t="s">
        <v>3013</v>
      </c>
      <c r="M39" s="448"/>
      <c r="N39" s="447">
        <v>24988</v>
      </c>
      <c r="O39" s="447">
        <v>19891</v>
      </c>
      <c r="P39" s="447">
        <v>26714</v>
      </c>
    </row>
    <row r="40" spans="12:16">
      <c r="L40" s="448" t="s">
        <v>430</v>
      </c>
      <c r="M40" s="448" t="s">
        <v>3143</v>
      </c>
      <c r="N40" s="447">
        <v>0</v>
      </c>
      <c r="O40" s="447">
        <v>3486</v>
      </c>
      <c r="P40" s="447">
        <v>3486</v>
      </c>
    </row>
    <row r="41" spans="12:16">
      <c r="M41" s="448" t="s">
        <v>3144</v>
      </c>
      <c r="N41" s="447">
        <v>3486</v>
      </c>
      <c r="O41" s="447">
        <v>2922</v>
      </c>
      <c r="P41" s="447">
        <v>3486</v>
      </c>
    </row>
    <row r="42" spans="12:16">
      <c r="M42" s="448" t="s">
        <v>3145</v>
      </c>
      <c r="N42" s="447">
        <v>3486</v>
      </c>
      <c r="O42" s="447">
        <v>3486</v>
      </c>
      <c r="P42" s="447">
        <v>3486</v>
      </c>
    </row>
    <row r="43" spans="12:16">
      <c r="M43" s="448" t="s">
        <v>3146</v>
      </c>
      <c r="N43" s="447">
        <v>3486</v>
      </c>
      <c r="O43" s="447">
        <v>3362</v>
      </c>
      <c r="P43" s="447">
        <v>3486</v>
      </c>
    </row>
    <row r="44" spans="12:16">
      <c r="L44" s="448" t="s">
        <v>3014</v>
      </c>
      <c r="M44" s="448"/>
      <c r="N44" s="447">
        <v>10458</v>
      </c>
      <c r="O44" s="447">
        <v>13256</v>
      </c>
      <c r="P44" s="447">
        <v>13944</v>
      </c>
    </row>
    <row r="45" spans="12:16">
      <c r="L45" s="448" t="s">
        <v>405</v>
      </c>
      <c r="M45" s="448" t="s">
        <v>3143</v>
      </c>
      <c r="N45" s="447">
        <v>5024</v>
      </c>
      <c r="O45" s="447">
        <v>3040</v>
      </c>
      <c r="P45" s="447">
        <v>5024</v>
      </c>
    </row>
    <row r="46" spans="12:16">
      <c r="M46" s="448" t="s">
        <v>3144</v>
      </c>
      <c r="N46" s="447">
        <v>5024</v>
      </c>
      <c r="O46" s="447">
        <v>3687</v>
      </c>
      <c r="P46" s="447">
        <v>5024</v>
      </c>
    </row>
    <row r="47" spans="12:16">
      <c r="M47" s="448" t="s">
        <v>3145</v>
      </c>
      <c r="N47" s="447">
        <v>5024</v>
      </c>
      <c r="O47" s="447">
        <v>3807</v>
      </c>
      <c r="P47" s="447">
        <v>5024</v>
      </c>
    </row>
    <row r="48" spans="12:16">
      <c r="M48" s="448" t="s">
        <v>3146</v>
      </c>
      <c r="N48" s="447">
        <v>3757</v>
      </c>
      <c r="O48" s="447">
        <v>3727</v>
      </c>
      <c r="P48" s="447">
        <v>5024</v>
      </c>
    </row>
    <row r="49" spans="12:16">
      <c r="L49" s="448" t="s">
        <v>3015</v>
      </c>
      <c r="M49" s="448"/>
      <c r="N49" s="447">
        <v>18829</v>
      </c>
      <c r="O49" s="447">
        <v>14261</v>
      </c>
      <c r="P49" s="447">
        <v>20096</v>
      </c>
    </row>
    <row r="50" spans="12:16">
      <c r="L50" s="448" t="s">
        <v>406</v>
      </c>
      <c r="M50" s="448" t="s">
        <v>3143</v>
      </c>
      <c r="N50" s="447">
        <v>5137</v>
      </c>
      <c r="O50" s="447">
        <v>3720</v>
      </c>
      <c r="P50" s="447">
        <v>5137</v>
      </c>
    </row>
    <row r="51" spans="12:16">
      <c r="M51" s="448" t="s">
        <v>3144</v>
      </c>
      <c r="N51" s="447">
        <v>5137</v>
      </c>
      <c r="O51" s="447">
        <v>4031</v>
      </c>
      <c r="P51" s="447">
        <v>5137</v>
      </c>
    </row>
    <row r="52" spans="12:16">
      <c r="M52" s="448" t="s">
        <v>3145</v>
      </c>
      <c r="N52" s="447">
        <v>5137</v>
      </c>
      <c r="O52" s="447">
        <v>4631</v>
      </c>
      <c r="P52" s="447">
        <v>5137</v>
      </c>
    </row>
    <row r="53" spans="12:16">
      <c r="M53" s="448" t="s">
        <v>3146</v>
      </c>
      <c r="N53" s="447">
        <v>3872</v>
      </c>
      <c r="O53" s="447">
        <v>4731</v>
      </c>
      <c r="P53" s="447">
        <v>5137</v>
      </c>
    </row>
    <row r="54" spans="12:16">
      <c r="L54" s="448" t="s">
        <v>3016</v>
      </c>
      <c r="M54" s="448"/>
      <c r="N54" s="447">
        <v>19283</v>
      </c>
      <c r="O54" s="447">
        <v>17113</v>
      </c>
      <c r="P54" s="447">
        <v>20548</v>
      </c>
    </row>
    <row r="55" spans="12:16">
      <c r="L55" s="448" t="s">
        <v>440</v>
      </c>
      <c r="M55" s="448" t="s">
        <v>3143</v>
      </c>
      <c r="N55" s="447">
        <v>0</v>
      </c>
      <c r="O55" s="447">
        <v>2819</v>
      </c>
      <c r="P55" s="447">
        <v>3095</v>
      </c>
    </row>
    <row r="56" spans="12:16">
      <c r="M56" s="448" t="s">
        <v>3144</v>
      </c>
      <c r="N56" s="447">
        <v>3095</v>
      </c>
      <c r="O56" s="447">
        <v>3095</v>
      </c>
      <c r="P56" s="447">
        <v>3095</v>
      </c>
    </row>
    <row r="57" spans="12:16">
      <c r="M57" s="448" t="s">
        <v>3145</v>
      </c>
      <c r="N57" s="447">
        <v>3095</v>
      </c>
      <c r="O57" s="447">
        <v>3095</v>
      </c>
      <c r="P57" s="447">
        <v>3095</v>
      </c>
    </row>
    <row r="58" spans="12:16">
      <c r="M58" s="448" t="s">
        <v>3146</v>
      </c>
      <c r="N58" s="447">
        <v>3095</v>
      </c>
      <c r="O58" s="447">
        <v>3095</v>
      </c>
      <c r="P58" s="447">
        <v>3095</v>
      </c>
    </row>
    <row r="59" spans="12:16">
      <c r="L59" s="448" t="s">
        <v>3017</v>
      </c>
      <c r="M59" s="448"/>
      <c r="N59" s="447">
        <v>9285</v>
      </c>
      <c r="O59" s="447">
        <v>12104</v>
      </c>
      <c r="P59" s="447">
        <v>12380</v>
      </c>
    </row>
    <row r="60" spans="12:16">
      <c r="L60" s="448" t="s">
        <v>431</v>
      </c>
      <c r="M60" s="448" t="s">
        <v>3143</v>
      </c>
      <c r="N60" s="447">
        <v>0</v>
      </c>
      <c r="O60" s="447">
        <v>11440</v>
      </c>
      <c r="P60" s="447">
        <v>13302</v>
      </c>
    </row>
    <row r="61" spans="12:16">
      <c r="M61" s="448" t="s">
        <v>3144</v>
      </c>
      <c r="N61" s="447">
        <v>13302</v>
      </c>
      <c r="O61" s="447">
        <v>12960</v>
      </c>
      <c r="P61" s="447">
        <v>13302</v>
      </c>
    </row>
    <row r="62" spans="12:16">
      <c r="M62" s="448" t="s">
        <v>3145</v>
      </c>
      <c r="N62" s="447">
        <v>13302</v>
      </c>
      <c r="O62" s="447">
        <v>12760</v>
      </c>
      <c r="P62" s="447">
        <v>13302</v>
      </c>
    </row>
    <row r="63" spans="12:16">
      <c r="M63" s="448" t="s">
        <v>3146</v>
      </c>
      <c r="N63" s="447">
        <v>13302</v>
      </c>
      <c r="O63" s="447">
        <v>9540</v>
      </c>
      <c r="P63" s="447">
        <v>13302</v>
      </c>
    </row>
    <row r="64" spans="12:16">
      <c r="L64" s="448" t="s">
        <v>3018</v>
      </c>
      <c r="M64" s="448"/>
      <c r="N64" s="447">
        <v>39906</v>
      </c>
      <c r="O64" s="447">
        <v>46700</v>
      </c>
      <c r="P64" s="447">
        <v>53208</v>
      </c>
    </row>
    <row r="65" spans="12:16">
      <c r="L65" s="448" t="s">
        <v>429</v>
      </c>
      <c r="M65" s="448" t="s">
        <v>3143</v>
      </c>
      <c r="N65" s="447">
        <v>0</v>
      </c>
      <c r="O65" s="447">
        <v>11478</v>
      </c>
      <c r="P65" s="447">
        <v>11478</v>
      </c>
    </row>
    <row r="66" spans="12:16">
      <c r="M66" s="448" t="s">
        <v>3144</v>
      </c>
      <c r="N66" s="447">
        <v>12495</v>
      </c>
      <c r="O66" s="447">
        <v>12495</v>
      </c>
      <c r="P66" s="447">
        <v>12495</v>
      </c>
    </row>
    <row r="67" spans="12:16">
      <c r="M67" s="448" t="s">
        <v>3145</v>
      </c>
      <c r="N67" s="447">
        <v>6811</v>
      </c>
      <c r="O67" s="447">
        <v>12495</v>
      </c>
      <c r="P67" s="447">
        <v>12495</v>
      </c>
    </row>
    <row r="68" spans="12:16">
      <c r="M68" s="448" t="s">
        <v>3146</v>
      </c>
      <c r="N68" s="447">
        <v>12495</v>
      </c>
      <c r="O68" s="447">
        <v>12495</v>
      </c>
      <c r="P68" s="447">
        <v>12495</v>
      </c>
    </row>
    <row r="69" spans="12:16">
      <c r="L69" s="448" t="s">
        <v>2893</v>
      </c>
      <c r="M69" s="448"/>
      <c r="N69" s="447">
        <v>31801</v>
      </c>
      <c r="O69" s="447">
        <v>48963</v>
      </c>
      <c r="P69" s="447">
        <v>48963</v>
      </c>
    </row>
    <row r="70" spans="12:16">
      <c r="L70" s="448" t="s">
        <v>438</v>
      </c>
      <c r="M70" s="448" t="s">
        <v>3143</v>
      </c>
      <c r="N70" s="447">
        <v>0</v>
      </c>
      <c r="O70" s="447">
        <v>8891</v>
      </c>
      <c r="P70" s="447">
        <v>11564</v>
      </c>
    </row>
    <row r="71" spans="12:16">
      <c r="M71" s="448" t="s">
        <v>3144</v>
      </c>
      <c r="N71" s="447">
        <v>11564</v>
      </c>
      <c r="O71" s="447">
        <v>9871</v>
      </c>
      <c r="P71" s="447">
        <v>11564</v>
      </c>
    </row>
    <row r="72" spans="12:16">
      <c r="M72" s="448" t="s">
        <v>3145</v>
      </c>
      <c r="N72" s="447">
        <v>11564</v>
      </c>
      <c r="O72" s="447">
        <v>9851</v>
      </c>
      <c r="P72" s="447">
        <v>11564</v>
      </c>
    </row>
    <row r="73" spans="12:16">
      <c r="M73" s="448" t="s">
        <v>3146</v>
      </c>
      <c r="N73" s="447">
        <v>11564</v>
      </c>
      <c r="O73" s="447">
        <v>9711</v>
      </c>
      <c r="P73" s="447">
        <v>11564</v>
      </c>
    </row>
    <row r="74" spans="12:16">
      <c r="L74" s="448" t="s">
        <v>3019</v>
      </c>
      <c r="M74" s="448"/>
      <c r="N74" s="447">
        <v>34692</v>
      </c>
      <c r="O74" s="447">
        <v>38324</v>
      </c>
      <c r="P74" s="447">
        <v>46256</v>
      </c>
    </row>
    <row r="75" spans="12:16">
      <c r="L75" s="448" t="s">
        <v>404</v>
      </c>
      <c r="M75" s="448" t="s">
        <v>3143</v>
      </c>
      <c r="N75" s="447">
        <v>2516</v>
      </c>
      <c r="O75" s="447">
        <v>2516</v>
      </c>
      <c r="P75" s="447">
        <v>2516</v>
      </c>
    </row>
    <row r="76" spans="12:16">
      <c r="M76" s="448" t="s">
        <v>3144</v>
      </c>
      <c r="N76" s="447">
        <v>2861</v>
      </c>
      <c r="O76" s="447">
        <v>2861</v>
      </c>
      <c r="P76" s="447">
        <v>2861</v>
      </c>
    </row>
    <row r="77" spans="12:16">
      <c r="M77" s="448" t="s">
        <v>3145</v>
      </c>
      <c r="N77" s="447">
        <v>1184</v>
      </c>
      <c r="O77" s="447">
        <v>2861</v>
      </c>
      <c r="P77" s="447">
        <v>2000</v>
      </c>
    </row>
    <row r="78" spans="12:16">
      <c r="M78" s="448" t="s">
        <v>3146</v>
      </c>
      <c r="N78" s="447">
        <v>2861</v>
      </c>
      <c r="O78" s="447">
        <v>2861</v>
      </c>
      <c r="P78" s="447">
        <v>2000</v>
      </c>
    </row>
    <row r="79" spans="12:16">
      <c r="L79" s="448" t="s">
        <v>3006</v>
      </c>
      <c r="M79" s="448"/>
      <c r="N79" s="447">
        <v>9422</v>
      </c>
      <c r="O79" s="447">
        <v>11099</v>
      </c>
      <c r="P79" s="447">
        <v>9377</v>
      </c>
    </row>
    <row r="80" spans="12:16">
      <c r="L80" s="448" t="s">
        <v>399</v>
      </c>
      <c r="M80" s="448" t="s">
        <v>3143</v>
      </c>
      <c r="N80" s="447">
        <v>0</v>
      </c>
      <c r="O80" s="447">
        <v>2920</v>
      </c>
      <c r="P80" s="447">
        <v>1500.0000000000002</v>
      </c>
    </row>
    <row r="81" spans="12:16">
      <c r="M81" s="448" t="s">
        <v>3144</v>
      </c>
      <c r="N81" s="447">
        <v>0</v>
      </c>
      <c r="O81" s="447">
        <v>2920</v>
      </c>
      <c r="P81" s="447">
        <v>1500.0000000000002</v>
      </c>
    </row>
    <row r="82" spans="12:16">
      <c r="M82" s="448" t="s">
        <v>3145</v>
      </c>
      <c r="N82" s="447">
        <v>0</v>
      </c>
      <c r="O82" s="447">
        <v>2920</v>
      </c>
      <c r="P82" s="447">
        <v>1500.0000000000002</v>
      </c>
    </row>
    <row r="83" spans="12:16">
      <c r="M83" s="448" t="s">
        <v>3146</v>
      </c>
      <c r="N83" s="447">
        <v>0</v>
      </c>
      <c r="O83" s="447">
        <v>2920</v>
      </c>
      <c r="P83" s="447">
        <v>1500.0000000000002</v>
      </c>
    </row>
    <row r="84" spans="12:16">
      <c r="L84" s="448" t="s">
        <v>3020</v>
      </c>
      <c r="M84" s="448"/>
      <c r="N84" s="447">
        <v>0</v>
      </c>
      <c r="O84" s="447">
        <v>11680</v>
      </c>
      <c r="P84" s="447">
        <v>6000.0000000000009</v>
      </c>
    </row>
    <row r="85" spans="12:16">
      <c r="L85" s="448" t="s">
        <v>421</v>
      </c>
      <c r="M85" s="448" t="s">
        <v>3143</v>
      </c>
      <c r="N85" s="447">
        <v>0</v>
      </c>
      <c r="O85" s="447">
        <v>4386</v>
      </c>
      <c r="P85" s="447">
        <v>6016</v>
      </c>
    </row>
    <row r="86" spans="12:16">
      <c r="M86" s="448" t="s">
        <v>3144</v>
      </c>
      <c r="N86" s="447">
        <v>6016</v>
      </c>
      <c r="O86" s="447">
        <v>4440</v>
      </c>
      <c r="P86" s="447">
        <v>6016</v>
      </c>
    </row>
    <row r="87" spans="12:16">
      <c r="M87" s="448" t="s">
        <v>3145</v>
      </c>
      <c r="N87" s="447">
        <v>7167.0618253189405</v>
      </c>
      <c r="O87" s="447">
        <v>5153</v>
      </c>
      <c r="P87" s="447">
        <v>9500</v>
      </c>
    </row>
    <row r="88" spans="12:16">
      <c r="M88" s="448" t="s">
        <v>3146</v>
      </c>
      <c r="N88" s="447">
        <v>7147.9666339548576</v>
      </c>
      <c r="O88" s="447">
        <v>5333</v>
      </c>
      <c r="P88" s="447">
        <v>7999.9999999999991</v>
      </c>
    </row>
    <row r="89" spans="12:16">
      <c r="L89" s="448" t="s">
        <v>3021</v>
      </c>
      <c r="M89" s="448"/>
      <c r="N89" s="447">
        <v>20331.028459273799</v>
      </c>
      <c r="O89" s="447">
        <v>19312</v>
      </c>
      <c r="P89" s="447">
        <v>29532</v>
      </c>
    </row>
    <row r="90" spans="12:16">
      <c r="L90" s="448" t="s">
        <v>425</v>
      </c>
      <c r="M90" s="448" t="s">
        <v>3143</v>
      </c>
      <c r="N90" s="447">
        <v>0</v>
      </c>
      <c r="O90" s="447">
        <v>4958</v>
      </c>
      <c r="P90" s="447">
        <v>5950</v>
      </c>
    </row>
    <row r="91" spans="12:16">
      <c r="M91" s="448" t="s">
        <v>3144</v>
      </c>
      <c r="N91" s="447">
        <v>5950</v>
      </c>
      <c r="O91" s="447">
        <v>5578</v>
      </c>
      <c r="P91" s="447">
        <v>5950</v>
      </c>
    </row>
    <row r="92" spans="12:16">
      <c r="M92" s="448" t="s">
        <v>3145</v>
      </c>
      <c r="N92" s="447">
        <v>5950</v>
      </c>
      <c r="O92" s="447">
        <v>5058</v>
      </c>
      <c r="P92" s="447">
        <v>5950</v>
      </c>
    </row>
    <row r="93" spans="12:16">
      <c r="M93" s="448" t="s">
        <v>3146</v>
      </c>
      <c r="N93" s="447">
        <v>5950</v>
      </c>
      <c r="O93" s="447">
        <v>4078</v>
      </c>
      <c r="P93" s="447">
        <v>5950</v>
      </c>
    </row>
    <row r="94" spans="12:16">
      <c r="L94" s="448" t="s">
        <v>3022</v>
      </c>
      <c r="M94" s="448"/>
      <c r="N94" s="447">
        <v>17850</v>
      </c>
      <c r="O94" s="447">
        <v>19672</v>
      </c>
      <c r="P94" s="447">
        <v>23800</v>
      </c>
    </row>
    <row r="95" spans="12:16">
      <c r="L95" s="448" t="s">
        <v>2272</v>
      </c>
      <c r="M95" s="448" t="s">
        <v>3143</v>
      </c>
      <c r="N95" s="447">
        <v>0</v>
      </c>
      <c r="O95" s="447">
        <v>2186</v>
      </c>
      <c r="P95" s="447">
        <v>2186</v>
      </c>
    </row>
    <row r="96" spans="12:16">
      <c r="M96" s="448" t="s">
        <v>3144</v>
      </c>
      <c r="N96" s="447">
        <v>2262</v>
      </c>
      <c r="O96" s="447">
        <v>1820</v>
      </c>
      <c r="P96" s="447">
        <v>2262</v>
      </c>
    </row>
    <row r="97" spans="12:16">
      <c r="M97" s="448" t="s">
        <v>3145</v>
      </c>
      <c r="N97" s="447">
        <v>2262</v>
      </c>
      <c r="O97" s="447">
        <v>2238</v>
      </c>
      <c r="P97" s="447">
        <v>2262</v>
      </c>
    </row>
    <row r="98" spans="12:16">
      <c r="M98" s="448" t="s">
        <v>3146</v>
      </c>
      <c r="N98" s="447">
        <v>2262</v>
      </c>
      <c r="O98" s="447">
        <v>1778</v>
      </c>
      <c r="P98" s="447">
        <v>2262</v>
      </c>
    </row>
    <row r="99" spans="12:16">
      <c r="L99" s="448" t="s">
        <v>3023</v>
      </c>
      <c r="M99" s="448"/>
      <c r="N99" s="447">
        <v>6786</v>
      </c>
      <c r="O99" s="447">
        <v>8022</v>
      </c>
      <c r="P99" s="447">
        <v>8972</v>
      </c>
    </row>
    <row r="100" spans="12:16">
      <c r="L100" s="448" t="s">
        <v>2271</v>
      </c>
      <c r="M100" s="448" t="s">
        <v>3143</v>
      </c>
      <c r="N100" s="447">
        <v>0</v>
      </c>
      <c r="O100" s="447">
        <v>2248</v>
      </c>
      <c r="P100" s="447">
        <v>2248</v>
      </c>
    </row>
    <row r="101" spans="12:16">
      <c r="M101" s="448" t="s">
        <v>3144</v>
      </c>
      <c r="N101" s="447">
        <v>2203.04</v>
      </c>
      <c r="O101" s="447">
        <v>1989</v>
      </c>
      <c r="P101" s="447">
        <v>2248</v>
      </c>
    </row>
    <row r="102" spans="12:16">
      <c r="M102" s="448" t="s">
        <v>3145</v>
      </c>
      <c r="N102" s="447">
        <v>2248</v>
      </c>
      <c r="O102" s="447">
        <v>1969</v>
      </c>
      <c r="P102" s="447">
        <v>2248</v>
      </c>
    </row>
    <row r="103" spans="12:16">
      <c r="M103" s="448" t="s">
        <v>3146</v>
      </c>
      <c r="N103" s="447">
        <v>2248</v>
      </c>
      <c r="O103" s="447">
        <v>2129</v>
      </c>
      <c r="P103" s="447">
        <v>2248</v>
      </c>
    </row>
    <row r="104" spans="12:16">
      <c r="L104" s="448" t="s">
        <v>3024</v>
      </c>
      <c r="M104" s="448"/>
      <c r="N104" s="447">
        <v>6699.04</v>
      </c>
      <c r="O104" s="447">
        <v>8335</v>
      </c>
      <c r="P104" s="447">
        <v>8992</v>
      </c>
    </row>
    <row r="105" spans="12:16">
      <c r="L105" s="448" t="s">
        <v>2273</v>
      </c>
      <c r="M105" s="448" t="s">
        <v>3143</v>
      </c>
      <c r="N105" s="447">
        <v>0</v>
      </c>
      <c r="O105" s="447">
        <v>2446</v>
      </c>
      <c r="P105" s="447">
        <v>2446</v>
      </c>
    </row>
    <row r="106" spans="12:16">
      <c r="M106" s="448" t="s">
        <v>3144</v>
      </c>
      <c r="N106" s="447">
        <v>2698</v>
      </c>
      <c r="O106" s="447">
        <v>2698</v>
      </c>
      <c r="P106" s="447">
        <v>2698</v>
      </c>
    </row>
    <row r="107" spans="12:16">
      <c r="M107" s="448" t="s">
        <v>3145</v>
      </c>
      <c r="N107" s="447">
        <v>1446</v>
      </c>
      <c r="O107" s="447">
        <v>2698</v>
      </c>
      <c r="P107" s="447">
        <v>2698</v>
      </c>
    </row>
    <row r="108" spans="12:16">
      <c r="M108" s="448" t="s">
        <v>3146</v>
      </c>
      <c r="N108" s="447">
        <v>2698</v>
      </c>
      <c r="O108" s="447">
        <v>2698</v>
      </c>
      <c r="P108" s="447">
        <v>2698</v>
      </c>
    </row>
    <row r="109" spans="12:16">
      <c r="L109" s="448" t="s">
        <v>2894</v>
      </c>
      <c r="M109" s="448"/>
      <c r="N109" s="447">
        <v>6842</v>
      </c>
      <c r="O109" s="447">
        <v>10540</v>
      </c>
      <c r="P109" s="447">
        <v>10540</v>
      </c>
    </row>
    <row r="110" spans="12:16">
      <c r="L110" s="448" t="s">
        <v>1621</v>
      </c>
      <c r="N110" s="447">
        <v>381863.08395123063</v>
      </c>
      <c r="O110" s="447">
        <v>409153</v>
      </c>
      <c r="P110" s="447">
        <v>473379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B4" workbookViewId="0">
      <selection activeCell="A11" sqref="A11"/>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3143</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3144</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3145</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3146</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2623</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2623</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2623</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48" t="s">
        <v>2620</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48" t="s">
        <v>2482</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49" t="s">
        <v>2788</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3" t="s">
        <v>2662</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50"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9"/>
  <sheetViews>
    <sheetView workbookViewId="0">
      <selection activeCell="A4" sqref="A4:B9"/>
    </sheetView>
  </sheetViews>
  <sheetFormatPr defaultRowHeight="15.5"/>
  <cols>
    <col min="1" max="1" width="18.58203125" bestFit="1" customWidth="1"/>
    <col min="3" max="3" width="27.33203125" bestFit="1" customWidth="1"/>
  </cols>
  <sheetData>
    <row r="3" spans="1:3">
      <c r="A3" s="453" t="s">
        <v>21</v>
      </c>
      <c r="B3" s="453" t="s">
        <v>2281</v>
      </c>
      <c r="C3" s="453" t="s">
        <v>2283</v>
      </c>
    </row>
    <row r="4" spans="1:3">
      <c r="A4" s="448" t="s">
        <v>293</v>
      </c>
      <c r="B4" s="448" t="s">
        <v>2256</v>
      </c>
      <c r="C4" s="448" t="s">
        <v>2256</v>
      </c>
    </row>
    <row r="5" spans="1:3">
      <c r="A5" s="448" t="s">
        <v>293</v>
      </c>
      <c r="B5" s="448" t="s">
        <v>2269</v>
      </c>
      <c r="C5" s="448" t="s">
        <v>2269</v>
      </c>
    </row>
    <row r="6" spans="1:3">
      <c r="A6" s="448" t="s">
        <v>293</v>
      </c>
      <c r="B6" s="448" t="s">
        <v>2270</v>
      </c>
      <c r="C6" s="448" t="s">
        <v>2270</v>
      </c>
    </row>
    <row r="7" spans="1:3">
      <c r="A7" s="448" t="s">
        <v>293</v>
      </c>
      <c r="B7" s="448" t="s">
        <v>397</v>
      </c>
      <c r="C7" s="448" t="s">
        <v>397</v>
      </c>
    </row>
    <row r="8" spans="1:3">
      <c r="A8" s="448" t="s">
        <v>293</v>
      </c>
      <c r="B8" s="448" t="s">
        <v>286</v>
      </c>
      <c r="C8" s="448" t="s">
        <v>286</v>
      </c>
    </row>
    <row r="9" spans="1:3">
      <c r="A9" s="448" t="s">
        <v>293</v>
      </c>
      <c r="B9" s="448" t="s">
        <v>265</v>
      </c>
      <c r="C9" s="448" t="s">
        <v>265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E402-CA98-49D7-842E-08929171B8A5}">
  <dimension ref="A3:B8"/>
  <sheetViews>
    <sheetView tabSelected="1" workbookViewId="0">
      <selection activeCell="G10" sqref="G10"/>
    </sheetView>
  </sheetViews>
  <sheetFormatPr defaultRowHeight="15.5"/>
  <cols>
    <col min="1" max="1" width="12.83203125" bestFit="1" customWidth="1"/>
    <col min="2" max="2" width="40.9140625" bestFit="1" customWidth="1"/>
  </cols>
  <sheetData>
    <row r="3" spans="1:2">
      <c r="A3" s="453" t="s">
        <v>1619</v>
      </c>
      <c r="B3" t="s">
        <v>3232</v>
      </c>
    </row>
    <row r="4" spans="1:2">
      <c r="A4" s="736" t="s">
        <v>3143</v>
      </c>
      <c r="B4" s="447">
        <v>6</v>
      </c>
    </row>
    <row r="5" spans="1:2">
      <c r="A5" s="736" t="s">
        <v>3144</v>
      </c>
      <c r="B5" s="447">
        <v>6</v>
      </c>
    </row>
    <row r="6" spans="1:2">
      <c r="A6" s="736" t="s">
        <v>3145</v>
      </c>
      <c r="B6" s="447">
        <v>6</v>
      </c>
    </row>
    <row r="7" spans="1:2">
      <c r="A7" s="736" t="s">
        <v>3146</v>
      </c>
      <c r="B7" s="447">
        <v>6</v>
      </c>
    </row>
    <row r="8" spans="1:2">
      <c r="A8" s="736" t="s">
        <v>1621</v>
      </c>
      <c r="B8" s="447">
        <v>6</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DW94"/>
  <sheetViews>
    <sheetView zoomScale="90" zoomScaleNormal="90" zoomScaleSheetLayoutView="40" workbookViewId="0">
      <pane xSplit="8" ySplit="6" topLeftCell="I7" activePane="bottomRight" state="frozen"/>
      <selection pane="topRight" activeCell="I1" sqref="I1"/>
      <selection pane="bottomLeft" activeCell="A7" sqref="A7"/>
      <selection pane="bottomRight" activeCell="C10" sqref="C10"/>
    </sheetView>
  </sheetViews>
  <sheetFormatPr defaultColWidth="9" defaultRowHeight="15.5" outlineLevelCol="1"/>
  <cols>
    <col min="1" max="1" width="9.08203125" style="34" customWidth="1"/>
    <col min="2" max="2" width="8.9140625" style="34" customWidth="1"/>
    <col min="3" max="3" width="10.33203125" style="20" customWidth="1"/>
    <col min="4" max="4" width="15.33203125" style="20" bestFit="1" customWidth="1"/>
    <col min="5" max="5" width="12.58203125" style="20" customWidth="1"/>
    <col min="6" max="6" width="10.08203125" style="20" customWidth="1"/>
    <col min="7" max="7" width="4.6640625" style="20" customWidth="1"/>
    <col min="8" max="8" width="18.33203125" style="20" customWidth="1"/>
    <col min="9" max="9" width="7.6640625" style="20" customWidth="1"/>
    <col min="10" max="11" width="8.5" style="38" customWidth="1"/>
    <col min="12" max="12" width="14.83203125" style="20" customWidth="1"/>
    <col min="13" max="13" width="17.6640625" customWidth="1"/>
    <col min="14" max="14" width="16.83203125" customWidth="1"/>
    <col min="15" max="16" width="16.5" customWidth="1"/>
    <col min="17" max="18" width="16.5" style="448" customWidth="1"/>
    <col min="19" max="19" width="16.6640625" style="31" customWidth="1"/>
    <col min="20" max="20" width="18.1640625" style="31" customWidth="1"/>
    <col min="21" max="21" width="13.08203125" style="31" customWidth="1"/>
    <col min="22" max="22" width="14.58203125" style="31" customWidth="1"/>
    <col min="23" max="25" width="13.08203125" style="31" customWidth="1"/>
    <col min="26" max="26" width="17.4140625" style="31" customWidth="1"/>
    <col min="27" max="27" width="13.08203125" style="31" customWidth="1"/>
    <col min="28" max="28" width="20.08203125" style="31" customWidth="1"/>
    <col min="29" max="29" width="16.1640625" style="20" customWidth="1"/>
    <col min="30" max="30" width="14.83203125" style="32" customWidth="1"/>
    <col min="31" max="31" width="13.1640625" style="32" customWidth="1"/>
    <col min="32" max="32" width="13.08203125" style="33" customWidth="1"/>
    <col min="33" max="34" width="17.58203125" style="20" customWidth="1"/>
    <col min="35" max="35" width="17.58203125" style="33" customWidth="1"/>
    <col min="36" max="36" width="13.08203125" style="33" customWidth="1"/>
    <col min="37" max="37" width="15.58203125" style="33" customWidth="1"/>
    <col min="38" max="39" width="13.08203125" style="33" customWidth="1"/>
    <col min="40" max="40" width="16.83203125" style="35" customWidth="1"/>
    <col min="41" max="41" width="21.6640625" style="35" customWidth="1"/>
    <col min="42" max="42" width="12.33203125" style="35" customWidth="1"/>
    <col min="43" max="43" width="13.08203125" style="35" customWidth="1"/>
    <col min="44" max="44" width="15" style="35" customWidth="1"/>
    <col min="45" max="45" width="16.33203125" style="35" customWidth="1"/>
    <col min="46" max="46" width="15.5" style="35" customWidth="1"/>
    <col min="47" max="47" width="15.6640625" style="35" customWidth="1"/>
    <col min="48" max="49" width="13.08203125" style="35" customWidth="1"/>
    <col min="50" max="50" width="13.08203125" style="32" customWidth="1"/>
    <col min="51" max="51" width="26.6640625" customWidth="1"/>
    <col min="52" max="52" width="15.6640625" style="35" customWidth="1"/>
    <col min="53" max="53" width="16.6640625" style="35" customWidth="1"/>
    <col min="54" max="54" width="15.33203125" style="35" customWidth="1"/>
    <col min="55" max="56" width="13.08203125" style="35" customWidth="1"/>
    <col min="57" max="63" width="15.58203125" style="35" customWidth="1"/>
    <col min="64" max="65" width="13.08203125" style="35" customWidth="1" outlineLevel="1"/>
    <col min="66" max="66" width="11.08203125" style="35" customWidth="1" outlineLevel="1"/>
    <col min="67" max="67" width="15.5" customWidth="1" outlineLevel="1"/>
    <col min="68" max="68" width="20.33203125" style="33" customWidth="1" outlineLevel="1"/>
    <col min="69" max="69" width="13.1640625" style="31" customWidth="1" outlineLevel="1"/>
    <col min="70" max="70" width="18.83203125" style="31" customWidth="1" outlineLevel="1"/>
    <col min="71" max="71" width="13.08203125" style="33" customWidth="1" outlineLevel="1"/>
    <col min="72" max="72" width="14" style="31" customWidth="1" outlineLevel="1"/>
    <col min="73" max="73" width="15.5" style="31" customWidth="1" outlineLevel="1"/>
    <col min="74" max="74" width="18.33203125" style="33" customWidth="1" outlineLevel="1"/>
    <col min="75" max="76" width="18.1640625" style="33" customWidth="1" outlineLevel="1"/>
    <col min="77" max="78" width="15.58203125" style="33" customWidth="1" outlineLevel="1"/>
    <col min="79" max="79" width="12.6640625" style="33" customWidth="1" outlineLevel="1"/>
    <col min="80" max="80" width="19.1640625" style="33" customWidth="1" outlineLevel="1"/>
    <col min="81" max="81" width="9" customWidth="1" outlineLevel="1"/>
    <col min="82" max="82" width="12.08203125" style="32" customWidth="1" outlineLevel="1"/>
    <col min="83" max="84" width="15.1640625" style="33" customWidth="1" outlineLevel="1"/>
    <col min="85" max="85" width="18" customWidth="1" outlineLevel="1"/>
    <col min="86" max="86" width="16.33203125" style="33" customWidth="1" outlineLevel="1"/>
    <col min="87" max="87" width="13.1640625" style="33" customWidth="1" outlineLevel="1"/>
    <col min="88" max="88" width="12" style="33" customWidth="1" outlineLevel="1"/>
    <col min="89" max="89" width="15.5" style="33" customWidth="1" outlineLevel="1"/>
    <col min="90" max="90" width="15.33203125" style="33" customWidth="1" outlineLevel="1"/>
    <col min="91" max="91" width="14.1640625" style="33" customWidth="1" outlineLevel="1"/>
    <col min="92" max="92" width="11.83203125" style="33" customWidth="1" outlineLevel="1"/>
    <col min="93" max="93" width="17.83203125" customWidth="1" outlineLevel="1"/>
    <col min="94" max="94" width="17.83203125" style="448" customWidth="1" outlineLevel="1"/>
    <col min="95" max="96" width="22.58203125" style="448" customWidth="1" outlineLevel="1"/>
    <col min="97" max="97" width="18.9140625" style="448" customWidth="1" outlineLevel="1"/>
    <col min="98" max="99" width="16.33203125" style="347" customWidth="1"/>
    <col min="100" max="103" width="12" style="33" customWidth="1"/>
    <col min="104" max="104" width="11.6640625" customWidth="1"/>
    <col min="105" max="105" width="13.6640625" style="33" customWidth="1"/>
    <col min="106" max="106" width="10.4140625" style="33" customWidth="1"/>
    <col min="107" max="109" width="16.58203125" style="33" customWidth="1"/>
    <col min="110" max="110" width="22.6640625" style="35" customWidth="1"/>
    <col min="111" max="112" width="12" style="31" customWidth="1"/>
    <col min="113" max="114" width="12" style="33" customWidth="1"/>
    <col min="116" max="116" width="15.33203125" style="33" customWidth="1"/>
    <col min="117" max="117" width="10.08203125" style="36" customWidth="1"/>
    <col min="118" max="118" width="12" style="36" customWidth="1"/>
    <col min="119" max="119" width="21.08203125" style="37" bestFit="1" customWidth="1"/>
    <col min="120" max="120" width="11.1640625" style="37" customWidth="1"/>
    <col min="121" max="121" width="13.6640625" style="37" customWidth="1"/>
    <col min="122" max="122" width="24.83203125" style="37" customWidth="1"/>
    <col min="123" max="123" width="9.08203125" style="37" customWidth="1"/>
    <col min="124" max="124" width="10.58203125" style="37" customWidth="1"/>
    <col min="125" max="125" width="15.33203125" style="37" customWidth="1"/>
    <col min="126" max="126" width="9.5" style="37" customWidth="1"/>
    <col min="127" max="127" width="14.5" style="37" customWidth="1"/>
    <col min="128" max="128" width="9" style="20" customWidth="1"/>
    <col min="129" max="16384" width="9" style="20"/>
  </cols>
  <sheetData>
    <row r="1" spans="1:115" s="19" customFormat="1" ht="16.5" customHeight="1" thickBot="1">
      <c r="A1" s="220"/>
      <c r="B1" s="1020" t="s">
        <v>3181</v>
      </c>
      <c r="C1" s="1021"/>
      <c r="D1" s="1022"/>
      <c r="E1" s="1023" t="s">
        <v>3182</v>
      </c>
      <c r="F1" s="1024"/>
      <c r="G1" s="1024"/>
      <c r="H1" s="1025"/>
      <c r="I1" s="215"/>
      <c r="J1" s="215"/>
      <c r="K1" s="737"/>
      <c r="L1" s="996" t="s">
        <v>3183</v>
      </c>
      <c r="M1" s="997"/>
      <c r="N1" s="68"/>
      <c r="O1" s="221" t="s">
        <v>1972</v>
      </c>
      <c r="P1" s="221"/>
      <c r="Q1" s="221"/>
      <c r="R1" s="221"/>
      <c r="S1" s="221"/>
      <c r="T1" s="221"/>
      <c r="U1" s="221"/>
      <c r="V1" s="221"/>
      <c r="W1" s="221"/>
      <c r="X1" s="221"/>
      <c r="Y1" s="221"/>
      <c r="Z1" s="221"/>
      <c r="AA1" s="221"/>
      <c r="AB1" s="221"/>
      <c r="AC1" s="222" t="s">
        <v>1973</v>
      </c>
      <c r="AD1" s="222"/>
      <c r="AE1" s="222"/>
      <c r="AF1" s="222"/>
      <c r="AG1" s="222"/>
      <c r="AH1" s="222"/>
      <c r="AI1" s="222"/>
      <c r="AJ1" s="222"/>
      <c r="AK1" s="222"/>
      <c r="AL1" s="222"/>
      <c r="AM1" s="222"/>
      <c r="AN1" s="222"/>
      <c r="AO1" s="222"/>
      <c r="AP1" s="223" t="s">
        <v>1974</v>
      </c>
      <c r="AQ1" s="223"/>
      <c r="AR1" s="223"/>
      <c r="AS1" s="223"/>
      <c r="AT1" s="223"/>
      <c r="AU1" s="223"/>
      <c r="AV1" s="223"/>
      <c r="AW1" s="223"/>
      <c r="AX1" s="738"/>
      <c r="AY1" s="223"/>
      <c r="AZ1" s="1006" t="s">
        <v>2928</v>
      </c>
      <c r="BA1" s="1007"/>
      <c r="BB1" s="1007"/>
      <c r="BC1" s="1008"/>
      <c r="BD1" s="715" t="s">
        <v>2947</v>
      </c>
      <c r="BE1" s="1005" t="s">
        <v>2974</v>
      </c>
      <c r="BF1" s="1005"/>
      <c r="BG1" s="1005"/>
      <c r="BH1" s="835"/>
      <c r="BI1" s="835"/>
      <c r="BJ1" s="835"/>
      <c r="BK1" s="835"/>
      <c r="BL1" s="69" t="s">
        <v>111</v>
      </c>
      <c r="BM1" s="69"/>
      <c r="BN1" s="69"/>
      <c r="BO1" s="69"/>
      <c r="BP1" s="71"/>
      <c r="BQ1" s="71"/>
      <c r="BR1" s="69"/>
      <c r="BS1" s="69"/>
      <c r="BT1" s="69"/>
      <c r="BU1" s="69"/>
      <c r="BV1" s="69"/>
      <c r="BW1" s="71"/>
      <c r="BX1" s="71"/>
      <c r="BY1" s="71"/>
      <c r="BZ1" s="71"/>
      <c r="CA1" s="69"/>
      <c r="CB1" s="69"/>
      <c r="CC1" s="69"/>
      <c r="CD1" s="69"/>
      <c r="CE1" s="71"/>
      <c r="CF1" s="71"/>
      <c r="CG1" s="71"/>
      <c r="CH1" s="71"/>
      <c r="CI1" s="71"/>
      <c r="CJ1" s="71"/>
      <c r="CK1" s="69"/>
      <c r="CL1" s="69"/>
      <c r="CM1" s="69"/>
      <c r="CN1" s="69"/>
      <c r="CO1" s="69"/>
      <c r="CP1" s="69"/>
      <c r="CQ1" s="69"/>
      <c r="CR1" s="69"/>
      <c r="CS1" s="69"/>
      <c r="CT1" s="147"/>
      <c r="CU1" s="147"/>
      <c r="CV1" s="148"/>
      <c r="CW1" s="148"/>
      <c r="CX1" s="148"/>
      <c r="CY1" s="148"/>
      <c r="CZ1" s="148"/>
      <c r="DA1" s="148"/>
      <c r="DB1" s="148"/>
      <c r="DC1" s="148"/>
      <c r="DD1" s="148"/>
      <c r="DE1" s="148"/>
      <c r="DF1" s="148"/>
    </row>
    <row r="2" spans="1:115"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521" t="s">
        <v>68</v>
      </c>
      <c r="AC2" s="517" t="s">
        <v>69</v>
      </c>
      <c r="AD2" s="517" t="s">
        <v>1284</v>
      </c>
      <c r="AE2" s="517" t="s">
        <v>1285</v>
      </c>
      <c r="AF2" s="517" t="s">
        <v>1286</v>
      </c>
      <c r="AG2" s="517" t="s">
        <v>1287</v>
      </c>
      <c r="AH2" s="517" t="s">
        <v>1288</v>
      </c>
      <c r="AI2" s="517" t="s">
        <v>1289</v>
      </c>
      <c r="AJ2" s="517" t="s">
        <v>1290</v>
      </c>
      <c r="AK2" s="517" t="s">
        <v>1291</v>
      </c>
      <c r="AL2" s="517" t="s">
        <v>1292</v>
      </c>
      <c r="AM2" s="517" t="s">
        <v>1293</v>
      </c>
      <c r="AN2" s="517" t="s">
        <v>1959</v>
      </c>
      <c r="AO2" s="517" t="s">
        <v>1960</v>
      </c>
      <c r="AP2" s="518" t="s">
        <v>2198</v>
      </c>
      <c r="AQ2" s="518" t="s">
        <v>2302</v>
      </c>
      <c r="AR2" s="518" t="s">
        <v>2303</v>
      </c>
      <c r="AS2" s="518" t="s">
        <v>2304</v>
      </c>
      <c r="AT2" s="518" t="s">
        <v>2305</v>
      </c>
      <c r="AU2" s="518" t="s">
        <v>2307</v>
      </c>
      <c r="AV2" s="518" t="s">
        <v>2308</v>
      </c>
      <c r="AW2" s="518" t="s">
        <v>2309</v>
      </c>
      <c r="AX2" s="518" t="s">
        <v>2310</v>
      </c>
      <c r="AY2" s="518" t="s">
        <v>2311</v>
      </c>
      <c r="AZ2" s="519" t="s">
        <v>2312</v>
      </c>
      <c r="BA2" s="519" t="s">
        <v>2313</v>
      </c>
      <c r="BB2" s="519" t="s">
        <v>2314</v>
      </c>
      <c r="BC2" s="519" t="s">
        <v>2315</v>
      </c>
      <c r="BD2" s="520" t="s">
        <v>2316</v>
      </c>
      <c r="BE2" s="714" t="s">
        <v>2317</v>
      </c>
      <c r="BF2" s="806" t="s">
        <v>2318</v>
      </c>
      <c r="BG2" s="806" t="s">
        <v>2322</v>
      </c>
      <c r="BH2" s="839" t="s">
        <v>2323</v>
      </c>
      <c r="BI2" s="839" t="s">
        <v>2325</v>
      </c>
      <c r="BJ2" s="839" t="s">
        <v>2327</v>
      </c>
      <c r="BK2" s="839" t="s">
        <v>2328</v>
      </c>
      <c r="BL2" s="998" t="s">
        <v>2011</v>
      </c>
      <c r="BM2" s="999"/>
      <c r="BN2" s="1000"/>
      <c r="BO2" s="1002"/>
      <c r="BP2" s="1004" t="s">
        <v>74</v>
      </c>
      <c r="BQ2" s="1009"/>
      <c r="BR2" s="1027" t="s">
        <v>2468</v>
      </c>
      <c r="BS2" s="1028"/>
      <c r="BT2" s="1031" t="s">
        <v>2467</v>
      </c>
      <c r="BU2" s="1032"/>
      <c r="BV2" s="505"/>
      <c r="BW2" s="1026" t="s">
        <v>2470</v>
      </c>
      <c r="BX2" s="734"/>
      <c r="BY2" s="1026"/>
      <c r="BZ2" s="691"/>
      <c r="CA2" s="1015"/>
      <c r="CB2" s="1016" t="s">
        <v>1912</v>
      </c>
      <c r="CC2" s="1017"/>
      <c r="CD2" s="1014"/>
      <c r="CE2" s="807"/>
      <c r="CF2" s="807"/>
      <c r="CG2" s="522"/>
      <c r="CH2" s="522"/>
      <c r="CI2" s="522"/>
      <c r="CJ2" s="522"/>
      <c r="CK2" s="523"/>
      <c r="CL2" s="524" t="s">
        <v>1912</v>
      </c>
      <c r="CM2" s="525"/>
      <c r="CN2" s="522"/>
      <c r="CO2" s="522"/>
      <c r="CP2" s="685"/>
      <c r="CQ2" s="685"/>
      <c r="CR2" s="685"/>
      <c r="CS2" s="685"/>
      <c r="CT2" s="526" t="s">
        <v>7</v>
      </c>
      <c r="CU2" s="527" t="s">
        <v>8</v>
      </c>
      <c r="CV2" s="527" t="s">
        <v>9</v>
      </c>
      <c r="CW2" s="527" t="s">
        <v>10</v>
      </c>
      <c r="CX2" s="527" t="s">
        <v>11</v>
      </c>
      <c r="CY2" s="527" t="s">
        <v>12</v>
      </c>
      <c r="CZ2" s="527" t="s">
        <v>13</v>
      </c>
      <c r="DA2" s="527" t="s">
        <v>14</v>
      </c>
      <c r="DB2" s="527" t="s">
        <v>15</v>
      </c>
      <c r="DC2" s="527"/>
      <c r="DD2" s="527"/>
      <c r="DE2" s="527"/>
      <c r="DF2" s="527"/>
    </row>
    <row r="3" spans="1:115" s="247" customFormat="1" ht="90.75" hidden="1" customHeight="1" thickBot="1">
      <c r="A3" s="301" t="s">
        <v>2334</v>
      </c>
      <c r="B3" s="302" t="s">
        <v>2335</v>
      </c>
      <c r="C3" s="302" t="s">
        <v>2336</v>
      </c>
      <c r="D3" s="302" t="s">
        <v>2337</v>
      </c>
      <c r="E3" s="303" t="s">
        <v>2338</v>
      </c>
      <c r="F3" s="303" t="s">
        <v>2339</v>
      </c>
      <c r="G3" s="303" t="s">
        <v>2340</v>
      </c>
      <c r="H3" s="303" t="s">
        <v>2341</v>
      </c>
      <c r="I3" s="303" t="s">
        <v>2383</v>
      </c>
      <c r="J3" s="303" t="s">
        <v>2382</v>
      </c>
      <c r="K3" s="303"/>
      <c r="L3" s="304" t="s">
        <v>2342</v>
      </c>
      <c r="M3" s="304" t="s">
        <v>2343</v>
      </c>
      <c r="N3" s="301" t="s">
        <v>2439</v>
      </c>
      <c r="O3" s="559"/>
      <c r="P3" s="559"/>
      <c r="Q3" s="559"/>
      <c r="R3" s="559"/>
      <c r="S3" s="559"/>
      <c r="T3" s="559"/>
      <c r="U3" s="560"/>
      <c r="V3" s="560"/>
      <c r="W3" s="560"/>
      <c r="X3" s="560"/>
      <c r="Y3" s="560"/>
      <c r="Z3" s="560"/>
      <c r="AA3" s="560"/>
      <c r="AB3" s="561"/>
      <c r="AC3" s="562"/>
      <c r="AD3" s="562"/>
      <c r="AE3" s="562"/>
      <c r="AF3" s="562"/>
      <c r="AG3" s="562"/>
      <c r="AH3" s="562"/>
      <c r="AI3" s="562"/>
      <c r="AJ3" s="562"/>
      <c r="AK3" s="562"/>
      <c r="AL3" s="199"/>
      <c r="AM3" s="282"/>
      <c r="AN3" s="562"/>
      <c r="AO3" s="563"/>
      <c r="AP3" s="564"/>
      <c r="AQ3" s="564"/>
      <c r="AR3" s="564"/>
      <c r="AS3" s="564"/>
      <c r="AT3" s="564"/>
      <c r="AU3" s="564"/>
      <c r="AV3" s="565"/>
      <c r="AW3" s="564"/>
      <c r="AX3" s="739"/>
      <c r="AY3" s="566"/>
      <c r="AZ3" s="567"/>
      <c r="BA3" s="567"/>
      <c r="BB3" s="567"/>
      <c r="BC3" s="567"/>
      <c r="BD3" s="709"/>
      <c r="BE3" s="710"/>
      <c r="BF3" s="710"/>
      <c r="BG3" s="711"/>
      <c r="BH3" s="711"/>
      <c r="BI3" s="711"/>
      <c r="BJ3" s="711"/>
      <c r="BK3" s="711"/>
      <c r="BL3" s="1001"/>
      <c r="BM3" s="1002"/>
      <c r="BN3" s="1003"/>
      <c r="BO3" s="1002"/>
      <c r="BP3" s="1004" t="s">
        <v>74</v>
      </c>
      <c r="BQ3" s="1010"/>
      <c r="BR3" s="1029"/>
      <c r="BS3" s="1030"/>
      <c r="BT3" s="569"/>
      <c r="BU3" s="570"/>
      <c r="BV3" s="393"/>
      <c r="BW3" s="1026" t="s">
        <v>2470</v>
      </c>
      <c r="BX3" s="734"/>
      <c r="BY3" s="1026"/>
      <c r="BZ3" s="691"/>
      <c r="CA3" s="1015"/>
      <c r="CB3" s="1018"/>
      <c r="CC3" s="1019"/>
      <c r="CD3" s="1014"/>
      <c r="CE3" s="319" t="s">
        <v>2474</v>
      </c>
      <c r="CF3" s="319"/>
      <c r="CG3" s="318"/>
      <c r="CH3" s="318"/>
      <c r="CI3" s="319" t="s">
        <v>2473</v>
      </c>
      <c r="CJ3" s="324" t="s">
        <v>1611</v>
      </c>
      <c r="CK3" s="325"/>
      <c r="CL3" s="331"/>
      <c r="CM3" s="328"/>
      <c r="CN3" s="318"/>
      <c r="CO3" s="318"/>
      <c r="CP3" s="686"/>
      <c r="CQ3" s="686"/>
      <c r="CR3" s="686"/>
      <c r="CS3" s="686"/>
      <c r="CT3" s="245"/>
      <c r="CU3" s="246"/>
      <c r="CV3" s="246"/>
      <c r="CW3" s="246"/>
      <c r="CX3" s="246"/>
      <c r="CY3" s="246"/>
      <c r="CZ3" s="246"/>
      <c r="DA3" s="246"/>
      <c r="DB3" s="246"/>
      <c r="DC3" s="246"/>
      <c r="DD3" s="246"/>
      <c r="DE3" s="246"/>
      <c r="DF3" s="246"/>
    </row>
    <row r="4" spans="1:115" s="556" customFormat="1" ht="87" customHeight="1" thickBot="1">
      <c r="A4" s="297" t="s">
        <v>2279</v>
      </c>
      <c r="B4" s="298" t="s">
        <v>2281</v>
      </c>
      <c r="C4" s="298" t="s">
        <v>2283</v>
      </c>
      <c r="D4" s="298" t="s">
        <v>2285</v>
      </c>
      <c r="E4" s="299" t="s">
        <v>21</v>
      </c>
      <c r="F4" s="299" t="s">
        <v>22</v>
      </c>
      <c r="G4" s="299" t="s">
        <v>2287</v>
      </c>
      <c r="H4" s="299" t="s">
        <v>2288</v>
      </c>
      <c r="I4" s="299" t="s">
        <v>24</v>
      </c>
      <c r="J4" s="299" t="s">
        <v>1871</v>
      </c>
      <c r="K4" s="299" t="s">
        <v>2992</v>
      </c>
      <c r="L4" s="300" t="s">
        <v>2290</v>
      </c>
      <c r="M4" s="300" t="s">
        <v>2292</v>
      </c>
      <c r="N4" s="297" t="s">
        <v>2431</v>
      </c>
      <c r="O4" s="512" t="s">
        <v>3052</v>
      </c>
      <c r="P4" s="512" t="s">
        <v>3053</v>
      </c>
      <c r="Q4" s="512" t="s">
        <v>3056</v>
      </c>
      <c r="R4" s="512" t="s">
        <v>3057</v>
      </c>
      <c r="S4" s="512" t="s">
        <v>3058</v>
      </c>
      <c r="T4" s="187" t="s">
        <v>3059</v>
      </c>
      <c r="U4" s="187" t="s">
        <v>2842</v>
      </c>
      <c r="V4" s="187" t="s">
        <v>3060</v>
      </c>
      <c r="W4" s="187" t="s">
        <v>2843</v>
      </c>
      <c r="X4" s="187" t="s">
        <v>3062</v>
      </c>
      <c r="Y4" s="560" t="s">
        <v>2808</v>
      </c>
      <c r="Z4" s="187" t="s">
        <v>3064</v>
      </c>
      <c r="AA4" s="187" t="s">
        <v>3065</v>
      </c>
      <c r="AB4" s="561" t="s">
        <v>2870</v>
      </c>
      <c r="AC4" s="199" t="s">
        <v>2844</v>
      </c>
      <c r="AD4" s="562" t="s">
        <v>2845</v>
      </c>
      <c r="AE4" s="562" t="s">
        <v>2846</v>
      </c>
      <c r="AF4" s="199" t="s">
        <v>3068</v>
      </c>
      <c r="AG4" s="562" t="s">
        <v>2847</v>
      </c>
      <c r="AH4" s="562" t="s">
        <v>2848</v>
      </c>
      <c r="AI4" s="562" t="s">
        <v>3070</v>
      </c>
      <c r="AJ4" s="562" t="s">
        <v>2849</v>
      </c>
      <c r="AK4" s="562" t="s">
        <v>2850</v>
      </c>
      <c r="AL4" s="199" t="s">
        <v>2967</v>
      </c>
      <c r="AM4" s="282" t="s">
        <v>2968</v>
      </c>
      <c r="AN4" s="562" t="s">
        <v>2851</v>
      </c>
      <c r="AO4" s="563" t="s">
        <v>2869</v>
      </c>
      <c r="AP4" s="564" t="s">
        <v>2852</v>
      </c>
      <c r="AQ4" s="564" t="s">
        <v>2853</v>
      </c>
      <c r="AR4" s="564" t="s">
        <v>2854</v>
      </c>
      <c r="AS4" s="564" t="s">
        <v>2855</v>
      </c>
      <c r="AT4" s="564" t="s">
        <v>2856</v>
      </c>
      <c r="AU4" s="564" t="s">
        <v>2857</v>
      </c>
      <c r="AV4" s="565" t="s">
        <v>2858</v>
      </c>
      <c r="AW4" s="284" t="s">
        <v>3072</v>
      </c>
      <c r="AX4" s="565" t="s">
        <v>3073</v>
      </c>
      <c r="AY4" s="566" t="s">
        <v>2867</v>
      </c>
      <c r="AZ4" s="567" t="s">
        <v>2860</v>
      </c>
      <c r="BA4" s="567" t="s">
        <v>2861</v>
      </c>
      <c r="BB4" s="567" t="s">
        <v>2953</v>
      </c>
      <c r="BC4" s="567" t="s">
        <v>2809</v>
      </c>
      <c r="BD4" s="568" t="s">
        <v>2811</v>
      </c>
      <c r="BE4" s="514" t="s">
        <v>3076</v>
      </c>
      <c r="BF4" s="514" t="s">
        <v>3077</v>
      </c>
      <c r="BG4" s="514" t="s">
        <v>3078</v>
      </c>
      <c r="BH4" s="843" t="s">
        <v>3132</v>
      </c>
      <c r="BI4" s="843" t="s">
        <v>3133</v>
      </c>
      <c r="BJ4" s="843" t="s">
        <v>3134</v>
      </c>
      <c r="BK4" s="843" t="s">
        <v>3135</v>
      </c>
      <c r="BL4" s="717" t="s">
        <v>3108</v>
      </c>
      <c r="BM4" s="717" t="s">
        <v>3109</v>
      </c>
      <c r="BN4" s="541" t="s">
        <v>2465</v>
      </c>
      <c r="BO4" s="540" t="s">
        <v>2871</v>
      </c>
      <c r="BP4" s="542" t="s">
        <v>114</v>
      </c>
      <c r="BQ4" s="543" t="s">
        <v>115</v>
      </c>
      <c r="BR4" s="755" t="s">
        <v>3005</v>
      </c>
      <c r="BS4" s="544" t="s">
        <v>2471</v>
      </c>
      <c r="BT4" s="539" t="s">
        <v>117</v>
      </c>
      <c r="BU4" s="544" t="s">
        <v>116</v>
      </c>
      <c r="BV4" s="545" t="s">
        <v>2891</v>
      </c>
      <c r="BW4" s="545" t="s">
        <v>2469</v>
      </c>
      <c r="BX4" s="545" t="s">
        <v>2989</v>
      </c>
      <c r="BY4" s="546" t="s">
        <v>2333</v>
      </c>
      <c r="BZ4" s="546" t="s">
        <v>2975</v>
      </c>
      <c r="CA4" s="547" t="s">
        <v>119</v>
      </c>
      <c r="CB4" s="548" t="s">
        <v>118</v>
      </c>
      <c r="CC4" s="549" t="s">
        <v>2862</v>
      </c>
      <c r="CD4" s="550" t="s">
        <v>2863</v>
      </c>
      <c r="CE4" s="551" t="s">
        <v>75</v>
      </c>
      <c r="CF4" s="551"/>
      <c r="CG4" s="551" t="s">
        <v>1899</v>
      </c>
      <c r="CH4" s="551" t="s">
        <v>1900</v>
      </c>
      <c r="CI4" s="551" t="s">
        <v>1898</v>
      </c>
      <c r="CJ4" s="552" t="s">
        <v>2475</v>
      </c>
      <c r="CK4" s="553" t="s">
        <v>120</v>
      </c>
      <c r="CL4" s="554" t="s">
        <v>2864</v>
      </c>
      <c r="CM4" s="555" t="s">
        <v>121</v>
      </c>
      <c r="CN4" s="551" t="s">
        <v>122</v>
      </c>
      <c r="CO4" s="551" t="s">
        <v>2684</v>
      </c>
      <c r="CP4" s="567" t="s">
        <v>2953</v>
      </c>
      <c r="CQ4" s="718" t="s">
        <v>2981</v>
      </c>
      <c r="CR4" s="718" t="s">
        <v>3158</v>
      </c>
      <c r="CS4" s="718" t="s">
        <v>3148</v>
      </c>
      <c r="CT4" s="264" t="s">
        <v>27</v>
      </c>
      <c r="CU4" s="265" t="s">
        <v>28</v>
      </c>
      <c r="CV4" s="265" t="s">
        <v>124</v>
      </c>
      <c r="CW4" s="265" t="s">
        <v>29</v>
      </c>
      <c r="CX4" s="265" t="s">
        <v>30</v>
      </c>
      <c r="CY4" s="265" t="s">
        <v>31</v>
      </c>
      <c r="CZ4" s="265" t="s">
        <v>32</v>
      </c>
      <c r="DA4" s="265" t="s">
        <v>33</v>
      </c>
      <c r="DB4" s="265" t="s">
        <v>34</v>
      </c>
      <c r="DC4" s="265"/>
      <c r="DD4" s="265"/>
      <c r="DE4" s="265"/>
      <c r="DF4" s="265" t="s">
        <v>35</v>
      </c>
      <c r="DG4" s="1012" t="s">
        <v>2946</v>
      </c>
      <c r="DH4" s="1013"/>
      <c r="DI4" s="1013"/>
    </row>
    <row r="5" spans="1:115" s="266" customFormat="1" ht="27" customHeight="1" thickBot="1">
      <c r="A5" s="260" t="s">
        <v>16</v>
      </c>
      <c r="B5" s="261" t="s">
        <v>16</v>
      </c>
      <c r="C5" s="261" t="s">
        <v>16</v>
      </c>
      <c r="D5" s="261" t="s">
        <v>18</v>
      </c>
      <c r="E5" s="262" t="s">
        <v>16</v>
      </c>
      <c r="F5" s="262" t="s">
        <v>16</v>
      </c>
      <c r="G5" s="262" t="s">
        <v>2410</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t="s">
        <v>18</v>
      </c>
      <c r="AC5" s="530" t="s">
        <v>17</v>
      </c>
      <c r="AD5" s="530" t="s">
        <v>17</v>
      </c>
      <c r="AE5" s="530" t="s">
        <v>17</v>
      </c>
      <c r="AF5" s="530" t="s">
        <v>17</v>
      </c>
      <c r="AG5" s="530" t="s">
        <v>54</v>
      </c>
      <c r="AH5" s="530" t="s">
        <v>54</v>
      </c>
      <c r="AI5" s="530" t="s">
        <v>54</v>
      </c>
      <c r="AJ5" s="530" t="s">
        <v>17</v>
      </c>
      <c r="AK5" s="530" t="s">
        <v>17</v>
      </c>
      <c r="AL5" s="530" t="s">
        <v>17</v>
      </c>
      <c r="AM5" s="530" t="s">
        <v>17</v>
      </c>
      <c r="AN5" s="530" t="s">
        <v>2294</v>
      </c>
      <c r="AO5" s="530" t="s">
        <v>18</v>
      </c>
      <c r="AP5" s="531" t="s">
        <v>17</v>
      </c>
      <c r="AQ5" s="531" t="s">
        <v>17</v>
      </c>
      <c r="AR5" s="531" t="s">
        <v>17</v>
      </c>
      <c r="AS5" s="531" t="s">
        <v>17</v>
      </c>
      <c r="AT5" s="531" t="s">
        <v>17</v>
      </c>
      <c r="AU5" s="531" t="s">
        <v>17</v>
      </c>
      <c r="AV5" s="531" t="s">
        <v>54</v>
      </c>
      <c r="AW5" s="531" t="s">
        <v>54</v>
      </c>
      <c r="AX5" s="740" t="s">
        <v>17</v>
      </c>
      <c r="AY5" s="531" t="s">
        <v>18</v>
      </c>
      <c r="AZ5" s="532" t="s">
        <v>54</v>
      </c>
      <c r="BA5" s="532" t="s">
        <v>54</v>
      </c>
      <c r="BB5" s="532" t="s">
        <v>54</v>
      </c>
      <c r="BC5" s="532" t="s">
        <v>54</v>
      </c>
      <c r="BD5" s="516" t="s">
        <v>54</v>
      </c>
      <c r="BE5" s="712" t="s">
        <v>17</v>
      </c>
      <c r="BF5" s="712" t="s">
        <v>17</v>
      </c>
      <c r="BG5" s="713" t="s">
        <v>17</v>
      </c>
      <c r="BH5" s="842" t="s">
        <v>17</v>
      </c>
      <c r="BI5" s="842" t="s">
        <v>17</v>
      </c>
      <c r="BJ5" s="842" t="s">
        <v>3138</v>
      </c>
      <c r="BK5" s="842" t="s">
        <v>18</v>
      </c>
      <c r="BL5" s="993"/>
      <c r="BM5" s="994"/>
      <c r="BN5" s="995"/>
      <c r="BO5" s="305" t="s">
        <v>54</v>
      </c>
      <c r="BP5" s="309" t="s">
        <v>17</v>
      </c>
      <c r="BQ5" s="311" t="s">
        <v>17</v>
      </c>
      <c r="BR5" s="993" t="s">
        <v>2012</v>
      </c>
      <c r="BS5" s="995"/>
      <c r="BT5" s="573" t="s">
        <v>17</v>
      </c>
      <c r="BU5" s="574" t="s">
        <v>17</v>
      </c>
      <c r="BV5" s="558" t="s">
        <v>54</v>
      </c>
      <c r="BW5" s="575" t="s">
        <v>17</v>
      </c>
      <c r="BX5" s="575"/>
      <c r="BY5" s="576" t="s">
        <v>17</v>
      </c>
      <c r="BZ5" s="716" t="s">
        <v>17</v>
      </c>
      <c r="CA5" s="557" t="s">
        <v>17</v>
      </c>
      <c r="CB5" s="577" t="s">
        <v>17</v>
      </c>
      <c r="CC5" s="578" t="s">
        <v>54</v>
      </c>
      <c r="CD5" s="314" t="s">
        <v>54</v>
      </c>
      <c r="CE5" s="320" t="s">
        <v>17</v>
      </c>
      <c r="CF5" s="320" t="s">
        <v>17</v>
      </c>
      <c r="CG5" s="321" t="s">
        <v>17</v>
      </c>
      <c r="CH5" s="321" t="s">
        <v>17</v>
      </c>
      <c r="CI5" s="321" t="s">
        <v>17</v>
      </c>
      <c r="CJ5" s="321"/>
      <c r="CK5" s="326" t="s">
        <v>54</v>
      </c>
      <c r="CL5" s="332" t="s">
        <v>54</v>
      </c>
      <c r="CM5" s="329" t="s">
        <v>54</v>
      </c>
      <c r="CN5" s="321" t="s">
        <v>54</v>
      </c>
      <c r="CO5" s="422"/>
      <c r="CP5" s="532" t="s">
        <v>54</v>
      </c>
      <c r="CQ5" s="719" t="s">
        <v>17</v>
      </c>
      <c r="CR5" s="719" t="s">
        <v>17</v>
      </c>
      <c r="CS5" s="719" t="s">
        <v>17</v>
      </c>
      <c r="CT5" s="264"/>
      <c r="CU5" s="265"/>
      <c r="CV5" s="265"/>
      <c r="CW5" s="265"/>
      <c r="CX5" s="265"/>
      <c r="CY5" s="265"/>
      <c r="CZ5" s="265"/>
      <c r="DA5" s="265"/>
      <c r="DB5" s="265"/>
      <c r="DC5" s="265"/>
      <c r="DD5" s="265"/>
      <c r="DE5" s="265"/>
      <c r="DF5" s="265"/>
      <c r="DG5" s="516"/>
      <c r="DH5" s="516"/>
      <c r="DI5" s="516"/>
      <c r="DJ5" s="1011" t="s">
        <v>3080</v>
      </c>
      <c r="DK5" s="1011"/>
    </row>
    <row r="6" spans="1:115" s="230" customFormat="1" ht="20.5" customHeight="1" thickTop="1" thickBot="1">
      <c r="A6" s="225" t="s">
        <v>20</v>
      </c>
      <c r="B6" s="217" t="s">
        <v>2281</v>
      </c>
      <c r="C6" s="217" t="s">
        <v>2283</v>
      </c>
      <c r="D6" s="217" t="s">
        <v>26</v>
      </c>
      <c r="E6" s="218" t="s">
        <v>21</v>
      </c>
      <c r="F6" s="218" t="s">
        <v>22</v>
      </c>
      <c r="G6" s="218" t="s">
        <v>123</v>
      </c>
      <c r="H6" s="218" t="s">
        <v>23</v>
      </c>
      <c r="I6" s="218" t="s">
        <v>24</v>
      </c>
      <c r="J6" s="218" t="s">
        <v>25</v>
      </c>
      <c r="K6" s="218" t="s">
        <v>2991</v>
      </c>
      <c r="L6" s="219" t="s">
        <v>2290</v>
      </c>
      <c r="M6" s="219" t="s">
        <v>2292</v>
      </c>
      <c r="N6" s="225" t="s">
        <v>2464</v>
      </c>
      <c r="O6" s="226" t="s">
        <v>3054</v>
      </c>
      <c r="P6" s="226" t="s">
        <v>3055</v>
      </c>
      <c r="Q6" s="226" t="s">
        <v>3126</v>
      </c>
      <c r="R6" s="226" t="s">
        <v>3127</v>
      </c>
      <c r="S6" s="226" t="s">
        <v>3128</v>
      </c>
      <c r="T6" s="226" t="s">
        <v>3129</v>
      </c>
      <c r="U6" s="216" t="s">
        <v>2816</v>
      </c>
      <c r="V6" s="216" t="s">
        <v>3061</v>
      </c>
      <c r="W6" s="216" t="s">
        <v>2817</v>
      </c>
      <c r="X6" s="216" t="s">
        <v>3063</v>
      </c>
      <c r="Y6" s="216" t="s">
        <v>2818</v>
      </c>
      <c r="Z6" s="216" t="s">
        <v>3066</v>
      </c>
      <c r="AA6" s="216" t="s">
        <v>3067</v>
      </c>
      <c r="AB6" s="216" t="s">
        <v>2829</v>
      </c>
      <c r="AC6" s="533" t="s">
        <v>2819</v>
      </c>
      <c r="AD6" s="533" t="s">
        <v>2820</v>
      </c>
      <c r="AE6" s="533" t="s">
        <v>2821</v>
      </c>
      <c r="AF6" s="533" t="s">
        <v>3069</v>
      </c>
      <c r="AG6" s="533" t="s">
        <v>2822</v>
      </c>
      <c r="AH6" s="533" t="s">
        <v>2823</v>
      </c>
      <c r="AI6" s="533" t="s">
        <v>3071</v>
      </c>
      <c r="AJ6" s="533" t="s">
        <v>2824</v>
      </c>
      <c r="AK6" s="533" t="s">
        <v>2825</v>
      </c>
      <c r="AL6" s="533" t="s">
        <v>2826</v>
      </c>
      <c r="AM6" s="533" t="s">
        <v>2971</v>
      </c>
      <c r="AN6" s="533" t="s">
        <v>2827</v>
      </c>
      <c r="AO6" s="534" t="s">
        <v>2828</v>
      </c>
      <c r="AP6" s="535" t="s">
        <v>2832</v>
      </c>
      <c r="AQ6" s="535" t="s">
        <v>2833</v>
      </c>
      <c r="AR6" s="535" t="s">
        <v>2834</v>
      </c>
      <c r="AS6" s="535" t="s">
        <v>2835</v>
      </c>
      <c r="AT6" s="535" t="s">
        <v>2836</v>
      </c>
      <c r="AU6" s="535" t="s">
        <v>2837</v>
      </c>
      <c r="AV6" s="535" t="s">
        <v>2831</v>
      </c>
      <c r="AW6" s="535" t="s">
        <v>2830</v>
      </c>
      <c r="AX6" s="741" t="s">
        <v>3074</v>
      </c>
      <c r="AY6" s="535" t="s">
        <v>2868</v>
      </c>
      <c r="AZ6" s="536" t="s">
        <v>2840</v>
      </c>
      <c r="BA6" s="536" t="s">
        <v>2838</v>
      </c>
      <c r="BB6" s="746" t="s">
        <v>2954</v>
      </c>
      <c r="BC6" s="536" t="s">
        <v>2841</v>
      </c>
      <c r="BD6" s="537" t="s">
        <v>2839</v>
      </c>
      <c r="BE6" s="789" t="s">
        <v>2972</v>
      </c>
      <c r="BF6" s="789" t="s">
        <v>2973</v>
      </c>
      <c r="BG6" s="790" t="s">
        <v>2970</v>
      </c>
      <c r="BH6" s="841" t="s">
        <v>3139</v>
      </c>
      <c r="BI6" s="841" t="s">
        <v>3140</v>
      </c>
      <c r="BJ6" s="841" t="s">
        <v>3141</v>
      </c>
      <c r="BK6" s="841" t="s">
        <v>3142</v>
      </c>
      <c r="BL6" s="307" t="s">
        <v>3110</v>
      </c>
      <c r="BM6" s="307" t="s">
        <v>3111</v>
      </c>
      <c r="BN6" s="308" t="s">
        <v>2465</v>
      </c>
      <c r="BO6" s="310" t="s">
        <v>2872</v>
      </c>
      <c r="BP6" s="334" t="s">
        <v>74</v>
      </c>
      <c r="BQ6" s="312" t="s">
        <v>1612</v>
      </c>
      <c r="BR6" s="306" t="s">
        <v>1913</v>
      </c>
      <c r="BS6" s="308" t="s">
        <v>2466</v>
      </c>
      <c r="BT6" s="571" t="s">
        <v>117</v>
      </c>
      <c r="BU6" s="572" t="s">
        <v>1613</v>
      </c>
      <c r="BV6" s="335" t="s">
        <v>2892</v>
      </c>
      <c r="BW6" s="335" t="s">
        <v>2470</v>
      </c>
      <c r="BX6" s="335" t="s">
        <v>2988</v>
      </c>
      <c r="BY6" s="745" t="s">
        <v>2976</v>
      </c>
      <c r="BZ6" s="745" t="s">
        <v>3156</v>
      </c>
      <c r="CA6" s="313" t="s">
        <v>119</v>
      </c>
      <c r="CB6" s="316" t="s">
        <v>118</v>
      </c>
      <c r="CC6" s="317" t="s">
        <v>1914</v>
      </c>
      <c r="CD6" s="315" t="s">
        <v>1888</v>
      </c>
      <c r="CE6" s="322" t="s">
        <v>1889</v>
      </c>
      <c r="CF6" s="322" t="s">
        <v>3230</v>
      </c>
      <c r="CG6" s="323" t="s">
        <v>1899</v>
      </c>
      <c r="CH6" s="323" t="s">
        <v>1900</v>
      </c>
      <c r="CI6" s="322" t="s">
        <v>1901</v>
      </c>
      <c r="CJ6" s="336" t="s">
        <v>2472</v>
      </c>
      <c r="CK6" s="327" t="s">
        <v>1614</v>
      </c>
      <c r="CL6" s="333" t="s">
        <v>1615</v>
      </c>
      <c r="CM6" s="330" t="s">
        <v>1616</v>
      </c>
      <c r="CN6" s="323" t="s">
        <v>1617</v>
      </c>
      <c r="CO6" s="389" t="s">
        <v>2684</v>
      </c>
      <c r="CP6" s="687" t="s">
        <v>3075</v>
      </c>
      <c r="CQ6" s="720" t="s">
        <v>2978</v>
      </c>
      <c r="CR6" s="720" t="s">
        <v>2977</v>
      </c>
      <c r="CS6" s="720" t="s">
        <v>3157</v>
      </c>
      <c r="CT6" s="227" t="s">
        <v>27</v>
      </c>
      <c r="CU6" s="227" t="s">
        <v>28</v>
      </c>
      <c r="CV6" s="227" t="s">
        <v>124</v>
      </c>
      <c r="CW6" s="227" t="s">
        <v>29</v>
      </c>
      <c r="CX6" s="227" t="s">
        <v>30</v>
      </c>
      <c r="CY6" s="227" t="s">
        <v>31</v>
      </c>
      <c r="CZ6" s="227" t="s">
        <v>32</v>
      </c>
      <c r="DA6" s="227" t="s">
        <v>33</v>
      </c>
      <c r="DB6" s="228" t="s">
        <v>34</v>
      </c>
      <c r="DC6" s="590" t="s">
        <v>2906</v>
      </c>
      <c r="DD6" s="590" t="s">
        <v>2907</v>
      </c>
      <c r="DE6" s="590" t="s">
        <v>2908</v>
      </c>
      <c r="DF6" s="229" t="s">
        <v>35</v>
      </c>
      <c r="DG6" s="537" t="s">
        <v>2944</v>
      </c>
      <c r="DH6" s="537" t="s">
        <v>2945</v>
      </c>
      <c r="DI6" s="537" t="s">
        <v>2948</v>
      </c>
      <c r="DJ6" s="788" t="s">
        <v>2999</v>
      </c>
      <c r="DK6" s="788" t="s">
        <v>3000</v>
      </c>
    </row>
    <row r="7" spans="1:115">
      <c r="A7" s="815" t="s">
        <v>3143</v>
      </c>
      <c r="B7" s="844" t="s">
        <v>265</v>
      </c>
      <c r="C7" s="845" t="s">
        <v>265</v>
      </c>
      <c r="D7" s="845" t="s">
        <v>2983</v>
      </c>
      <c r="E7" s="845" t="s">
        <v>293</v>
      </c>
      <c r="F7" s="845" t="s">
        <v>401</v>
      </c>
      <c r="G7" s="846" t="s">
        <v>43</v>
      </c>
      <c r="H7" s="845" t="s">
        <v>411</v>
      </c>
      <c r="I7" s="847">
        <v>1112</v>
      </c>
      <c r="J7" s="847">
        <v>5133</v>
      </c>
      <c r="K7" s="684">
        <f>WWWW[[#This Row],[Total PoP ]]/WWWW[[#This Row],[Total HH]]</f>
        <v>4.6160071942446042</v>
      </c>
      <c r="L7" s="848" t="s">
        <v>3025</v>
      </c>
      <c r="M7" s="849" t="s">
        <v>3026</v>
      </c>
      <c r="N7" s="847"/>
      <c r="O7" s="500"/>
      <c r="P7" s="847"/>
      <c r="Q7" s="500">
        <v>14</v>
      </c>
      <c r="R7" s="500">
        <v>14</v>
      </c>
      <c r="S7" s="847"/>
      <c r="T7" s="847">
        <v>5133</v>
      </c>
      <c r="U7" s="847"/>
      <c r="V7" s="850"/>
      <c r="W7" s="847"/>
      <c r="X7" s="850"/>
      <c r="Y7" s="847"/>
      <c r="Z7" s="500"/>
      <c r="AA7" s="500"/>
      <c r="AB7" s="851"/>
      <c r="AC7" s="847">
        <v>168</v>
      </c>
      <c r="AD7" s="847">
        <v>198</v>
      </c>
      <c r="AE7" s="847"/>
      <c r="AF7" s="847"/>
      <c r="AG7" s="850">
        <v>0.99</v>
      </c>
      <c r="AH7" s="850">
        <v>0.98</v>
      </c>
      <c r="AI7" s="850">
        <v>0.98</v>
      </c>
      <c r="AJ7" s="847">
        <v>27</v>
      </c>
      <c r="AK7" s="847">
        <v>60</v>
      </c>
      <c r="AL7" s="847"/>
      <c r="AM7" s="500">
        <v>3</v>
      </c>
      <c r="AN7" s="847" t="s">
        <v>41</v>
      </c>
      <c r="AO7" s="852" t="s">
        <v>3151</v>
      </c>
      <c r="AP7" s="847">
        <v>997</v>
      </c>
      <c r="AQ7" s="847">
        <v>1200</v>
      </c>
      <c r="AR7" s="847">
        <v>1521</v>
      </c>
      <c r="AS7" s="847">
        <v>1415</v>
      </c>
      <c r="AT7" s="847">
        <v>1112</v>
      </c>
      <c r="AU7" s="847">
        <v>2224</v>
      </c>
      <c r="AV7" s="450"/>
      <c r="AW7" s="850">
        <v>0.79</v>
      </c>
      <c r="AX7" s="451"/>
      <c r="AY7" s="853" t="s">
        <v>3152</v>
      </c>
      <c r="AZ7" s="450">
        <v>0.98</v>
      </c>
      <c r="BA7" s="450">
        <v>0.99</v>
      </c>
      <c r="BB7" s="450">
        <v>0.99</v>
      </c>
      <c r="BC7" s="450">
        <v>1</v>
      </c>
      <c r="BD7" s="450"/>
      <c r="BE7" s="500"/>
      <c r="BF7" s="500"/>
      <c r="BG7" s="500"/>
      <c r="BH7" s="500"/>
      <c r="BI7" s="500"/>
      <c r="BJ7" s="500"/>
      <c r="BK7" s="500"/>
      <c r="BL7" s="854" t="str">
        <f>IF(WWWW[[#This Row],['#_Water samples_Tested_at_water_source]]="","no test","Tested")</f>
        <v>no test</v>
      </c>
      <c r="BM7" s="854" t="str">
        <f>IF(WWWW[[#This Row],['#_Water samples_Tested_at_HH]]="","no test","Tested")</f>
        <v>no test</v>
      </c>
      <c r="BN7" s="855" t="str">
        <f>IF(AND(WWWW[[#This Row],[Water_testing_at source]]="no test",WWWW[[#This Row],[Water_testing_at HH]]="no test"),"No Test","Tested")</f>
        <v>No Test</v>
      </c>
      <c r="BO7"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 s="856">
        <f>WWWW[[#This Row],[% HRP1]]*WWWW[[#This Row],[Total PoP ]]</f>
        <v>5133</v>
      </c>
      <c r="BQ7" s="857">
        <f>WWWW[[#This Row],[HRP1]]/500</f>
        <v>10.266</v>
      </c>
      <c r="BR7" s="858">
        <f>1-WWWW[[#This Row],[% HRP1]]</f>
        <v>0</v>
      </c>
      <c r="BS7" s="857">
        <f>WWWW[[#This Row],[%equitable and continuous access to sufficient quantity of safe drinking and domestic water''s GAP]]*WWWW[[#This Row],[Total PoP ]]</f>
        <v>0</v>
      </c>
      <c r="BT7" s="451">
        <f>ROUND(IF(WWWW[[#This Row],[Total PoP ]]&lt;500,1,WWWW[[#This Row],[Total PoP ]]/500),0)</f>
        <v>10</v>
      </c>
      <c r="BU7" s="855">
        <f>IF(WWWW[[#This Row],[Total required water points]]-WWWW[[#This Row],['#Water points coverage]]&lt;0,0,WWWW[[#This Row],[Total required water points]]-WWWW[[#This Row],['#Water points coverage]])</f>
        <v>0</v>
      </c>
      <c r="BV7" s="452">
        <f>WWWW[[#This Row],[HRP2]]/WWWW[[#This Row],[Total PoP ]]</f>
        <v>0.77147866744593807</v>
      </c>
      <c r="BW7"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3960</v>
      </c>
      <c r="BX7" s="455">
        <f>IF(WWWW[[#This Row],['#_Functional_adult_latrines]]="","",WWWW[[#This Row],[Total PoP ]]/WWWW[[#This Row],['#_Functional_adult_latrines]])</f>
        <v>30.553571428571427</v>
      </c>
      <c r="BY7" s="855">
        <f>WWWW[[#This Row],['#_of_latrines_in_TLS/CFS]]*50</f>
        <v>0</v>
      </c>
      <c r="BZ7" s="451">
        <f>IF(WWWW[[#This Row],['#_of_latrines_in_THF]]="",0,WWWW[[#This Row],['#_of_latrines_in_THF]]*50)</f>
        <v>150</v>
      </c>
      <c r="CA7" s="855">
        <f>ROUND(IF(WWWW[[#This Row],[Location Type 1]]="camp",WWWW[[#This Row],[Total PoP ]]/20),0)</f>
        <v>257</v>
      </c>
      <c r="CB7" s="855">
        <f>IF(WWWW[[#This Row],[Total required Latrines]]-WWWW[[#This Row],['#_Existing_latrines]]&lt;0,0,WWWW[[#This Row],[Total required Latrines]]-WWWW[[#This Row],['#_Existing_latrines]])</f>
        <v>59</v>
      </c>
      <c r="CC7" s="858">
        <f>1-WWWW[[#This Row],[% HRP2]]</f>
        <v>0.22852133255406193</v>
      </c>
      <c r="CD7" s="854">
        <f>IF(WWWW[[#This Row],['#_Existing_latrines]]="","NA",(WWWW[[#This Row],['#_Existing_latrines]]-WWWW[[#This Row],['#_Functional_adult_latrines]])/WWWW[[#This Row],['#_Existing_latrines]])</f>
        <v>0.15151515151515152</v>
      </c>
      <c r="CE7"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7" s="857">
        <f>SUM(WWWW[[#This Row],[_'#_of_Men_receiving_consultation_hygiene_promotion_messages_and_sessions]:[_'#_of_Girls_receiving_consultation_hygiene_promotion_messages_and_sessions]])-WWWW[[#This Row],['# people reached by regular dedicated hygiene promotion_5]]</f>
        <v>0</v>
      </c>
      <c r="CG7"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H7" s="855">
        <f>IF(WWWW[[#This Row],['#_of_affected_women_and_girls_receiving_a_sufficient_quantity_of_sanitary_pads]]&gt;WWWW[[#This Row],[Total PoP ]],WWWW[[#This Row],[Total PoP ]],WWWW[[#This Row],['#_of_affected_women_and_girls_receiving_a_sufficient_quantity_of_sanitary_pads]])</f>
        <v>2224</v>
      </c>
      <c r="CI7" s="855">
        <f>IF(WWWW[[#This Row],['# People with access to soap]]&gt;WWWW[[#This Row],['# People with access to Sanity Pads]],WWWW[[#This Row],['# People with access to soap]],WWWW[[#This Row],['# People with access to Sanity Pads]])</f>
        <v>5133</v>
      </c>
      <c r="CJ7" s="855">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K7" s="858">
        <f>IF(WWWW[[#This Row],[HRP3]]/WWWW[[#This Row],[Total PoP ]]&gt;100%,100%,WWWW[[#This Row],[HRP3]]/WWWW[[#This Row],[Total PoP ]])</f>
        <v>1</v>
      </c>
      <c r="CL7" s="854">
        <f>1-WWWW[[#This Row],[Hygiene Coverage%]]</f>
        <v>0</v>
      </c>
      <c r="CM7" s="850">
        <f>WWWW[[#This Row],['# people reached by regular dedicated hygiene promotion_5]]/WWWW[[#This Row],[Total PoP ]]</f>
        <v>1</v>
      </c>
      <c r="CN7" s="854">
        <f>IF(WWWW[[#This Row],['#_of_affected_households_receiving_a_sufficient_quantity_of_soap]]/WWWW[[#This Row],[Total HH]]&gt;1,1,WWWW[[#This Row],['#_of_affected_households_receiving_a_sufficient_quantity_of_soap]]/WWWW[[#This Row],[Total HH]])</f>
        <v>1</v>
      </c>
      <c r="CO7" s="455" t="str">
        <f>IF(WWWW[[#This Row],['#_students at TLS_CFS]]="","No","Yes")</f>
        <v>No</v>
      </c>
      <c r="CP7" s="452">
        <f>WWWW[[#This Row],[%_of_affected_people_surveyed_who_report_feeling_informed_about_the_different_WASH_services_available_to_them]]</f>
        <v>0.99</v>
      </c>
      <c r="CQ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7" s="500">
        <f>IF(WWWW[[#This Row],['#_PPL_accessed_water_in_TLS]]&gt;WWWW[[#This Row],['# students access to functioning school latrines_HRP5]],WWWW[[#This Row],['#_PPL_accessed_water_in_TLS]],WWWW[[#This Row],['# students access to functioning school latrines_HRP5]])</f>
        <v>0</v>
      </c>
      <c r="CS7" s="500">
        <f>IF(WWWW[[#This Row],['#_PPL_accessed_water_in_THF]]&gt;WWWW[[#This Row],['# people access to functioning latrines in THF_HRP6]],WWWW[[#This Row],['#_PPL_accessed_water_in_THF]],WWWW[[#This Row],['# people access to functioning latrines in THF_HRP6]])</f>
        <v>150</v>
      </c>
      <c r="CT7" s="846" t="str">
        <f>VLOOKUP(WWWW[[#This Row],[Site Name]],SiteDB6[[Site Name]:[CCCM Management]],6,FALSE)</f>
        <v>Yes</v>
      </c>
      <c r="CU7" s="846" t="str">
        <f>VLOOKUP(WWWW[[#This Row],[Site Name]],SiteDB6[[Site Name]:[CCCM Focal Agency]],7,FALSE)</f>
        <v>LWF</v>
      </c>
      <c r="CV7" s="846" t="str">
        <f>VLOOKUP(WWWW[[#This Row],[Site Name]],SiteDB6[[Site Name]:[Location Type 1]],9,FALSE)</f>
        <v>Camp</v>
      </c>
      <c r="CW7" s="846" t="str">
        <f>VLOOKUP(WWWW[[#This Row],[Site Name]],SiteDB6[[Site Name]:[Type of Accommodation]],10,FALSE)</f>
        <v>Planned Camp</v>
      </c>
      <c r="CX7" s="846" t="str">
        <f>VLOOKUP(WWWW[[#This Row],[Site Name]],SiteDB6[[Site Name]:[Ethnic or GCA/NGCA]],11,FALSE)</f>
        <v>Muslim</v>
      </c>
      <c r="CY7" s="846">
        <f>VLOOKUP(WWWW[[#This Row],[Site Name]],SiteDB6[[Site Name]:[Lat]],12,FALSE)</f>
        <v>20.108101999999999</v>
      </c>
      <c r="CZ7" s="846">
        <f>VLOOKUP(WWWW[[#This Row],[Site Name]],SiteDB6[[Site Name]:[Long]],13,FALSE)</f>
        <v>92.985095000000001</v>
      </c>
      <c r="DA7" s="846" t="str">
        <f>VLOOKUP(WWWW[[#This Row],[Site Name]],SiteDB6[[Site Name]:[Pcode]],3,FALSE)</f>
        <v>MMR012CMP016</v>
      </c>
      <c r="DB7" s="859" t="str">
        <f t="shared" ref="DB7:DB27" si="0">IF(C7="none","Notcovered","Covered")</f>
        <v>Covered</v>
      </c>
      <c r="DC7" s="477">
        <f>VLOOKUP(WWWW[[#This Row],[Site Name]],SiteDB6[[Site Name]:[PWD_Total]],22,FALSE)</f>
        <v>279</v>
      </c>
      <c r="DD7" s="477">
        <f>VLOOKUP(WWWW[[#This Row],[Site Name]],SiteDB6[[Site Name]:[PWD_Total]],23,FALSE)</f>
        <v>636</v>
      </c>
      <c r="DE7" s="477">
        <f>WWWW[[#This Row],['# of Male_People with disabilities]]+WWWW[[#This Row],['# of Female_People with disabilities]]</f>
        <v>915</v>
      </c>
      <c r="DF7" s="846"/>
      <c r="DG7" s="859"/>
      <c r="DH7" s="859"/>
      <c r="DI7" s="859"/>
      <c r="DJ7" s="859">
        <f>VLOOKUP(WWWW[[#This Row],[Site Name]],SiteDB6[[Site Name]:[Pop
(CCCM as of Autust 2021)]],16,FALSE)</f>
        <v>1115</v>
      </c>
      <c r="DK7" s="859">
        <f>VLOOKUP(WWWW[[#This Row],[Site Name]],SiteDB6[[Site Name]:[Pop
(CCCM as of Autust 2021)]],17,FALSE)</f>
        <v>5197</v>
      </c>
    </row>
    <row r="8" spans="1:115">
      <c r="A8" s="815" t="s">
        <v>3143</v>
      </c>
      <c r="B8" s="844" t="s">
        <v>2270</v>
      </c>
      <c r="C8" s="845" t="s">
        <v>2270</v>
      </c>
      <c r="D8" s="845" t="s">
        <v>40</v>
      </c>
      <c r="E8" s="845" t="s">
        <v>293</v>
      </c>
      <c r="F8" s="845" t="s">
        <v>294</v>
      </c>
      <c r="G8" s="846" t="s">
        <v>43</v>
      </c>
      <c r="H8" s="845" t="s">
        <v>413</v>
      </c>
      <c r="I8" s="847">
        <v>382</v>
      </c>
      <c r="J8" s="847">
        <v>2139</v>
      </c>
      <c r="K8" s="684">
        <f>WWWW[[#This Row],[Total PoP ]]/WWWW[[#This Row],[Total HH]]</f>
        <v>5.5994764397905756</v>
      </c>
      <c r="L8" s="848">
        <v>44652</v>
      </c>
      <c r="M8" s="849">
        <v>44742</v>
      </c>
      <c r="N8" s="847"/>
      <c r="O8" s="500">
        <v>21</v>
      </c>
      <c r="P8" s="847">
        <v>23</v>
      </c>
      <c r="Q8" s="500"/>
      <c r="R8" s="500"/>
      <c r="S8" s="847"/>
      <c r="T8" s="847"/>
      <c r="U8" s="847"/>
      <c r="V8" s="850"/>
      <c r="W8" s="847"/>
      <c r="X8" s="850"/>
      <c r="Y8" s="847"/>
      <c r="Z8" s="500"/>
      <c r="AA8" s="500"/>
      <c r="AB8" s="851"/>
      <c r="AC8" s="847">
        <v>113</v>
      </c>
      <c r="AD8" s="847">
        <v>120</v>
      </c>
      <c r="AE8" s="847">
        <v>101</v>
      </c>
      <c r="AF8" s="847">
        <v>70</v>
      </c>
      <c r="AG8" s="850">
        <v>1</v>
      </c>
      <c r="AH8" s="850">
        <v>0.91</v>
      </c>
      <c r="AI8" s="850">
        <v>0.55000000000000004</v>
      </c>
      <c r="AJ8" s="847">
        <v>12</v>
      </c>
      <c r="AK8" s="847">
        <v>37</v>
      </c>
      <c r="AL8" s="847">
        <v>4</v>
      </c>
      <c r="AM8" s="500"/>
      <c r="AN8" s="847" t="s">
        <v>41</v>
      </c>
      <c r="AO8" s="852"/>
      <c r="AP8" s="847">
        <v>8</v>
      </c>
      <c r="AQ8" s="847">
        <v>27</v>
      </c>
      <c r="AR8" s="847">
        <v>9</v>
      </c>
      <c r="AS8" s="847">
        <v>89</v>
      </c>
      <c r="AT8" s="847">
        <v>382</v>
      </c>
      <c r="AU8" s="847">
        <v>764</v>
      </c>
      <c r="AV8" s="450">
        <v>1</v>
      </c>
      <c r="AW8" s="850">
        <v>1</v>
      </c>
      <c r="AX8" s="451">
        <v>8</v>
      </c>
      <c r="AY8" s="853"/>
      <c r="AZ8" s="450">
        <v>1</v>
      </c>
      <c r="BA8" s="450">
        <v>1</v>
      </c>
      <c r="BB8" s="450">
        <v>1</v>
      </c>
      <c r="BC8" s="450">
        <v>0.88</v>
      </c>
      <c r="BD8" s="450"/>
      <c r="BE8" s="500">
        <v>120</v>
      </c>
      <c r="BF8" s="500"/>
      <c r="BG8" s="500"/>
      <c r="BH8" s="500"/>
      <c r="BI8" s="500"/>
      <c r="BJ8" s="500"/>
      <c r="BK8" s="500"/>
      <c r="BL8" s="854" t="str">
        <f>IF(WWWW[[#This Row],['#_Water samples_Tested_at_water_source]]="","no test","Tested")</f>
        <v>no test</v>
      </c>
      <c r="BM8" s="854" t="str">
        <f>IF(WWWW[[#This Row],['#_Water samples_Tested_at_HH]]="","no test","Tested")</f>
        <v>no test</v>
      </c>
      <c r="BN8" s="855" t="str">
        <f>IF(AND(WWWW[[#This Row],[Water_testing_at source]]="no test",WWWW[[#This Row],[Water_testing_at HH]]="no test"),"No Test","Tested")</f>
        <v>No Test</v>
      </c>
      <c r="BO8"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 s="856">
        <f>WWWW[[#This Row],[% HRP1]]*WWWW[[#This Row],[Total PoP ]]</f>
        <v>2139</v>
      </c>
      <c r="BQ8" s="857">
        <f>WWWW[[#This Row],[HRP1]]/500</f>
        <v>4.2779999999999996</v>
      </c>
      <c r="BR8" s="858">
        <f>1-WWWW[[#This Row],[% HRP1]]</f>
        <v>0</v>
      </c>
      <c r="BS8" s="857">
        <f>WWWW[[#This Row],[%equitable and continuous access to sufficient quantity of safe drinking and domestic water''s GAP]]*WWWW[[#This Row],[Total PoP ]]</f>
        <v>0</v>
      </c>
      <c r="BT8" s="451">
        <f>ROUND(IF(WWWW[[#This Row],[Total PoP ]]&lt;500,1,WWWW[[#This Row],[Total PoP ]]/500),0)</f>
        <v>4</v>
      </c>
      <c r="BU8" s="855">
        <f>IF(WWWW[[#This Row],[Total required water points]]-WWWW[[#This Row],['#Water points coverage]]&lt;0,0,WWWW[[#This Row],[Total required water points]]-WWWW[[#This Row],['#Water points coverage]])</f>
        <v>0</v>
      </c>
      <c r="BV8" s="452">
        <f>WWWW[[#This Row],[HRP2]]/WWWW[[#This Row],[Total PoP ]]</f>
        <v>1</v>
      </c>
      <c r="BW8"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BX8" s="455">
        <f>IF(WWWW[[#This Row],['#_Functional_adult_latrines]]="","",WWWW[[#This Row],[Total PoP ]]/WWWW[[#This Row],['#_Functional_adult_latrines]])</f>
        <v>18.929203539823011</v>
      </c>
      <c r="BY8" s="855">
        <f>WWWW[[#This Row],['#_of_latrines_in_TLS/CFS]]*50</f>
        <v>200</v>
      </c>
      <c r="BZ8" s="451">
        <f>IF(WWWW[[#This Row],['#_of_latrines_in_THF]]="",0,WWWW[[#This Row],['#_of_latrines_in_THF]]*50)</f>
        <v>0</v>
      </c>
      <c r="CA8" s="855">
        <f>ROUND(IF(WWWW[[#This Row],[Location Type 1]]="camp",WWWW[[#This Row],[Total PoP ]]/20),0)</f>
        <v>107</v>
      </c>
      <c r="CB8" s="855">
        <f>IF(WWWW[[#This Row],[Total required Latrines]]-WWWW[[#This Row],['#_Existing_latrines]]&lt;0,0,WWWW[[#This Row],[Total required Latrines]]-WWWW[[#This Row],['#_Existing_latrines]])</f>
        <v>0</v>
      </c>
      <c r="CC8" s="858">
        <f>1-WWWW[[#This Row],[% HRP2]]</f>
        <v>0</v>
      </c>
      <c r="CD8" s="854">
        <f>IF(WWWW[[#This Row],['#_Existing_latrines]]="","NA",(WWWW[[#This Row],['#_Existing_latrines]]-WWWW[[#This Row],['#_Functional_adult_latrines]])/WWWW[[#This Row],['#_Existing_latrines]])</f>
        <v>5.8333333333333334E-2</v>
      </c>
      <c r="CE8"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v>
      </c>
      <c r="CF8" s="857">
        <f>SUM(WWWW[[#This Row],[_'#_of_Men_receiving_consultation_hygiene_promotion_messages_and_sessions]:[_'#_of_Girls_receiving_consultation_hygiene_promotion_messages_and_sessions]])-WWWW[[#This Row],['# people reached by regular dedicated hygiene promotion_5]]</f>
        <v>0</v>
      </c>
      <c r="CG8"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2139</v>
      </c>
      <c r="CH8" s="855">
        <f>IF(WWWW[[#This Row],['#_of_affected_women_and_girls_receiving_a_sufficient_quantity_of_sanitary_pads]]&gt;WWWW[[#This Row],[Total PoP ]],WWWW[[#This Row],[Total PoP ]],WWWW[[#This Row],['#_of_affected_women_and_girls_receiving_a_sufficient_quantity_of_sanitary_pads]])</f>
        <v>764</v>
      </c>
      <c r="CI8" s="855">
        <f>IF(WWWW[[#This Row],['# People with access to soap]]&gt;WWWW[[#This Row],['# People with access to Sanity Pads]],WWWW[[#This Row],['# People with access to soap]],WWWW[[#This Row],['# People with access to Sanity Pads]])</f>
        <v>2139</v>
      </c>
      <c r="CJ8" s="855">
        <f>IF(WWWW[[#This Row],['# people reached by regular dedicated hygiene promotion_5]]&gt;WWWW[[#This Row],['# People received regular supply of hygiene items_6]],WWWW[[#This Row],['# people reached by regular dedicated hygiene promotion_5]],WWWW[[#This Row],['# People received regular supply of hygiene items_6]])</f>
        <v>2139</v>
      </c>
      <c r="CK8" s="858">
        <f>IF(WWWW[[#This Row],[HRP3]]/WWWW[[#This Row],[Total PoP ]]&gt;100%,100%,WWWW[[#This Row],[HRP3]]/WWWW[[#This Row],[Total PoP ]])</f>
        <v>1</v>
      </c>
      <c r="CL8" s="854">
        <f>1-WWWW[[#This Row],[Hygiene Coverage%]]</f>
        <v>0</v>
      </c>
      <c r="CM8" s="850">
        <f>WWWW[[#This Row],['# people reached by regular dedicated hygiene promotion_5]]/WWWW[[#This Row],[Total PoP ]]</f>
        <v>6.2178588125292193E-2</v>
      </c>
      <c r="CN8" s="854">
        <f>IF(WWWW[[#This Row],['#_of_affected_households_receiving_a_sufficient_quantity_of_soap]]/WWWW[[#This Row],[Total HH]]&gt;1,1,WWWW[[#This Row],['#_of_affected_households_receiving_a_sufficient_quantity_of_soap]]/WWWW[[#This Row],[Total HH]])</f>
        <v>1</v>
      </c>
      <c r="CO8" s="455" t="str">
        <f>IF(WWWW[[#This Row],['#_students at TLS_CFS]]="","No","Yes")</f>
        <v>No</v>
      </c>
      <c r="CP8" s="452">
        <f>WWWW[[#This Row],[%_of_affected_people_surveyed_who_report_feeling_informed_about_the_different_WASH_services_available_to_them]]</f>
        <v>1</v>
      </c>
      <c r="CQ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R8" s="500">
        <f>IF(WWWW[[#This Row],['#_PPL_accessed_water_in_TLS]]&gt;WWWW[[#This Row],['# students access to functioning school latrines_HRP5]],WWWW[[#This Row],['#_PPL_accessed_water_in_TLS]],WWWW[[#This Row],['# students access to functioning school latrines_HRP5]])</f>
        <v>200</v>
      </c>
      <c r="CS8" s="500">
        <f>IF(WWWW[[#This Row],['#_PPL_accessed_water_in_THF]]&gt;WWWW[[#This Row],['# people access to functioning latrines in THF_HRP6]],WWWW[[#This Row],['#_PPL_accessed_water_in_THF]],WWWW[[#This Row],['# people access to functioning latrines in THF_HRP6]])</f>
        <v>0</v>
      </c>
      <c r="CT8" s="846" t="str">
        <f>VLOOKUP(WWWW[[#This Row],[Site Name]],SiteDB6[[Site Name]:[CCCM Management]],6,FALSE)</f>
        <v>Yes</v>
      </c>
      <c r="CU8" s="846">
        <f>VLOOKUP(WWWW[[#This Row],[Site Name]],SiteDB6[[Site Name]:[CCCM Focal Agency]],7,FALSE)</f>
        <v>0</v>
      </c>
      <c r="CV8" s="846" t="str">
        <f>VLOOKUP(WWWW[[#This Row],[Site Name]],SiteDB6[[Site Name]:[Location Type 1]],9,FALSE)</f>
        <v>Camp</v>
      </c>
      <c r="CW8" s="846" t="str">
        <f>VLOOKUP(WWWW[[#This Row],[Site Name]],SiteDB6[[Site Name]:[Type of Accommodation]],10,FALSE)</f>
        <v>Planned Camp</v>
      </c>
      <c r="CX8" s="846" t="str">
        <f>VLOOKUP(WWWW[[#This Row],[Site Name]],SiteDB6[[Site Name]:[Ethnic or GCA/NGCA]],11,FALSE)</f>
        <v>Muslim</v>
      </c>
      <c r="CY8" s="846">
        <f>VLOOKUP(WWWW[[#This Row],[Site Name]],SiteDB6[[Site Name]:[Lat]],12,FALSE)</f>
        <v>20.128488999999998</v>
      </c>
      <c r="CZ8" s="846">
        <f>VLOOKUP(WWWW[[#This Row],[Site Name]],SiteDB6[[Site Name]:[Long]],13,FALSE)</f>
        <v>92.875814000000005</v>
      </c>
      <c r="DA8" s="846" t="str">
        <f>VLOOKUP(WWWW[[#This Row],[Site Name]],SiteDB6[[Site Name]:[Pcode]],3,FALSE)</f>
        <v>MMR012CMP039</v>
      </c>
      <c r="DB8" s="859" t="str">
        <f t="shared" si="0"/>
        <v>Covered</v>
      </c>
      <c r="DC8" s="477">
        <f>VLOOKUP(WWWW[[#This Row],[Site Name]],SiteDB6[[Site Name]:[PWD_Total]],22,FALSE)</f>
        <v>100</v>
      </c>
      <c r="DD8" s="477">
        <f>VLOOKUP(WWWW[[#This Row],[Site Name]],SiteDB6[[Site Name]:[PWD_Total]],23,FALSE)</f>
        <v>301</v>
      </c>
      <c r="DE8" s="477">
        <f>WWWW[[#This Row],['# of Male_People with disabilities]]+WWWW[[#This Row],['# of Female_People with disabilities]]</f>
        <v>401</v>
      </c>
      <c r="DF8" s="846"/>
      <c r="DG8" s="859"/>
      <c r="DH8" s="859"/>
      <c r="DI8" s="859"/>
      <c r="DJ8" s="859">
        <f>VLOOKUP(WWWW[[#This Row],[Site Name]],SiteDB6[[Site Name]:[Pop
(CCCM as of Autust 2021)]],16,FALSE)</f>
        <v>380</v>
      </c>
      <c r="DK8" s="859">
        <f>VLOOKUP(WWWW[[#This Row],[Site Name]],SiteDB6[[Site Name]:[Pop
(CCCM as of Autust 2021)]],17,FALSE)</f>
        <v>2435</v>
      </c>
    </row>
    <row r="9" spans="1:115">
      <c r="A9" s="815" t="s">
        <v>3143</v>
      </c>
      <c r="B9" s="844" t="s">
        <v>2270</v>
      </c>
      <c r="C9" s="845" t="s">
        <v>2270</v>
      </c>
      <c r="D9" s="845" t="s">
        <v>40</v>
      </c>
      <c r="E9" s="845" t="s">
        <v>293</v>
      </c>
      <c r="F9" s="845" t="s">
        <v>294</v>
      </c>
      <c r="G9" s="846" t="s">
        <v>43</v>
      </c>
      <c r="H9" s="845" t="s">
        <v>424</v>
      </c>
      <c r="I9" s="847">
        <v>1012</v>
      </c>
      <c r="J9" s="847">
        <v>4875</v>
      </c>
      <c r="K9" s="684">
        <f>WWWW[[#This Row],[Total PoP ]]/WWWW[[#This Row],[Total HH]]</f>
        <v>4.8171936758893281</v>
      </c>
      <c r="L9" s="848">
        <v>44652</v>
      </c>
      <c r="M9" s="849">
        <v>44742</v>
      </c>
      <c r="N9" s="847"/>
      <c r="O9" s="500">
        <v>42</v>
      </c>
      <c r="P9" s="847">
        <v>50</v>
      </c>
      <c r="Q9" s="500"/>
      <c r="R9" s="500"/>
      <c r="S9" s="847"/>
      <c r="T9" s="847"/>
      <c r="U9" s="847"/>
      <c r="V9" s="850"/>
      <c r="W9" s="847"/>
      <c r="X9" s="850"/>
      <c r="Y9" s="847"/>
      <c r="Z9" s="500"/>
      <c r="AA9" s="500"/>
      <c r="AB9" s="851"/>
      <c r="AC9" s="847">
        <v>232</v>
      </c>
      <c r="AD9" s="847">
        <v>254</v>
      </c>
      <c r="AE9" s="847">
        <v>221</v>
      </c>
      <c r="AF9" s="847">
        <v>285</v>
      </c>
      <c r="AG9" s="850">
        <v>1</v>
      </c>
      <c r="AH9" s="850">
        <v>0.97</v>
      </c>
      <c r="AI9" s="850">
        <v>0.11</v>
      </c>
      <c r="AJ9" s="847">
        <v>12</v>
      </c>
      <c r="AK9" s="847">
        <v>183</v>
      </c>
      <c r="AL9" s="847">
        <v>11</v>
      </c>
      <c r="AM9" s="500"/>
      <c r="AN9" s="847" t="s">
        <v>41</v>
      </c>
      <c r="AO9" s="852"/>
      <c r="AP9" s="847">
        <v>37</v>
      </c>
      <c r="AQ9" s="847">
        <v>26</v>
      </c>
      <c r="AR9" s="847">
        <v>8</v>
      </c>
      <c r="AS9" s="847">
        <v>131</v>
      </c>
      <c r="AT9" s="847">
        <v>1012</v>
      </c>
      <c r="AU9" s="847">
        <v>2024</v>
      </c>
      <c r="AV9" s="450">
        <v>0.86</v>
      </c>
      <c r="AW9" s="850">
        <v>1</v>
      </c>
      <c r="AX9" s="451">
        <v>0</v>
      </c>
      <c r="AY9" s="853"/>
      <c r="AZ9" s="450">
        <v>0.94</v>
      </c>
      <c r="BA9" s="450">
        <v>0.87</v>
      </c>
      <c r="BB9" s="450">
        <v>0.9</v>
      </c>
      <c r="BC9" s="450">
        <v>0.86</v>
      </c>
      <c r="BD9" s="450"/>
      <c r="BE9" s="500">
        <v>254</v>
      </c>
      <c r="BF9" s="500"/>
      <c r="BG9" s="500"/>
      <c r="BH9" s="500"/>
      <c r="BI9" s="500"/>
      <c r="BJ9" s="500"/>
      <c r="BK9" s="500"/>
      <c r="BL9" s="854" t="str">
        <f>IF(WWWW[[#This Row],['#_Water samples_Tested_at_water_source]]="","no test","Tested")</f>
        <v>no test</v>
      </c>
      <c r="BM9" s="854" t="str">
        <f>IF(WWWW[[#This Row],['#_Water samples_Tested_at_HH]]="","no test","Tested")</f>
        <v>no test</v>
      </c>
      <c r="BN9" s="855" t="str">
        <f>IF(AND(WWWW[[#This Row],[Water_testing_at source]]="no test",WWWW[[#This Row],[Water_testing_at HH]]="no test"),"No Test","Tested")</f>
        <v>No Test</v>
      </c>
      <c r="BO9"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9" s="856">
        <f>WWWW[[#This Row],[% HRP1]]*WWWW[[#This Row],[Total PoP ]]</f>
        <v>4875</v>
      </c>
      <c r="BQ9" s="857">
        <f>WWWW[[#This Row],[HRP1]]/500</f>
        <v>9.75</v>
      </c>
      <c r="BR9" s="858">
        <f>1-WWWW[[#This Row],[% HRP1]]</f>
        <v>0</v>
      </c>
      <c r="BS9" s="857">
        <f>WWWW[[#This Row],[%equitable and continuous access to sufficient quantity of safe drinking and domestic water''s GAP]]*WWWW[[#This Row],[Total PoP ]]</f>
        <v>0</v>
      </c>
      <c r="BT9" s="451">
        <f>ROUND(IF(WWWW[[#This Row],[Total PoP ]]&lt;500,1,WWWW[[#This Row],[Total PoP ]]/500),0)</f>
        <v>10</v>
      </c>
      <c r="BU9" s="855">
        <f>IF(WWWW[[#This Row],[Total required water points]]-WWWW[[#This Row],['#Water points coverage]]&lt;0,0,WWWW[[#This Row],[Total required water points]]-WWWW[[#This Row],['#Water points coverage]])</f>
        <v>0.25</v>
      </c>
      <c r="BV9" s="452">
        <f>WWWW[[#This Row],[HRP2]]/WWWW[[#This Row],[Total PoP ]]</f>
        <v>1</v>
      </c>
      <c r="BW9"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4875</v>
      </c>
      <c r="BX9" s="455">
        <f>IF(WWWW[[#This Row],['#_Functional_adult_latrines]]="","",WWWW[[#This Row],[Total PoP ]]/WWWW[[#This Row],['#_Functional_adult_latrines]])</f>
        <v>21.012931034482758</v>
      </c>
      <c r="BY9" s="855">
        <f>WWWW[[#This Row],['#_of_latrines_in_TLS/CFS]]*50</f>
        <v>550</v>
      </c>
      <c r="BZ9" s="451">
        <f>IF(WWWW[[#This Row],['#_of_latrines_in_THF]]="",0,WWWW[[#This Row],['#_of_latrines_in_THF]]*50)</f>
        <v>0</v>
      </c>
      <c r="CA9" s="855">
        <f>ROUND(IF(WWWW[[#This Row],[Location Type 1]]="camp",WWWW[[#This Row],[Total PoP ]]/20),0)</f>
        <v>244</v>
      </c>
      <c r="CB9" s="855">
        <f>IF(WWWW[[#This Row],[Total required Latrines]]-WWWW[[#This Row],['#_Existing_latrines]]&lt;0,0,WWWW[[#This Row],[Total required Latrines]]-WWWW[[#This Row],['#_Existing_latrines]])</f>
        <v>0</v>
      </c>
      <c r="CC9" s="858">
        <f>1-WWWW[[#This Row],[% HRP2]]</f>
        <v>0</v>
      </c>
      <c r="CD9" s="854">
        <f>IF(WWWW[[#This Row],['#_Existing_latrines]]="","NA",(WWWW[[#This Row],['#_Existing_latrines]]-WWWW[[#This Row],['#_Functional_adult_latrines]])/WWWW[[#This Row],['#_Existing_latrines]])</f>
        <v>8.6614173228346455E-2</v>
      </c>
      <c r="CE9"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202</v>
      </c>
      <c r="CF9" s="857">
        <f>SUM(WWWW[[#This Row],[_'#_of_Men_receiving_consultation_hygiene_promotion_messages_and_sessions]:[_'#_of_Girls_receiving_consultation_hygiene_promotion_messages_and_sessions]])-WWWW[[#This Row],['# people reached by regular dedicated hygiene promotion_5]]</f>
        <v>0</v>
      </c>
      <c r="CG9"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4875</v>
      </c>
      <c r="CH9" s="855">
        <f>IF(WWWW[[#This Row],['#_of_affected_women_and_girls_receiving_a_sufficient_quantity_of_sanitary_pads]]&gt;WWWW[[#This Row],[Total PoP ]],WWWW[[#This Row],[Total PoP ]],WWWW[[#This Row],['#_of_affected_women_and_girls_receiving_a_sufficient_quantity_of_sanitary_pads]])</f>
        <v>2024</v>
      </c>
      <c r="CI9" s="855">
        <f>IF(WWWW[[#This Row],['# People with access to soap]]&gt;WWWW[[#This Row],['# People with access to Sanity Pads]],WWWW[[#This Row],['# People with access to soap]],WWWW[[#This Row],['# People with access to Sanity Pads]])</f>
        <v>4875</v>
      </c>
      <c r="CJ9" s="855">
        <f>IF(WWWW[[#This Row],['# people reached by regular dedicated hygiene promotion_5]]&gt;WWWW[[#This Row],['# People received regular supply of hygiene items_6]],WWWW[[#This Row],['# people reached by regular dedicated hygiene promotion_5]],WWWW[[#This Row],['# People received regular supply of hygiene items_6]])</f>
        <v>4875</v>
      </c>
      <c r="CK9" s="858">
        <f>IF(WWWW[[#This Row],[HRP3]]/WWWW[[#This Row],[Total PoP ]]&gt;100%,100%,WWWW[[#This Row],[HRP3]]/WWWW[[#This Row],[Total PoP ]])</f>
        <v>1</v>
      </c>
      <c r="CL9" s="854">
        <f>1-WWWW[[#This Row],[Hygiene Coverage%]]</f>
        <v>0</v>
      </c>
      <c r="CM9" s="850">
        <f>WWWW[[#This Row],['# people reached by regular dedicated hygiene promotion_5]]/WWWW[[#This Row],[Total PoP ]]</f>
        <v>4.1435897435897436E-2</v>
      </c>
      <c r="CN9" s="854">
        <f>IF(WWWW[[#This Row],['#_of_affected_households_receiving_a_sufficient_quantity_of_soap]]/WWWW[[#This Row],[Total HH]]&gt;1,1,WWWW[[#This Row],['#_of_affected_households_receiving_a_sufficient_quantity_of_soap]]/WWWW[[#This Row],[Total HH]])</f>
        <v>1</v>
      </c>
      <c r="CO9" s="455" t="str">
        <f>IF(WWWW[[#This Row],['#_students at TLS_CFS]]="","No","Yes")</f>
        <v>No</v>
      </c>
      <c r="CP9" s="452">
        <f>WWWW[[#This Row],[%_of_affected_people_surveyed_who_report_feeling_informed_about_the_different_WASH_services_available_to_them]]</f>
        <v>0.9</v>
      </c>
      <c r="CQ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R9" s="500">
        <f>IF(WWWW[[#This Row],['#_PPL_accessed_water_in_TLS]]&gt;WWWW[[#This Row],['# students access to functioning school latrines_HRP5]],WWWW[[#This Row],['#_PPL_accessed_water_in_TLS]],WWWW[[#This Row],['# students access to functioning school latrines_HRP5]])</f>
        <v>550</v>
      </c>
      <c r="CS9" s="500">
        <f>IF(WWWW[[#This Row],['#_PPL_accessed_water_in_THF]]&gt;WWWW[[#This Row],['# people access to functioning latrines in THF_HRP6]],WWWW[[#This Row],['#_PPL_accessed_water_in_THF]],WWWW[[#This Row],['# people access to functioning latrines in THF_HRP6]])</f>
        <v>0</v>
      </c>
      <c r="CT9" s="846" t="str">
        <f>VLOOKUP(WWWW[[#This Row],[Site Name]],SiteDB6[[Site Name]:[CCCM Management]],6,FALSE)</f>
        <v>Yes</v>
      </c>
      <c r="CU9" s="846">
        <f>VLOOKUP(WWWW[[#This Row],[Site Name]],SiteDB6[[Site Name]:[CCCM Focal Agency]],7,FALSE)</f>
        <v>0</v>
      </c>
      <c r="CV9" s="846" t="str">
        <f>VLOOKUP(WWWW[[#This Row],[Site Name]],SiteDB6[[Site Name]:[Location Type 1]],9,FALSE)</f>
        <v>Camp</v>
      </c>
      <c r="CW9" s="846" t="str">
        <f>VLOOKUP(WWWW[[#This Row],[Site Name]],SiteDB6[[Site Name]:[Type of Accommodation]],10,FALSE)</f>
        <v>Planned Camp</v>
      </c>
      <c r="CX9" s="846" t="str">
        <f>VLOOKUP(WWWW[[#This Row],[Site Name]],SiteDB6[[Site Name]:[Ethnic or GCA/NGCA]],11,FALSE)</f>
        <v>Muslim</v>
      </c>
      <c r="CY9" s="846">
        <f>VLOOKUP(WWWW[[#This Row],[Site Name]],SiteDB6[[Site Name]:[Lat]],12,FALSE)</f>
        <v>20.179417000000001</v>
      </c>
      <c r="CZ9" s="846">
        <f>VLOOKUP(WWWW[[#This Row],[Site Name]],SiteDB6[[Site Name]:[Long]],13,FALSE)</f>
        <v>92.813028000000003</v>
      </c>
      <c r="DA9" s="846" t="str">
        <f>VLOOKUP(WWWW[[#This Row],[Site Name]],SiteDB6[[Site Name]:[Pcode]],3,FALSE)</f>
        <v>MMR012CMP113</v>
      </c>
      <c r="DB9" s="859" t="str">
        <f t="shared" si="0"/>
        <v>Covered</v>
      </c>
      <c r="DC9" s="477">
        <f>VLOOKUP(WWWW[[#This Row],[Site Name]],SiteDB6[[Site Name]:[PWD_Total]],22,FALSE)</f>
        <v>46</v>
      </c>
      <c r="DD9" s="477">
        <f>VLOOKUP(WWWW[[#This Row],[Site Name]],SiteDB6[[Site Name]:[PWD_Total]],23,FALSE)</f>
        <v>436</v>
      </c>
      <c r="DE9" s="477">
        <f>WWWW[[#This Row],['# of Male_People with disabilities]]+WWWW[[#This Row],['# of Female_People with disabilities]]</f>
        <v>482</v>
      </c>
      <c r="DF9" s="846"/>
      <c r="DG9" s="859"/>
      <c r="DH9" s="859"/>
      <c r="DI9" s="859"/>
      <c r="DJ9" s="859">
        <f>VLOOKUP(WWWW[[#This Row],[Site Name]],SiteDB6[[Site Name]:[Pop
(CCCM as of Autust 2021)]],16,FALSE)</f>
        <v>1012</v>
      </c>
      <c r="DK9" s="859">
        <f>VLOOKUP(WWWW[[#This Row],[Site Name]],SiteDB6[[Site Name]:[Pop
(CCCM as of Autust 2021)]],17,FALSE)</f>
        <v>5066</v>
      </c>
    </row>
    <row r="10" spans="1:115">
      <c r="A10" s="815" t="s">
        <v>3143</v>
      </c>
      <c r="B10" s="845" t="s">
        <v>2270</v>
      </c>
      <c r="C10" s="845" t="s">
        <v>2270</v>
      </c>
      <c r="D10" s="845" t="s">
        <v>40</v>
      </c>
      <c r="E10" s="845" t="s">
        <v>293</v>
      </c>
      <c r="F10" s="845" t="s">
        <v>294</v>
      </c>
      <c r="G10" s="846" t="s">
        <v>43</v>
      </c>
      <c r="H10" s="845" t="s">
        <v>426</v>
      </c>
      <c r="I10" s="847">
        <v>1331</v>
      </c>
      <c r="J10" s="847">
        <v>7033</v>
      </c>
      <c r="K10" s="684">
        <f>WWWW[[#This Row],[Total PoP ]]/WWWW[[#This Row],[Total HH]]</f>
        <v>5.2839969947407965</v>
      </c>
      <c r="L10" s="848">
        <v>44652</v>
      </c>
      <c r="M10" s="849">
        <v>44742</v>
      </c>
      <c r="N10" s="847"/>
      <c r="O10" s="500">
        <v>69</v>
      </c>
      <c r="P10" s="847">
        <v>79</v>
      </c>
      <c r="Q10" s="500"/>
      <c r="R10" s="500"/>
      <c r="S10" s="847"/>
      <c r="T10" s="847"/>
      <c r="U10" s="847"/>
      <c r="V10" s="850"/>
      <c r="W10" s="847"/>
      <c r="X10" s="850"/>
      <c r="Y10" s="847"/>
      <c r="Z10" s="500"/>
      <c r="AA10" s="500"/>
      <c r="AB10" s="851"/>
      <c r="AC10" s="847">
        <v>265</v>
      </c>
      <c r="AD10" s="847">
        <v>328</v>
      </c>
      <c r="AE10" s="847"/>
      <c r="AF10" s="847"/>
      <c r="AG10" s="850"/>
      <c r="AH10" s="850"/>
      <c r="AI10" s="850"/>
      <c r="AJ10" s="847">
        <v>12</v>
      </c>
      <c r="AK10" s="847"/>
      <c r="AL10" s="847"/>
      <c r="AM10" s="500"/>
      <c r="AN10" s="847" t="s">
        <v>41</v>
      </c>
      <c r="AO10" s="852"/>
      <c r="AP10" s="847"/>
      <c r="AQ10" s="847"/>
      <c r="AR10" s="847"/>
      <c r="AS10" s="847"/>
      <c r="AT10" s="847">
        <v>1331</v>
      </c>
      <c r="AU10" s="847">
        <v>2662</v>
      </c>
      <c r="AV10" s="450"/>
      <c r="AW10" s="850"/>
      <c r="AX10" s="451"/>
      <c r="AY10" s="853"/>
      <c r="AZ10" s="450"/>
      <c r="BA10" s="450"/>
      <c r="BB10" s="450"/>
      <c r="BC10" s="450"/>
      <c r="BD10" s="450"/>
      <c r="BE10" s="500">
        <v>328</v>
      </c>
      <c r="BF10" s="500"/>
      <c r="BG10" s="500"/>
      <c r="BH10" s="500"/>
      <c r="BI10" s="500"/>
      <c r="BJ10" s="500"/>
      <c r="BK10" s="500"/>
      <c r="BL10" s="854" t="str">
        <f>IF(WWWW[[#This Row],['#_Water samples_Tested_at_water_source]]="","no test","Tested")</f>
        <v>no test</v>
      </c>
      <c r="BM10" s="854" t="str">
        <f>IF(WWWW[[#This Row],['#_Water samples_Tested_at_HH]]="","no test","Tested")</f>
        <v>no test</v>
      </c>
      <c r="BN10" s="855" t="str">
        <f>IF(AND(WWWW[[#This Row],[Water_testing_at source]]="no test",WWWW[[#This Row],[Water_testing_at HH]]="no test"),"No Test","Tested")</f>
        <v>No Test</v>
      </c>
      <c r="BO10"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0" s="856">
        <f>WWWW[[#This Row],[% HRP1]]*WWWW[[#This Row],[Total PoP ]]</f>
        <v>7033</v>
      </c>
      <c r="BQ10" s="857">
        <f>WWWW[[#This Row],[HRP1]]/500</f>
        <v>14.066000000000001</v>
      </c>
      <c r="BR10" s="858">
        <f>1-WWWW[[#This Row],[% HRP1]]</f>
        <v>0</v>
      </c>
      <c r="BS10" s="857">
        <f>WWWW[[#This Row],[%equitable and continuous access to sufficient quantity of safe drinking and domestic water''s GAP]]*WWWW[[#This Row],[Total PoP ]]</f>
        <v>0</v>
      </c>
      <c r="BT10" s="451">
        <f>ROUND(IF(WWWW[[#This Row],[Total PoP ]]&lt;500,1,WWWW[[#This Row],[Total PoP ]]/500),0)</f>
        <v>14</v>
      </c>
      <c r="BU10" s="855">
        <f>IF(WWWW[[#This Row],[Total required water points]]-WWWW[[#This Row],['#Water points coverage]]&lt;0,0,WWWW[[#This Row],[Total required water points]]-WWWW[[#This Row],['#Water points coverage]])</f>
        <v>0</v>
      </c>
      <c r="BV10" s="452">
        <f>WWWW[[#This Row],[HRP2]]/WWWW[[#This Row],[Total PoP ]]</f>
        <v>0.78771505758566762</v>
      </c>
      <c r="BW10"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5540</v>
      </c>
      <c r="BX10" s="455">
        <f>IF(WWWW[[#This Row],['#_Functional_adult_latrines]]="","",WWWW[[#This Row],[Total PoP ]]/WWWW[[#This Row],['#_Functional_adult_latrines]])</f>
        <v>26.539622641509435</v>
      </c>
      <c r="BY10" s="855">
        <f>WWWW[[#This Row],['#_of_latrines_in_TLS/CFS]]*50</f>
        <v>0</v>
      </c>
      <c r="BZ10" s="451">
        <f>IF(WWWW[[#This Row],['#_of_latrines_in_THF]]="",0,WWWW[[#This Row],['#_of_latrines_in_THF]]*50)</f>
        <v>0</v>
      </c>
      <c r="CA10" s="855">
        <f>ROUND(IF(WWWW[[#This Row],[Location Type 1]]="camp",WWWW[[#This Row],[Total PoP ]]/20),0)</f>
        <v>352</v>
      </c>
      <c r="CB10" s="855">
        <f>IF(WWWW[[#This Row],[Total required Latrines]]-WWWW[[#This Row],['#_Existing_latrines]]&lt;0,0,WWWW[[#This Row],[Total required Latrines]]-WWWW[[#This Row],['#_Existing_latrines]])</f>
        <v>24</v>
      </c>
      <c r="CC10" s="858">
        <f>1-WWWW[[#This Row],[% HRP2]]</f>
        <v>0.21228494241433238</v>
      </c>
      <c r="CD10" s="854">
        <f>IF(WWWW[[#This Row],['#_Existing_latrines]]="","NA",(WWWW[[#This Row],['#_Existing_latrines]]-WWWW[[#This Row],['#_Functional_adult_latrines]])/WWWW[[#This Row],['#_Existing_latrines]])</f>
        <v>0.19207317073170732</v>
      </c>
      <c r="CE10"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0" s="857">
        <f>SUM(WWWW[[#This Row],[_'#_of_Men_receiving_consultation_hygiene_promotion_messages_and_sessions]:[_'#_of_Girls_receiving_consultation_hygiene_promotion_messages_and_sessions]])-WWWW[[#This Row],['# people reached by regular dedicated hygiene promotion_5]]</f>
        <v>0</v>
      </c>
      <c r="CG10"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7033</v>
      </c>
      <c r="CH10" s="855">
        <f>IF(WWWW[[#This Row],['#_of_affected_women_and_girls_receiving_a_sufficient_quantity_of_sanitary_pads]]&gt;WWWW[[#This Row],[Total PoP ]],WWWW[[#This Row],[Total PoP ]],WWWW[[#This Row],['#_of_affected_women_and_girls_receiving_a_sufficient_quantity_of_sanitary_pads]])</f>
        <v>2662</v>
      </c>
      <c r="CI10" s="855">
        <f>IF(WWWW[[#This Row],['# People with access to soap]]&gt;WWWW[[#This Row],['# People with access to Sanity Pads]],WWWW[[#This Row],['# People with access to soap]],WWWW[[#This Row],['# People with access to Sanity Pads]])</f>
        <v>7033</v>
      </c>
      <c r="CJ10" s="855">
        <f>IF(WWWW[[#This Row],['# people reached by regular dedicated hygiene promotion_5]]&gt;WWWW[[#This Row],['# People received regular supply of hygiene items_6]],WWWW[[#This Row],['# people reached by regular dedicated hygiene promotion_5]],WWWW[[#This Row],['# People received regular supply of hygiene items_6]])</f>
        <v>7033</v>
      </c>
      <c r="CK10" s="858">
        <f>IF(WWWW[[#This Row],[HRP3]]/WWWW[[#This Row],[Total PoP ]]&gt;100%,100%,WWWW[[#This Row],[HRP3]]/WWWW[[#This Row],[Total PoP ]])</f>
        <v>1</v>
      </c>
      <c r="CL10" s="854">
        <f>1-WWWW[[#This Row],[Hygiene Coverage%]]</f>
        <v>0</v>
      </c>
      <c r="CM10" s="850">
        <f>WWWW[[#This Row],['# people reached by regular dedicated hygiene promotion_5]]/WWWW[[#This Row],[Total PoP ]]</f>
        <v>0</v>
      </c>
      <c r="CN10" s="854">
        <f>IF(WWWW[[#This Row],['#_of_affected_households_receiving_a_sufficient_quantity_of_soap]]/WWWW[[#This Row],[Total HH]]&gt;1,1,WWWW[[#This Row],['#_of_affected_households_receiving_a_sufficient_quantity_of_soap]]/WWWW[[#This Row],[Total HH]])</f>
        <v>1</v>
      </c>
      <c r="CO10" s="455" t="str">
        <f>IF(WWWW[[#This Row],['#_students at TLS_CFS]]="","No","Yes")</f>
        <v>No</v>
      </c>
      <c r="CP10" s="452">
        <f>WWWW[[#This Row],[%_of_affected_people_surveyed_who_report_feeling_informed_about_the_different_WASH_services_available_to_them]]</f>
        <v>0</v>
      </c>
      <c r="CQ1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328</v>
      </c>
      <c r="CR10" s="500">
        <f>IF(WWWW[[#This Row],['#_PPL_accessed_water_in_TLS]]&gt;WWWW[[#This Row],['# students access to functioning school latrines_HRP5]],WWWW[[#This Row],['#_PPL_accessed_water_in_TLS]],WWWW[[#This Row],['# students access to functioning school latrines_HRP5]])</f>
        <v>0</v>
      </c>
      <c r="CS10" s="500">
        <f>IF(WWWW[[#This Row],['#_PPL_accessed_water_in_THF]]&gt;WWWW[[#This Row],['# people access to functioning latrines in THF_HRP6]],WWWW[[#This Row],['#_PPL_accessed_water_in_THF]],WWWW[[#This Row],['# people access to functioning latrines in THF_HRP6]])</f>
        <v>0</v>
      </c>
      <c r="CT10" s="846" t="str">
        <f>VLOOKUP(WWWW[[#This Row],[Site Name]],SiteDB6[[Site Name]:[CCCM Management]],6,FALSE)</f>
        <v>Yes</v>
      </c>
      <c r="CU10" s="846">
        <f>VLOOKUP(WWWW[[#This Row],[Site Name]],SiteDB6[[Site Name]:[CCCM Focal Agency]],7,FALSE)</f>
        <v>0</v>
      </c>
      <c r="CV10" s="846" t="str">
        <f>VLOOKUP(WWWW[[#This Row],[Site Name]],SiteDB6[[Site Name]:[Location Type 1]],9,FALSE)</f>
        <v>Camp</v>
      </c>
      <c r="CW10" s="846" t="str">
        <f>VLOOKUP(WWWW[[#This Row],[Site Name]],SiteDB6[[Site Name]:[Type of Accommodation]],10,FALSE)</f>
        <v>Planned Camp</v>
      </c>
      <c r="CX10" s="846" t="str">
        <f>VLOOKUP(WWWW[[#This Row],[Site Name]],SiteDB6[[Site Name]:[Ethnic or GCA/NGCA]],11,FALSE)</f>
        <v>Muslim</v>
      </c>
      <c r="CY10" s="846">
        <f>VLOOKUP(WWWW[[#This Row],[Site Name]],SiteDB6[[Site Name]:[Lat]],12,FALSE)</f>
        <v>20.181405999999999</v>
      </c>
      <c r="CZ10" s="846">
        <f>VLOOKUP(WWWW[[#This Row],[Site Name]],SiteDB6[[Site Name]:[Long]],13,FALSE)</f>
        <v>92.807552000000001</v>
      </c>
      <c r="DA10" s="846" t="str">
        <f>VLOOKUP(WWWW[[#This Row],[Site Name]],SiteDB6[[Site Name]:[Pcode]],3,FALSE)</f>
        <v>MMR012CMP114</v>
      </c>
      <c r="DB10" s="859" t="str">
        <f t="shared" si="0"/>
        <v>Covered</v>
      </c>
      <c r="DC10" s="477">
        <f>VLOOKUP(WWWW[[#This Row],[Site Name]],SiteDB6[[Site Name]:[PWD_Total]],22,FALSE)</f>
        <v>242</v>
      </c>
      <c r="DD10" s="477">
        <f>VLOOKUP(WWWW[[#This Row],[Site Name]],SiteDB6[[Site Name]:[PWD_Total]],23,FALSE)</f>
        <v>822</v>
      </c>
      <c r="DE10" s="477">
        <f>WWWW[[#This Row],['# of Male_People with disabilities]]+WWWW[[#This Row],['# of Female_People with disabilities]]</f>
        <v>1064</v>
      </c>
      <c r="DF10" s="846"/>
      <c r="DG10" s="859"/>
      <c r="DH10" s="859"/>
      <c r="DI10" s="859"/>
      <c r="DJ10" s="859">
        <f>VLOOKUP(WWWW[[#This Row],[Site Name]],SiteDB6[[Site Name]:[Pop
(CCCM as of Autust 2021)]],16,FALSE)</f>
        <v>1346</v>
      </c>
      <c r="DK10" s="859">
        <f>VLOOKUP(WWWW[[#This Row],[Site Name]],SiteDB6[[Site Name]:[Pop
(CCCM as of Autust 2021)]],17,FALSE)</f>
        <v>8414</v>
      </c>
    </row>
    <row r="11" spans="1:115">
      <c r="A11" s="815" t="s">
        <v>3143</v>
      </c>
      <c r="B11" s="845" t="s">
        <v>2270</v>
      </c>
      <c r="C11" s="845" t="s">
        <v>2270</v>
      </c>
      <c r="D11" s="845" t="s">
        <v>40</v>
      </c>
      <c r="E11" s="845" t="s">
        <v>293</v>
      </c>
      <c r="F11" s="845" t="s">
        <v>294</v>
      </c>
      <c r="G11" s="846" t="s">
        <v>43</v>
      </c>
      <c r="H11" s="845" t="s">
        <v>423</v>
      </c>
      <c r="I11" s="847">
        <v>1850</v>
      </c>
      <c r="J11" s="847">
        <v>11056</v>
      </c>
      <c r="K11" s="684">
        <f>WWWW[[#This Row],[Total PoP ]]/WWWW[[#This Row],[Total HH]]</f>
        <v>5.9762162162162165</v>
      </c>
      <c r="L11" s="848">
        <v>44652</v>
      </c>
      <c r="M11" s="849">
        <v>44742</v>
      </c>
      <c r="N11" s="847"/>
      <c r="O11" s="500">
        <v>79</v>
      </c>
      <c r="P11" s="847">
        <v>86</v>
      </c>
      <c r="Q11" s="500"/>
      <c r="R11" s="500"/>
      <c r="S11" s="847"/>
      <c r="T11" s="847"/>
      <c r="U11" s="847"/>
      <c r="V11" s="850"/>
      <c r="W11" s="847"/>
      <c r="X11" s="850"/>
      <c r="Y11" s="847"/>
      <c r="Z11" s="500"/>
      <c r="AA11" s="500"/>
      <c r="AB11" s="851"/>
      <c r="AC11" s="847">
        <v>438</v>
      </c>
      <c r="AD11" s="847">
        <v>570</v>
      </c>
      <c r="AE11" s="847">
        <v>213</v>
      </c>
      <c r="AF11" s="847">
        <v>191</v>
      </c>
      <c r="AG11" s="850"/>
      <c r="AH11" s="850">
        <v>0.94</v>
      </c>
      <c r="AI11" s="850">
        <v>0.77</v>
      </c>
      <c r="AJ11" s="847">
        <v>12</v>
      </c>
      <c r="AK11" s="847">
        <v>68</v>
      </c>
      <c r="AL11" s="847">
        <v>7</v>
      </c>
      <c r="AM11" s="500"/>
      <c r="AN11" s="847" t="s">
        <v>41</v>
      </c>
      <c r="AO11" s="852"/>
      <c r="AP11" s="847">
        <v>45</v>
      </c>
      <c r="AQ11" s="847">
        <v>25</v>
      </c>
      <c r="AR11" s="847">
        <v>8</v>
      </c>
      <c r="AS11" s="847">
        <v>135</v>
      </c>
      <c r="AT11" s="847">
        <v>1850</v>
      </c>
      <c r="AU11" s="847">
        <v>3700</v>
      </c>
      <c r="AV11" s="450">
        <v>0.96</v>
      </c>
      <c r="AW11" s="850">
        <v>1</v>
      </c>
      <c r="AX11" s="451">
        <v>0</v>
      </c>
      <c r="AY11" s="853"/>
      <c r="AZ11" s="450">
        <v>1</v>
      </c>
      <c r="BA11" s="450">
        <v>1</v>
      </c>
      <c r="BB11" s="450">
        <v>1</v>
      </c>
      <c r="BC11" s="450">
        <v>0.79</v>
      </c>
      <c r="BD11" s="450"/>
      <c r="BE11" s="500">
        <v>570</v>
      </c>
      <c r="BF11" s="500"/>
      <c r="BG11" s="500"/>
      <c r="BH11" s="500"/>
      <c r="BI11" s="500"/>
      <c r="BJ11" s="500"/>
      <c r="BK11" s="500"/>
      <c r="BL11" s="854" t="str">
        <f>IF(WWWW[[#This Row],['#_Water samples_Tested_at_water_source]]="","no test","Tested")</f>
        <v>no test</v>
      </c>
      <c r="BM11" s="854" t="str">
        <f>IF(WWWW[[#This Row],['#_Water samples_Tested_at_HH]]="","no test","Tested")</f>
        <v>no test</v>
      </c>
      <c r="BN11" s="855" t="str">
        <f>IF(AND(WWWW[[#This Row],[Water_testing_at source]]="no test",WWWW[[#This Row],[Water_testing_at HH]]="no test"),"No Test","Tested")</f>
        <v>No Test</v>
      </c>
      <c r="BO11"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1" s="856">
        <f>WWWW[[#This Row],[% HRP1]]*WWWW[[#This Row],[Total PoP ]]</f>
        <v>11056</v>
      </c>
      <c r="BQ11" s="857">
        <f>WWWW[[#This Row],[HRP1]]/500</f>
        <v>22.111999999999998</v>
      </c>
      <c r="BR11" s="858">
        <f>1-WWWW[[#This Row],[% HRP1]]</f>
        <v>0</v>
      </c>
      <c r="BS11" s="857">
        <f>WWWW[[#This Row],[%equitable and continuous access to sufficient quantity of safe drinking and domestic water''s GAP]]*WWWW[[#This Row],[Total PoP ]]</f>
        <v>0</v>
      </c>
      <c r="BT11" s="451">
        <f>ROUND(IF(WWWW[[#This Row],[Total PoP ]]&lt;500,1,WWWW[[#This Row],[Total PoP ]]/500),0)</f>
        <v>22</v>
      </c>
      <c r="BU11" s="855">
        <f>IF(WWWW[[#This Row],[Total required water points]]-WWWW[[#This Row],['#Water points coverage]]&lt;0,0,WWWW[[#This Row],[Total required water points]]-WWWW[[#This Row],['#Water points coverage]])</f>
        <v>0</v>
      </c>
      <c r="BV11" s="452">
        <f>WWWW[[#This Row],[HRP2]]/WWWW[[#This Row],[Total PoP ]]</f>
        <v>0.82018813314037631</v>
      </c>
      <c r="BW11"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9068</v>
      </c>
      <c r="BX11" s="455">
        <f>IF(WWWW[[#This Row],['#_Functional_adult_latrines]]="","",WWWW[[#This Row],[Total PoP ]]/WWWW[[#This Row],['#_Functional_adult_latrines]])</f>
        <v>25.24200913242009</v>
      </c>
      <c r="BY11" s="855">
        <f>WWWW[[#This Row],['#_of_latrines_in_TLS/CFS]]*50</f>
        <v>350</v>
      </c>
      <c r="BZ11" s="451">
        <f>IF(WWWW[[#This Row],['#_of_latrines_in_THF]]="",0,WWWW[[#This Row],['#_of_latrines_in_THF]]*50)</f>
        <v>0</v>
      </c>
      <c r="CA11" s="855">
        <f>ROUND(IF(WWWW[[#This Row],[Location Type 1]]="camp",WWWW[[#This Row],[Total PoP ]]/20),0)</f>
        <v>553</v>
      </c>
      <c r="CB11" s="855">
        <f>IF(WWWW[[#This Row],[Total required Latrines]]-WWWW[[#This Row],['#_Existing_latrines]]&lt;0,0,WWWW[[#This Row],[Total required Latrines]]-WWWW[[#This Row],['#_Existing_latrines]])</f>
        <v>0</v>
      </c>
      <c r="CC11" s="858">
        <f>1-WWWW[[#This Row],[% HRP2]]</f>
        <v>0.17981186685962369</v>
      </c>
      <c r="CD11" s="854">
        <f>IF(WWWW[[#This Row],['#_Existing_latrines]]="","NA",(WWWW[[#This Row],['#_Existing_latrines]]-WWWW[[#This Row],['#_Functional_adult_latrines]])/WWWW[[#This Row],['#_Existing_latrines]])</f>
        <v>0.23157894736842105</v>
      </c>
      <c r="CE11"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213</v>
      </c>
      <c r="CF11" s="857">
        <f>SUM(WWWW[[#This Row],[_'#_of_Men_receiving_consultation_hygiene_promotion_messages_and_sessions]:[_'#_of_Girls_receiving_consultation_hygiene_promotion_messages_and_sessions]])-WWWW[[#This Row],['# people reached by regular dedicated hygiene promotion_5]]</f>
        <v>0</v>
      </c>
      <c r="CG11"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11056</v>
      </c>
      <c r="CH11" s="855">
        <f>IF(WWWW[[#This Row],['#_of_affected_women_and_girls_receiving_a_sufficient_quantity_of_sanitary_pads]]&gt;WWWW[[#This Row],[Total PoP ]],WWWW[[#This Row],[Total PoP ]],WWWW[[#This Row],['#_of_affected_women_and_girls_receiving_a_sufficient_quantity_of_sanitary_pads]])</f>
        <v>3700</v>
      </c>
      <c r="CI11" s="855">
        <f>IF(WWWW[[#This Row],['# People with access to soap]]&gt;WWWW[[#This Row],['# People with access to Sanity Pads]],WWWW[[#This Row],['# People with access to soap]],WWWW[[#This Row],['# People with access to Sanity Pads]])</f>
        <v>11056</v>
      </c>
      <c r="CJ11" s="855">
        <f>IF(WWWW[[#This Row],['# people reached by regular dedicated hygiene promotion_5]]&gt;WWWW[[#This Row],['# People received regular supply of hygiene items_6]],WWWW[[#This Row],['# people reached by regular dedicated hygiene promotion_5]],WWWW[[#This Row],['# People received regular supply of hygiene items_6]])</f>
        <v>11056</v>
      </c>
      <c r="CK11" s="858">
        <f>IF(WWWW[[#This Row],[HRP3]]/WWWW[[#This Row],[Total PoP ]]&gt;100%,100%,WWWW[[#This Row],[HRP3]]/WWWW[[#This Row],[Total PoP ]])</f>
        <v>1</v>
      </c>
      <c r="CL11" s="854">
        <f>1-WWWW[[#This Row],[Hygiene Coverage%]]</f>
        <v>0</v>
      </c>
      <c r="CM11" s="850">
        <f>WWWW[[#This Row],['# people reached by regular dedicated hygiene promotion_5]]/WWWW[[#This Row],[Total PoP ]]</f>
        <v>1.9265557163531115E-2</v>
      </c>
      <c r="CN11" s="854">
        <f>IF(WWWW[[#This Row],['#_of_affected_households_receiving_a_sufficient_quantity_of_soap]]/WWWW[[#This Row],[Total HH]]&gt;1,1,WWWW[[#This Row],['#_of_affected_households_receiving_a_sufficient_quantity_of_soap]]/WWWW[[#This Row],[Total HH]])</f>
        <v>1</v>
      </c>
      <c r="CO11" s="455" t="str">
        <f>IF(WWWW[[#This Row],['#_students at TLS_CFS]]="","No","Yes")</f>
        <v>No</v>
      </c>
      <c r="CP11" s="452">
        <f>WWWW[[#This Row],[%_of_affected_people_surveyed_who_report_feeling_informed_about_the_different_WASH_services_available_to_them]]</f>
        <v>1</v>
      </c>
      <c r="CQ1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570</v>
      </c>
      <c r="CR11" s="500">
        <f>IF(WWWW[[#This Row],['#_PPL_accessed_water_in_TLS]]&gt;WWWW[[#This Row],['# students access to functioning school latrines_HRP5]],WWWW[[#This Row],['#_PPL_accessed_water_in_TLS]],WWWW[[#This Row],['# students access to functioning school latrines_HRP5]])</f>
        <v>350</v>
      </c>
      <c r="CS11" s="500">
        <f>IF(WWWW[[#This Row],['#_PPL_accessed_water_in_THF]]&gt;WWWW[[#This Row],['# people access to functioning latrines in THF_HRP6]],WWWW[[#This Row],['#_PPL_accessed_water_in_THF]],WWWW[[#This Row],['# people access to functioning latrines in THF_HRP6]])</f>
        <v>0</v>
      </c>
      <c r="CT11" s="846" t="str">
        <f>VLOOKUP(WWWW[[#This Row],[Site Name]],SiteDB6[[Site Name]:[CCCM Management]],6,FALSE)</f>
        <v>Yes</v>
      </c>
      <c r="CU11" s="846">
        <f>VLOOKUP(WWWW[[#This Row],[Site Name]],SiteDB6[[Site Name]:[CCCM Focal Agency]],7,FALSE)</f>
        <v>0</v>
      </c>
      <c r="CV11" s="846" t="str">
        <f>VLOOKUP(WWWW[[#This Row],[Site Name]],SiteDB6[[Site Name]:[Location Type 1]],9,FALSE)</f>
        <v>Camp</v>
      </c>
      <c r="CW11" s="846" t="str">
        <f>VLOOKUP(WWWW[[#This Row],[Site Name]],SiteDB6[[Site Name]:[Type of Accommodation]],10,FALSE)</f>
        <v>Planned Camp</v>
      </c>
      <c r="CX11" s="846" t="str">
        <f>VLOOKUP(WWWW[[#This Row],[Site Name]],SiteDB6[[Site Name]:[Ethnic or GCA/NGCA]],11,FALSE)</f>
        <v>Muslim</v>
      </c>
      <c r="CY11" s="846">
        <f>VLOOKUP(WWWW[[#This Row],[Site Name]],SiteDB6[[Site Name]:[Lat]],12,FALSE)</f>
        <v>20.16846</v>
      </c>
      <c r="CZ11" s="846">
        <f>VLOOKUP(WWWW[[#This Row],[Site Name]],SiteDB6[[Site Name]:[Long]],13,FALSE)</f>
        <v>92.827427</v>
      </c>
      <c r="DA11" s="846" t="str">
        <f>VLOOKUP(WWWW[[#This Row],[Site Name]],SiteDB6[[Site Name]:[Pcode]],3,FALSE)</f>
        <v>MMR012CMP041</v>
      </c>
      <c r="DB11" s="859" t="str">
        <f t="shared" si="0"/>
        <v>Covered</v>
      </c>
      <c r="DC11" s="477">
        <f>VLOOKUP(WWWW[[#This Row],[Site Name]],SiteDB6[[Site Name]:[PWD_Total]],22,FALSE)</f>
        <v>104</v>
      </c>
      <c r="DD11" s="477">
        <f>VLOOKUP(WWWW[[#This Row],[Site Name]],SiteDB6[[Site Name]:[PWD_Total]],23,FALSE)</f>
        <v>810</v>
      </c>
      <c r="DE11" s="477">
        <f>WWWW[[#This Row],['# of Male_People with disabilities]]+WWWW[[#This Row],['# of Female_People with disabilities]]</f>
        <v>914</v>
      </c>
      <c r="DF11" s="846"/>
      <c r="DG11" s="859"/>
      <c r="DH11" s="859"/>
      <c r="DI11" s="859"/>
      <c r="DJ11" s="859">
        <f>VLOOKUP(WWWW[[#This Row],[Site Name]],SiteDB6[[Site Name]:[Pop
(CCCM as of Autust 2021)]],16,FALSE)</f>
        <v>1713</v>
      </c>
      <c r="DK11" s="859">
        <f>VLOOKUP(WWWW[[#This Row],[Site Name]],SiteDB6[[Site Name]:[Pop
(CCCM as of Autust 2021)]],17,FALSE)</f>
        <v>11460</v>
      </c>
    </row>
    <row r="12" spans="1:115">
      <c r="A12" s="815" t="s">
        <v>3143</v>
      </c>
      <c r="B12" s="815" t="s">
        <v>2269</v>
      </c>
      <c r="C12" s="816" t="s">
        <v>2269</v>
      </c>
      <c r="D12" s="816" t="s">
        <v>40</v>
      </c>
      <c r="E12" s="845" t="s">
        <v>293</v>
      </c>
      <c r="F12" s="816" t="s">
        <v>294</v>
      </c>
      <c r="G12" s="846" t="s">
        <v>43</v>
      </c>
      <c r="H12" s="816" t="s">
        <v>2271</v>
      </c>
      <c r="I12" s="818">
        <v>400</v>
      </c>
      <c r="J12" s="818">
        <v>2248</v>
      </c>
      <c r="K12" s="684">
        <f>WWWW[[#This Row],[Total PoP ]]/WWWW[[#This Row],[Total HH]]</f>
        <v>5.62</v>
      </c>
      <c r="L12" s="819">
        <v>44197</v>
      </c>
      <c r="M12" s="820">
        <v>44592</v>
      </c>
      <c r="N12" s="818"/>
      <c r="O12" s="500">
        <v>47</v>
      </c>
      <c r="P12" s="818">
        <v>53</v>
      </c>
      <c r="Q12" s="500"/>
      <c r="R12" s="500"/>
      <c r="S12" s="818"/>
      <c r="T12" s="818"/>
      <c r="U12" s="500"/>
      <c r="V12" s="450"/>
      <c r="W12" s="818"/>
      <c r="X12" s="821"/>
      <c r="Y12" s="818"/>
      <c r="Z12" s="500"/>
      <c r="AA12" s="500"/>
      <c r="AB12" s="822"/>
      <c r="AC12" s="818">
        <v>100</v>
      </c>
      <c r="AD12" s="818">
        <v>116</v>
      </c>
      <c r="AE12" s="818"/>
      <c r="AF12" s="818"/>
      <c r="AG12" s="821"/>
      <c r="AH12" s="821"/>
      <c r="AI12" s="821"/>
      <c r="AJ12" s="818">
        <v>12</v>
      </c>
      <c r="AK12" s="818">
        <v>29</v>
      </c>
      <c r="AL12" s="818">
        <v>4</v>
      </c>
      <c r="AM12" s="500"/>
      <c r="AN12" s="818" t="s">
        <v>41</v>
      </c>
      <c r="AO12" s="823"/>
      <c r="AP12" s="818"/>
      <c r="AQ12" s="818"/>
      <c r="AR12" s="818"/>
      <c r="AS12" s="818"/>
      <c r="AT12" s="818"/>
      <c r="AU12" s="818"/>
      <c r="AV12" s="450"/>
      <c r="AW12" s="821"/>
      <c r="AX12" s="451">
        <v>5</v>
      </c>
      <c r="AY12" s="831"/>
      <c r="AZ12" s="450"/>
      <c r="BA12" s="450"/>
      <c r="BB12" s="450"/>
      <c r="BC12" s="450"/>
      <c r="BD12" s="450"/>
      <c r="BE12" s="500"/>
      <c r="BF12" s="500"/>
      <c r="BG12" s="500"/>
      <c r="BH12" s="840"/>
      <c r="BI12" s="840"/>
      <c r="BJ12" s="837"/>
      <c r="BK12" s="500"/>
      <c r="BL12" s="825" t="str">
        <f>IF(WWWW[[#This Row],['#_Water samples_Tested_at_water_source]]="","no test","Tested")</f>
        <v>no test</v>
      </c>
      <c r="BM12" s="825" t="str">
        <f>IF(WWWW[[#This Row],['#_Water samples_Tested_at_HH]]="","no test","Tested")</f>
        <v>no test</v>
      </c>
      <c r="BN12" s="826" t="str">
        <f>IF(AND(WWWW[[#This Row],[Water_testing_at source]]="no test",WWWW[[#This Row],[Water_testing_at HH]]="no test"),"No Test","Tested")</f>
        <v>No Test</v>
      </c>
      <c r="BO12"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2" s="827">
        <f>WWWW[[#This Row],[% HRP1]]*WWWW[[#This Row],[Total PoP ]]</f>
        <v>2248</v>
      </c>
      <c r="BQ12" s="828">
        <f>WWWW[[#This Row],[HRP1]]/500</f>
        <v>4.4960000000000004</v>
      </c>
      <c r="BR12" s="829">
        <f>1-WWWW[[#This Row],[% HRP1]]</f>
        <v>0</v>
      </c>
      <c r="BS12" s="828">
        <f>WWWW[[#This Row],[%equitable and continuous access to sufficient quantity of safe drinking and domestic water''s GAP]]*WWWW[[#This Row],[Total PoP ]]</f>
        <v>0</v>
      </c>
      <c r="BT12" s="451">
        <f>ROUND(IF(WWWW[[#This Row],[Total PoP ]]&lt;500,1,WWWW[[#This Row],[Total PoP ]]/500),0)</f>
        <v>4</v>
      </c>
      <c r="BU12" s="826">
        <f>IF(WWWW[[#This Row],[Total required water points]]-WWWW[[#This Row],['#Water points coverage]]&lt;0,0,WWWW[[#This Row],[Total required water points]]-WWWW[[#This Row],['#Water points coverage]])</f>
        <v>0</v>
      </c>
      <c r="BV12" s="452">
        <f>WWWW[[#This Row],[HRP2]]/WWWW[[#This Row],[Total PoP ]]</f>
        <v>1</v>
      </c>
      <c r="BW12"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BX12" s="455">
        <f>IF(WWWW[[#This Row],['#_Functional_adult_latrines]]="","",WWWW[[#This Row],[Total PoP ]]/WWWW[[#This Row],['#_Functional_adult_latrines]])</f>
        <v>22.48</v>
      </c>
      <c r="BY12" s="826">
        <f>WWWW[[#This Row],['#_of_latrines_in_TLS/CFS]]*50</f>
        <v>200</v>
      </c>
      <c r="BZ12" s="451">
        <f>IF(WWWW[[#This Row],['#_of_latrines_in_THF]]="",0,WWWW[[#This Row],['#_of_latrines_in_THF]]*50)</f>
        <v>0</v>
      </c>
      <c r="CA12" s="826">
        <f>ROUND(IF(WWWW[[#This Row],[Location Type 1]]="camp",WWWW[[#This Row],[Total PoP ]]/20),0)</f>
        <v>112</v>
      </c>
      <c r="CB12" s="826">
        <f>IF(WWWW[[#This Row],[Total required Latrines]]-WWWW[[#This Row],['#_Existing_latrines]]&lt;0,0,WWWW[[#This Row],[Total required Latrines]]-WWWW[[#This Row],['#_Existing_latrines]])</f>
        <v>0</v>
      </c>
      <c r="CC12" s="829">
        <f>1-WWWW[[#This Row],[% HRP2]]</f>
        <v>0</v>
      </c>
      <c r="CD12" s="825">
        <f>IF(WWWW[[#This Row],['#_Existing_latrines]]="","NA",(WWWW[[#This Row],['#_Existing_latrines]]-WWWW[[#This Row],['#_Functional_adult_latrines]])/WWWW[[#This Row],['#_Existing_latrines]])</f>
        <v>0.13793103448275862</v>
      </c>
      <c r="CE12"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2" s="828">
        <f>SUM(WWWW[[#This Row],[_'#_of_Men_receiving_consultation_hygiene_promotion_messages_and_sessions]:[_'#_of_Girls_receiving_consultation_hygiene_promotion_messages_and_sessions]])-WWWW[[#This Row],['# people reached by regular dedicated hygiene promotion_5]]</f>
        <v>0</v>
      </c>
      <c r="CG12"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12" s="826">
        <f>IF(WWWW[[#This Row],['#_of_affected_women_and_girls_receiving_a_sufficient_quantity_of_sanitary_pads]]&gt;WWWW[[#This Row],[Total PoP ]],WWWW[[#This Row],[Total PoP ]],WWWW[[#This Row],['#_of_affected_women_and_girls_receiving_a_sufficient_quantity_of_sanitary_pads]])</f>
        <v>0</v>
      </c>
      <c r="CI12" s="826">
        <f>IF(WWWW[[#This Row],['# People with access to soap]]&gt;WWWW[[#This Row],['# People with access to Sanity Pads]],WWWW[[#This Row],['# People with access to soap]],WWWW[[#This Row],['# People with access to Sanity Pads]])</f>
        <v>0</v>
      </c>
      <c r="CJ12"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12" s="829">
        <f>IF(WWWW[[#This Row],[HRP3]]/WWWW[[#This Row],[Total PoP ]]&gt;100%,100%,WWWW[[#This Row],[HRP3]]/WWWW[[#This Row],[Total PoP ]])</f>
        <v>0</v>
      </c>
      <c r="CL12" s="825">
        <f>1-WWWW[[#This Row],[Hygiene Coverage%]]</f>
        <v>1</v>
      </c>
      <c r="CM12" s="821">
        <f>WWWW[[#This Row],['# people reached by regular dedicated hygiene promotion_5]]/WWWW[[#This Row],[Total PoP ]]</f>
        <v>0</v>
      </c>
      <c r="CN12" s="825">
        <f>IF(WWWW[[#This Row],['#_of_affected_households_receiving_a_sufficient_quantity_of_soap]]/WWWW[[#This Row],[Total HH]]&gt;1,1,WWWW[[#This Row],['#_of_affected_households_receiving_a_sufficient_quantity_of_soap]]/WWWW[[#This Row],[Total HH]])</f>
        <v>0</v>
      </c>
      <c r="CO12" s="455" t="str">
        <f>IF(WWWW[[#This Row],['#_students at TLS_CFS]]="","No","Yes")</f>
        <v>No</v>
      </c>
      <c r="CP12" s="452">
        <f>WWWW[[#This Row],[%_of_affected_people_surveyed_who_report_feeling_informed_about_the_different_WASH_services_available_to_them]]</f>
        <v>0</v>
      </c>
      <c r="CQ1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2" s="500">
        <f>IF(WWWW[[#This Row],['#_PPL_accessed_water_in_TLS]]&gt;WWWW[[#This Row],['# students access to functioning school latrines_HRP5]],WWWW[[#This Row],['#_PPL_accessed_water_in_TLS]],WWWW[[#This Row],['# students access to functioning school latrines_HRP5]])</f>
        <v>200</v>
      </c>
      <c r="CS12" s="500">
        <f>IF(WWWW[[#This Row],['#_PPL_accessed_water_in_THF]]&gt;WWWW[[#This Row],['# people access to functioning latrines in THF_HRP6]],WWWW[[#This Row],['#_PPL_accessed_water_in_THF]],WWWW[[#This Row],['# people access to functioning latrines in THF_HRP6]])</f>
        <v>0</v>
      </c>
      <c r="CT12" s="817" t="str">
        <f>VLOOKUP(WWWW[[#This Row],[Site Name]],SiteDB6[[Site Name]:[CCCM Management]],6,FALSE)</f>
        <v>Yes</v>
      </c>
      <c r="CU12" s="817">
        <f>VLOOKUP(WWWW[[#This Row],[Site Name]],SiteDB6[[Site Name]:[CCCM Focal Agency]],7,FALSE)</f>
        <v>0</v>
      </c>
      <c r="CV12" s="817" t="str">
        <f>VLOOKUP(WWWW[[#This Row],[Site Name]],SiteDB6[[Site Name]:[Location Type 1]],9,FALSE)</f>
        <v>Camp</v>
      </c>
      <c r="CW12" s="817" t="str">
        <f>VLOOKUP(WWWW[[#This Row],[Site Name]],SiteDB6[[Site Name]:[Type of Accommodation]],10,FALSE)</f>
        <v>Planned Camp</v>
      </c>
      <c r="CX12" s="817" t="str">
        <f>VLOOKUP(WWWW[[#This Row],[Site Name]],SiteDB6[[Site Name]:[Ethnic or GCA/NGCA]],11,FALSE)</f>
        <v>Muslim</v>
      </c>
      <c r="CY12" s="817">
        <f>VLOOKUP(WWWW[[#This Row],[Site Name]],SiteDB6[[Site Name]:[Lat]],12,FALSE)</f>
        <v>20.181778000000001</v>
      </c>
      <c r="CZ12" s="817">
        <f>VLOOKUP(WWWW[[#This Row],[Site Name]],SiteDB6[[Site Name]:[Long]],13,FALSE)</f>
        <v>92.823166999999998</v>
      </c>
      <c r="DA12" s="817" t="str">
        <f>VLOOKUP(WWWW[[#This Row],[Site Name]],SiteDB6[[Site Name]:[Pcode]],3,FALSE)</f>
        <v>MMR012CMP042</v>
      </c>
      <c r="DB12" s="830" t="str">
        <f t="shared" si="0"/>
        <v>Covered</v>
      </c>
      <c r="DC12" s="477">
        <f>VLOOKUP(WWWW[[#This Row],[Site Name]],SiteDB6[[Site Name]:[PWD_Total]],22,FALSE)</f>
        <v>47</v>
      </c>
      <c r="DD12" s="477">
        <f>VLOOKUP(WWWW[[#This Row],[Site Name]],SiteDB6[[Site Name]:[PWD_Total]],23,FALSE)</f>
        <v>306</v>
      </c>
      <c r="DE12" s="477">
        <f>WWWW[[#This Row],['# of Male_People with disabilities]]+WWWW[[#This Row],['# of Female_People with disabilities]]</f>
        <v>353</v>
      </c>
      <c r="DF12" s="817"/>
      <c r="DG12" s="830"/>
      <c r="DH12" s="830"/>
      <c r="DI12" s="830"/>
      <c r="DJ12" s="830">
        <f>VLOOKUP(WWWW[[#This Row],[Site Name]],SiteDB6[[Site Name]:[Pop
(CCCM as of Autust 2021)]],16,FALSE)</f>
        <v>392</v>
      </c>
      <c r="DK12" s="830">
        <f>VLOOKUP(WWWW[[#This Row],[Site Name]],SiteDB6[[Site Name]:[Pop
(CCCM as of Autust 2021)]],17,FALSE)</f>
        <v>2455</v>
      </c>
    </row>
    <row r="13" spans="1:115">
      <c r="A13" s="815" t="s">
        <v>3143</v>
      </c>
      <c r="B13" s="815" t="s">
        <v>2270</v>
      </c>
      <c r="C13" s="816" t="s">
        <v>2270</v>
      </c>
      <c r="D13" s="816" t="s">
        <v>40</v>
      </c>
      <c r="E13" s="845" t="s">
        <v>293</v>
      </c>
      <c r="F13" s="816" t="s">
        <v>294</v>
      </c>
      <c r="G13" s="846" t="s">
        <v>43</v>
      </c>
      <c r="H13" s="816" t="s">
        <v>2272</v>
      </c>
      <c r="I13" s="818">
        <v>400</v>
      </c>
      <c r="J13" s="818">
        <v>2186</v>
      </c>
      <c r="K13" s="684">
        <f>WWWW[[#This Row],[Total PoP ]]/WWWW[[#This Row],[Total HH]]</f>
        <v>5.4649999999999999</v>
      </c>
      <c r="L13" s="819">
        <v>44197</v>
      </c>
      <c r="M13" s="820">
        <v>44592</v>
      </c>
      <c r="N13" s="818"/>
      <c r="O13" s="500">
        <v>24</v>
      </c>
      <c r="P13" s="818">
        <v>26</v>
      </c>
      <c r="Q13" s="500"/>
      <c r="R13" s="500"/>
      <c r="S13" s="818"/>
      <c r="T13" s="818"/>
      <c r="U13" s="818"/>
      <c r="V13" s="821"/>
      <c r="W13" s="818"/>
      <c r="X13" s="821"/>
      <c r="Y13" s="818"/>
      <c r="Z13" s="500"/>
      <c r="AA13" s="500"/>
      <c r="AB13" s="822"/>
      <c r="AC13" s="818">
        <v>100</v>
      </c>
      <c r="AD13" s="818">
        <v>104</v>
      </c>
      <c r="AE13" s="818"/>
      <c r="AF13" s="818"/>
      <c r="AG13" s="821"/>
      <c r="AH13" s="821"/>
      <c r="AI13" s="821"/>
      <c r="AJ13" s="818">
        <v>8</v>
      </c>
      <c r="AK13" s="818">
        <v>32</v>
      </c>
      <c r="AL13" s="818">
        <v>3</v>
      </c>
      <c r="AM13" s="500"/>
      <c r="AN13" s="818" t="s">
        <v>41</v>
      </c>
      <c r="AO13" s="823"/>
      <c r="AP13" s="818"/>
      <c r="AQ13" s="818"/>
      <c r="AR13" s="818"/>
      <c r="AS13" s="818"/>
      <c r="AT13" s="818"/>
      <c r="AU13" s="818"/>
      <c r="AV13" s="450"/>
      <c r="AW13" s="821"/>
      <c r="AX13" s="451">
        <v>0</v>
      </c>
      <c r="AY13" s="831"/>
      <c r="AZ13" s="450"/>
      <c r="BA13" s="450"/>
      <c r="BB13" s="450"/>
      <c r="BC13" s="450"/>
      <c r="BD13" s="450"/>
      <c r="BE13" s="500"/>
      <c r="BF13" s="500"/>
      <c r="BG13" s="500"/>
      <c r="BH13" s="840"/>
      <c r="BI13" s="840"/>
      <c r="BJ13" s="837"/>
      <c r="BK13" s="500"/>
      <c r="BL13" s="825" t="str">
        <f>IF(WWWW[[#This Row],['#_Water samples_Tested_at_water_source]]="","no test","Tested")</f>
        <v>no test</v>
      </c>
      <c r="BM13" s="825" t="str">
        <f>IF(WWWW[[#This Row],['#_Water samples_Tested_at_HH]]="","no test","Tested")</f>
        <v>no test</v>
      </c>
      <c r="BN13" s="826" t="str">
        <f>IF(AND(WWWW[[#This Row],[Water_testing_at source]]="no test",WWWW[[#This Row],[Water_testing_at HH]]="no test"),"No Test","Tested")</f>
        <v>No Test</v>
      </c>
      <c r="BO13"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3" s="827">
        <f>WWWW[[#This Row],[% HRP1]]*WWWW[[#This Row],[Total PoP ]]</f>
        <v>2186</v>
      </c>
      <c r="BQ13" s="828">
        <f>WWWW[[#This Row],[HRP1]]/500</f>
        <v>4.3719999999999999</v>
      </c>
      <c r="BR13" s="829">
        <f>1-WWWW[[#This Row],[% HRP1]]</f>
        <v>0</v>
      </c>
      <c r="BS13" s="828">
        <f>WWWW[[#This Row],[%equitable and continuous access to sufficient quantity of safe drinking and domestic water''s GAP]]*WWWW[[#This Row],[Total PoP ]]</f>
        <v>0</v>
      </c>
      <c r="BT13" s="451">
        <f>ROUND(IF(WWWW[[#This Row],[Total PoP ]]&lt;500,1,WWWW[[#This Row],[Total PoP ]]/500),0)</f>
        <v>4</v>
      </c>
      <c r="BU13" s="826">
        <f>IF(WWWW[[#This Row],[Total required water points]]-WWWW[[#This Row],['#Water points coverage]]&lt;0,0,WWWW[[#This Row],[Total required water points]]-WWWW[[#This Row],['#Water points coverage]])</f>
        <v>0</v>
      </c>
      <c r="BV13" s="452">
        <f>WWWW[[#This Row],[HRP2]]/WWWW[[#This Row],[Total PoP ]]</f>
        <v>1</v>
      </c>
      <c r="BW13"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2186</v>
      </c>
      <c r="BX13" s="455">
        <f>IF(WWWW[[#This Row],['#_Functional_adult_latrines]]="","",WWWW[[#This Row],[Total PoP ]]/WWWW[[#This Row],['#_Functional_adult_latrines]])</f>
        <v>21.86</v>
      </c>
      <c r="BY13" s="826">
        <f>WWWW[[#This Row],['#_of_latrines_in_TLS/CFS]]*50</f>
        <v>150</v>
      </c>
      <c r="BZ13" s="451">
        <f>IF(WWWW[[#This Row],['#_of_latrines_in_THF]]="",0,WWWW[[#This Row],['#_of_latrines_in_THF]]*50)</f>
        <v>0</v>
      </c>
      <c r="CA13" s="826">
        <f>ROUND(IF(WWWW[[#This Row],[Location Type 1]]="camp",WWWW[[#This Row],[Total PoP ]]/20),0)</f>
        <v>109</v>
      </c>
      <c r="CB13" s="826">
        <f>IF(WWWW[[#This Row],[Total required Latrines]]-WWWW[[#This Row],['#_Existing_latrines]]&lt;0,0,WWWW[[#This Row],[Total required Latrines]]-WWWW[[#This Row],['#_Existing_latrines]])</f>
        <v>5</v>
      </c>
      <c r="CC13" s="829">
        <f>1-WWWW[[#This Row],[% HRP2]]</f>
        <v>0</v>
      </c>
      <c r="CD13" s="825">
        <f>IF(WWWW[[#This Row],['#_Existing_latrines]]="","NA",(WWWW[[#This Row],['#_Existing_latrines]]-WWWW[[#This Row],['#_Functional_adult_latrines]])/WWWW[[#This Row],['#_Existing_latrines]])</f>
        <v>3.8461538461538464E-2</v>
      </c>
      <c r="CE13"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3" s="828">
        <f>SUM(WWWW[[#This Row],[_'#_of_Men_receiving_consultation_hygiene_promotion_messages_and_sessions]:[_'#_of_Girls_receiving_consultation_hygiene_promotion_messages_and_sessions]])-WWWW[[#This Row],['# people reached by regular dedicated hygiene promotion_5]]</f>
        <v>0</v>
      </c>
      <c r="CG13"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13" s="826">
        <f>IF(WWWW[[#This Row],['#_of_affected_women_and_girls_receiving_a_sufficient_quantity_of_sanitary_pads]]&gt;WWWW[[#This Row],[Total PoP ]],WWWW[[#This Row],[Total PoP ]],WWWW[[#This Row],['#_of_affected_women_and_girls_receiving_a_sufficient_quantity_of_sanitary_pads]])</f>
        <v>0</v>
      </c>
      <c r="CI13" s="826">
        <f>IF(WWWW[[#This Row],['# People with access to soap]]&gt;WWWW[[#This Row],['# People with access to Sanity Pads]],WWWW[[#This Row],['# People with access to soap]],WWWW[[#This Row],['# People with access to Sanity Pads]])</f>
        <v>0</v>
      </c>
      <c r="CJ13"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13" s="829">
        <f>IF(WWWW[[#This Row],[HRP3]]/WWWW[[#This Row],[Total PoP ]]&gt;100%,100%,WWWW[[#This Row],[HRP3]]/WWWW[[#This Row],[Total PoP ]])</f>
        <v>0</v>
      </c>
      <c r="CL13" s="825">
        <f>1-WWWW[[#This Row],[Hygiene Coverage%]]</f>
        <v>1</v>
      </c>
      <c r="CM13" s="821">
        <f>WWWW[[#This Row],['# people reached by regular dedicated hygiene promotion_5]]/WWWW[[#This Row],[Total PoP ]]</f>
        <v>0</v>
      </c>
      <c r="CN13" s="825">
        <f>IF(WWWW[[#This Row],['#_of_affected_households_receiving_a_sufficient_quantity_of_soap]]/WWWW[[#This Row],[Total HH]]&gt;1,1,WWWW[[#This Row],['#_of_affected_households_receiving_a_sufficient_quantity_of_soap]]/WWWW[[#This Row],[Total HH]])</f>
        <v>0</v>
      </c>
      <c r="CO13" s="455" t="str">
        <f>IF(WWWW[[#This Row],['#_students at TLS_CFS]]="","No","Yes")</f>
        <v>No</v>
      </c>
      <c r="CP13" s="452">
        <f>WWWW[[#This Row],[%_of_affected_people_surveyed_who_report_feeling_informed_about_the_different_WASH_services_available_to_them]]</f>
        <v>0</v>
      </c>
      <c r="CQ1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3" s="500">
        <f>IF(WWWW[[#This Row],['#_PPL_accessed_water_in_TLS]]&gt;WWWW[[#This Row],['# students access to functioning school latrines_HRP5]],WWWW[[#This Row],['#_PPL_accessed_water_in_TLS]],WWWW[[#This Row],['# students access to functioning school latrines_HRP5]])</f>
        <v>150</v>
      </c>
      <c r="CS13" s="500">
        <f>IF(WWWW[[#This Row],['#_PPL_accessed_water_in_THF]]&gt;WWWW[[#This Row],['# people access to functioning latrines in THF_HRP6]],WWWW[[#This Row],['#_PPL_accessed_water_in_THF]],WWWW[[#This Row],['# people access to functioning latrines in THF_HRP6]])</f>
        <v>0</v>
      </c>
      <c r="CT13" s="817">
        <f>VLOOKUP(WWWW[[#This Row],[Site Name]],SiteDB6[[Site Name]:[CCCM Management]],6,FALSE)</f>
        <v>0</v>
      </c>
      <c r="CU13" s="817">
        <f>VLOOKUP(WWWW[[#This Row],[Site Name]],SiteDB6[[Site Name]:[CCCM Focal Agency]],7,FALSE)</f>
        <v>0</v>
      </c>
      <c r="CV13" s="817" t="str">
        <f>VLOOKUP(WWWW[[#This Row],[Site Name]],SiteDB6[[Site Name]:[Location Type 1]],9,FALSE)</f>
        <v>Camp</v>
      </c>
      <c r="CW13" s="817" t="str">
        <f>VLOOKUP(WWWW[[#This Row],[Site Name]],SiteDB6[[Site Name]:[Type of Accommodation]],10,FALSE)</f>
        <v>Planned Camp</v>
      </c>
      <c r="CX13" s="817" t="str">
        <f>VLOOKUP(WWWW[[#This Row],[Site Name]],SiteDB6[[Site Name]:[Ethnic or GCA/NGCA]],11,FALSE)</f>
        <v>Muslim</v>
      </c>
      <c r="CY13" s="817">
        <f>VLOOKUP(WWWW[[#This Row],[Site Name]],SiteDB6[[Site Name]:[Lat]],12,FALSE)</f>
        <v>20.180194</v>
      </c>
      <c r="CZ13" s="817">
        <f>VLOOKUP(WWWW[[#This Row],[Site Name]],SiteDB6[[Site Name]:[Long]],13,FALSE)</f>
        <v>92.816638999999995</v>
      </c>
      <c r="DA13" s="817" t="str">
        <f>VLOOKUP(WWWW[[#This Row],[Site Name]],SiteDB6[[Site Name]:[Pcode]],3,FALSE)</f>
        <v>MMR012CMP042</v>
      </c>
      <c r="DB13" s="830" t="str">
        <f t="shared" si="0"/>
        <v>Covered</v>
      </c>
      <c r="DC13" s="477">
        <f>VLOOKUP(WWWW[[#This Row],[Site Name]],SiteDB6[[Site Name]:[PWD_Total]],22,FALSE)</f>
        <v>70</v>
      </c>
      <c r="DD13" s="477">
        <f>VLOOKUP(WWWW[[#This Row],[Site Name]],SiteDB6[[Site Name]:[PWD_Total]],23,FALSE)</f>
        <v>241</v>
      </c>
      <c r="DE13" s="477">
        <f>WWWW[[#This Row],['# of Male_People with disabilities]]+WWWW[[#This Row],['# of Female_People with disabilities]]</f>
        <v>311</v>
      </c>
      <c r="DF13" s="817"/>
      <c r="DG13" s="830"/>
      <c r="DH13" s="830"/>
      <c r="DI13" s="830"/>
      <c r="DJ13" s="830">
        <f>VLOOKUP(WWWW[[#This Row],[Site Name]],SiteDB6[[Site Name]:[Pop
(CCCM as of Autust 2021)]],16,FALSE)</f>
        <v>400</v>
      </c>
      <c r="DK13" s="830">
        <f>VLOOKUP(WWWW[[#This Row],[Site Name]],SiteDB6[[Site Name]:[Pop
(CCCM as of Autust 2021)]],17,FALSE)</f>
        <v>2228</v>
      </c>
    </row>
    <row r="14" spans="1:115">
      <c r="A14" s="815" t="s">
        <v>3143</v>
      </c>
      <c r="B14" s="844" t="s">
        <v>2256</v>
      </c>
      <c r="C14" s="845" t="s">
        <v>2256</v>
      </c>
      <c r="D14" s="845" t="s">
        <v>230</v>
      </c>
      <c r="E14" s="845" t="s">
        <v>293</v>
      </c>
      <c r="F14" s="845" t="s">
        <v>356</v>
      </c>
      <c r="G14" s="846" t="s">
        <v>43</v>
      </c>
      <c r="H14" s="845" t="s">
        <v>367</v>
      </c>
      <c r="I14" s="847">
        <v>372</v>
      </c>
      <c r="J14" s="847">
        <v>1067</v>
      </c>
      <c r="K14" s="684">
        <f>WWWW[[#This Row],[Total PoP ]]/WWWW[[#This Row],[Total HH]]</f>
        <v>2.868279569892473</v>
      </c>
      <c r="L14" s="848">
        <v>44378</v>
      </c>
      <c r="M14" s="849">
        <v>44742</v>
      </c>
      <c r="N14" s="847"/>
      <c r="O14" s="500"/>
      <c r="P14" s="847"/>
      <c r="Q14" s="500">
        <v>14</v>
      </c>
      <c r="R14" s="500">
        <v>19</v>
      </c>
      <c r="S14" s="847"/>
      <c r="T14" s="847">
        <v>1067</v>
      </c>
      <c r="U14" s="847">
        <v>36</v>
      </c>
      <c r="V14" s="850">
        <v>1</v>
      </c>
      <c r="W14" s="847">
        <v>84</v>
      </c>
      <c r="X14" s="850">
        <v>0.99</v>
      </c>
      <c r="Y14" s="847">
        <v>376</v>
      </c>
      <c r="Z14" s="500">
        <v>197</v>
      </c>
      <c r="AA14" s="500"/>
      <c r="AB14" s="851" t="s">
        <v>3149</v>
      </c>
      <c r="AC14" s="847">
        <v>94</v>
      </c>
      <c r="AD14" s="847">
        <v>94</v>
      </c>
      <c r="AE14" s="847">
        <v>23</v>
      </c>
      <c r="AF14" s="847">
        <v>94</v>
      </c>
      <c r="AG14" s="850">
        <v>1</v>
      </c>
      <c r="AH14" s="850">
        <v>1</v>
      </c>
      <c r="AI14" s="850">
        <v>1</v>
      </c>
      <c r="AJ14" s="847"/>
      <c r="AK14" s="847"/>
      <c r="AL14" s="847">
        <v>8</v>
      </c>
      <c r="AM14" s="500"/>
      <c r="AN14" s="847" t="s">
        <v>41</v>
      </c>
      <c r="AO14" s="852" t="s">
        <v>3150</v>
      </c>
      <c r="AP14" s="847">
        <v>124</v>
      </c>
      <c r="AQ14" s="847">
        <v>199</v>
      </c>
      <c r="AR14" s="847">
        <v>33</v>
      </c>
      <c r="AS14" s="847">
        <v>41</v>
      </c>
      <c r="AT14" s="847">
        <v>376</v>
      </c>
      <c r="AU14" s="847">
        <v>511</v>
      </c>
      <c r="AV14" s="450">
        <v>0</v>
      </c>
      <c r="AW14" s="850">
        <v>0.95</v>
      </c>
      <c r="AX14" s="451">
        <v>8</v>
      </c>
      <c r="AY14" s="853"/>
      <c r="AZ14" s="450"/>
      <c r="BA14" s="450"/>
      <c r="BB14" s="450"/>
      <c r="BC14" s="450"/>
      <c r="BD14" s="450">
        <v>0</v>
      </c>
      <c r="BE14" s="500"/>
      <c r="BF14" s="500"/>
      <c r="BG14" s="500"/>
      <c r="BH14" s="500"/>
      <c r="BI14" s="500"/>
      <c r="BJ14" s="500"/>
      <c r="BK14" s="500"/>
      <c r="BL14" s="854" t="str">
        <f>IF(WWWW[[#This Row],['#_Water samples_Tested_at_water_source]]="","no test","Tested")</f>
        <v>Tested</v>
      </c>
      <c r="BM14" s="854" t="str">
        <f>IF(WWWW[[#This Row],['#_Water samples_Tested_at_HH]]="","no test","Tested")</f>
        <v>Tested</v>
      </c>
      <c r="BN14" s="855" t="str">
        <f>IF(AND(WWWW[[#This Row],[Water_testing_at source]]="no test",WWWW[[#This Row],[Water_testing_at HH]]="no test"),"No Test","Tested")</f>
        <v>Tested</v>
      </c>
      <c r="BO14"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4" s="856">
        <f>WWWW[[#This Row],[% HRP1]]*WWWW[[#This Row],[Total PoP ]]</f>
        <v>1067</v>
      </c>
      <c r="BQ14" s="857">
        <f>WWWW[[#This Row],[HRP1]]/500</f>
        <v>2.1339999999999999</v>
      </c>
      <c r="BR14" s="858">
        <f>1-WWWW[[#This Row],[% HRP1]]</f>
        <v>0</v>
      </c>
      <c r="BS14" s="857">
        <f>WWWW[[#This Row],[%equitable and continuous access to sufficient quantity of safe drinking and domestic water''s GAP]]*WWWW[[#This Row],[Total PoP ]]</f>
        <v>0</v>
      </c>
      <c r="BT14" s="451">
        <f>ROUND(IF(WWWW[[#This Row],[Total PoP ]]&lt;500,1,WWWW[[#This Row],[Total PoP ]]/500),0)</f>
        <v>2</v>
      </c>
      <c r="BU14" s="855">
        <f>IF(WWWW[[#This Row],[Total required water points]]-WWWW[[#This Row],['#Water points coverage]]&lt;0,0,WWWW[[#This Row],[Total required water points]]-WWWW[[#This Row],['#Water points coverage]])</f>
        <v>0</v>
      </c>
      <c r="BV14" s="452">
        <f>WWWW[[#This Row],[HRP2]]/WWWW[[#This Row],[Total PoP ]]</f>
        <v>1</v>
      </c>
      <c r="BW14"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1067</v>
      </c>
      <c r="BX14" s="455">
        <f>IF(WWWW[[#This Row],['#_Functional_adult_latrines]]="","",WWWW[[#This Row],[Total PoP ]]/WWWW[[#This Row],['#_Functional_adult_latrines]])</f>
        <v>11.351063829787234</v>
      </c>
      <c r="BY14" s="855">
        <f>WWWW[[#This Row],['#_of_latrines_in_TLS/CFS]]*50</f>
        <v>400</v>
      </c>
      <c r="BZ14" s="451">
        <f>IF(WWWW[[#This Row],['#_of_latrines_in_THF]]="",0,WWWW[[#This Row],['#_of_latrines_in_THF]]*50)</f>
        <v>0</v>
      </c>
      <c r="CA14" s="855">
        <f>ROUND(IF(WWWW[[#This Row],[Location Type 1]]="camp",WWWW[[#This Row],[Total PoP ]]/20),0)</f>
        <v>53</v>
      </c>
      <c r="CB14" s="855">
        <f>IF(WWWW[[#This Row],[Total required Latrines]]-WWWW[[#This Row],['#_Existing_latrines]]&lt;0,0,WWWW[[#This Row],[Total required Latrines]]-WWWW[[#This Row],['#_Existing_latrines]])</f>
        <v>0</v>
      </c>
      <c r="CC14" s="858">
        <f>1-WWWW[[#This Row],[% HRP2]]</f>
        <v>0</v>
      </c>
      <c r="CD14" s="854">
        <f>IF(WWWW[[#This Row],['#_Existing_latrines]]="","NA",(WWWW[[#This Row],['#_Existing_latrines]]-WWWW[[#This Row],['#_Functional_adult_latrines]])/WWWW[[#This Row],['#_Existing_latrines]])</f>
        <v>0</v>
      </c>
      <c r="CE14"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397</v>
      </c>
      <c r="CF14" s="857">
        <f>SUM(WWWW[[#This Row],[_'#_of_Men_receiving_consultation_hygiene_promotion_messages_and_sessions]:[_'#_of_Girls_receiving_consultation_hygiene_promotion_messages_and_sessions]])-WWWW[[#This Row],['# people reached by regular dedicated hygiene promotion_5]]</f>
        <v>0</v>
      </c>
      <c r="CG14"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1067</v>
      </c>
      <c r="CH14" s="855">
        <f>IF(WWWW[[#This Row],['#_of_affected_women_and_girls_receiving_a_sufficient_quantity_of_sanitary_pads]]&gt;WWWW[[#This Row],[Total PoP ]],WWWW[[#This Row],[Total PoP ]],WWWW[[#This Row],['#_of_affected_women_and_girls_receiving_a_sufficient_quantity_of_sanitary_pads]])</f>
        <v>511</v>
      </c>
      <c r="CI14" s="855">
        <f>IF(WWWW[[#This Row],['# People with access to soap]]&gt;WWWW[[#This Row],['# People with access to Sanity Pads]],WWWW[[#This Row],['# People with access to soap]],WWWW[[#This Row],['# People with access to Sanity Pads]])</f>
        <v>1067</v>
      </c>
      <c r="CJ14" s="855">
        <f>IF(WWWW[[#This Row],['# people reached by regular dedicated hygiene promotion_5]]&gt;WWWW[[#This Row],['# People received regular supply of hygiene items_6]],WWWW[[#This Row],['# people reached by regular dedicated hygiene promotion_5]],WWWW[[#This Row],['# People received regular supply of hygiene items_6]])</f>
        <v>1067</v>
      </c>
      <c r="CK14" s="858">
        <f>IF(WWWW[[#This Row],[HRP3]]/WWWW[[#This Row],[Total PoP ]]&gt;100%,100%,WWWW[[#This Row],[HRP3]]/WWWW[[#This Row],[Total PoP ]])</f>
        <v>1</v>
      </c>
      <c r="CL14" s="854">
        <f>1-WWWW[[#This Row],[Hygiene Coverage%]]</f>
        <v>0</v>
      </c>
      <c r="CM14" s="850">
        <f>WWWW[[#This Row],['# people reached by regular dedicated hygiene promotion_5]]/WWWW[[#This Row],[Total PoP ]]</f>
        <v>0.37207122774133083</v>
      </c>
      <c r="CN14" s="854">
        <f>IF(WWWW[[#This Row],['#_of_affected_households_receiving_a_sufficient_quantity_of_soap]]/WWWW[[#This Row],[Total HH]]&gt;1,1,WWWW[[#This Row],['#_of_affected_households_receiving_a_sufficient_quantity_of_soap]]/WWWW[[#This Row],[Total HH]])</f>
        <v>1</v>
      </c>
      <c r="CO14" s="455" t="str">
        <f>IF(WWWW[[#This Row],['#_students at TLS_CFS]]="","No","Yes")</f>
        <v>No</v>
      </c>
      <c r="CP14" s="452">
        <f>WWWW[[#This Row],[%_of_affected_people_surveyed_who_report_feeling_informed_about_the_different_WASH_services_available_to_them]]</f>
        <v>0</v>
      </c>
      <c r="CQ1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4" s="500">
        <f>IF(WWWW[[#This Row],['#_PPL_accessed_water_in_TLS]]&gt;WWWW[[#This Row],['# students access to functioning school latrines_HRP5]],WWWW[[#This Row],['#_PPL_accessed_water_in_TLS]],WWWW[[#This Row],['# students access to functioning school latrines_HRP5]])</f>
        <v>400</v>
      </c>
      <c r="CS14" s="500">
        <f>IF(WWWW[[#This Row],['#_PPL_accessed_water_in_THF]]&gt;WWWW[[#This Row],['# people access to functioning latrines in THF_HRP6]],WWWW[[#This Row],['#_PPL_accessed_water_in_THF]],WWWW[[#This Row],['# people access to functioning latrines in THF_HRP6]])</f>
        <v>0</v>
      </c>
      <c r="CT14" s="846" t="str">
        <f>VLOOKUP(WWWW[[#This Row],[Site Name]],SiteDB6[[Site Name]:[CCCM Management]],6,FALSE)</f>
        <v>Yes</v>
      </c>
      <c r="CU14" s="846" t="str">
        <f>VLOOKUP(WWWW[[#This Row],[Site Name]],SiteDB6[[Site Name]:[CCCM Focal Agency]],7,FALSE)</f>
        <v>UNHCR</v>
      </c>
      <c r="CV14" s="846" t="str">
        <f>VLOOKUP(WWWW[[#This Row],[Site Name]],SiteDB6[[Site Name]:[Location Type 1]],9,FALSE)</f>
        <v>Camp</v>
      </c>
      <c r="CW14" s="846" t="str">
        <f>VLOOKUP(WWWW[[#This Row],[Site Name]],SiteDB6[[Site Name]:[Type of Accommodation]],10,FALSE)</f>
        <v>Planned Camp</v>
      </c>
      <c r="CX14" s="846" t="str">
        <f>VLOOKUP(WWWW[[#This Row],[Site Name]],SiteDB6[[Site Name]:[Ethnic or GCA/NGCA]],11,FALSE)</f>
        <v>Muslim</v>
      </c>
      <c r="CY14" s="846">
        <f>VLOOKUP(WWWW[[#This Row],[Site Name]],SiteDB6[[Site Name]:[Lat]],12,FALSE)</f>
        <v>19.424576999999999</v>
      </c>
      <c r="CZ14" s="846">
        <f>VLOOKUP(WWWW[[#This Row],[Site Name]],SiteDB6[[Site Name]:[Long]],13,FALSE)</f>
        <v>93.512326000000002</v>
      </c>
      <c r="DA14" s="846" t="str">
        <f>VLOOKUP(WWWW[[#This Row],[Site Name]],SiteDB6[[Site Name]:[Pcode]],3,FALSE)</f>
        <v>MMR012CMP035</v>
      </c>
      <c r="DB14" s="859" t="str">
        <f t="shared" si="0"/>
        <v>Covered</v>
      </c>
      <c r="DC14" s="477">
        <f>VLOOKUP(WWWW[[#This Row],[Site Name]],SiteDB6[[Site Name]:[PWD_Total]],22,FALSE)</f>
        <v>0</v>
      </c>
      <c r="DD14" s="477">
        <f>VLOOKUP(WWWW[[#This Row],[Site Name]],SiteDB6[[Site Name]:[PWD_Total]],23,FALSE)</f>
        <v>0</v>
      </c>
      <c r="DE14" s="477">
        <f>WWWW[[#This Row],['# of Male_People with disabilities]]+WWWW[[#This Row],['# of Female_People with disabilities]]</f>
        <v>0</v>
      </c>
      <c r="DF14" s="846"/>
      <c r="DG14" s="859"/>
      <c r="DH14" s="859"/>
      <c r="DI14" s="859"/>
      <c r="DJ14" s="859">
        <f>VLOOKUP(WWWW[[#This Row],[Site Name]],SiteDB6[[Site Name]:[Pop
(CCCM as of Autust 2021)]],16,FALSE)</f>
        <v>334</v>
      </c>
      <c r="DK14" s="859">
        <f>VLOOKUP(WWWW[[#This Row],[Site Name]],SiteDB6[[Site Name]:[Pop
(CCCM as of Autust 2021)]],17,FALSE)</f>
        <v>1001</v>
      </c>
    </row>
    <row r="15" spans="1:115">
      <c r="A15" s="815" t="s">
        <v>3143</v>
      </c>
      <c r="B15" s="844" t="s">
        <v>265</v>
      </c>
      <c r="C15" s="845" t="s">
        <v>265</v>
      </c>
      <c r="D15" s="845" t="s">
        <v>2952</v>
      </c>
      <c r="E15" s="845" t="s">
        <v>293</v>
      </c>
      <c r="F15" s="845" t="s">
        <v>401</v>
      </c>
      <c r="G15" s="846" t="s">
        <v>43</v>
      </c>
      <c r="H15" s="845" t="s">
        <v>409</v>
      </c>
      <c r="I15" s="847">
        <v>1387</v>
      </c>
      <c r="J15" s="847">
        <v>6674</v>
      </c>
      <c r="K15" s="684">
        <f>WWWW[[#This Row],[Total PoP ]]/WWWW[[#This Row],[Total HH]]</f>
        <v>4.8118240807498198</v>
      </c>
      <c r="L15" s="848">
        <v>43445</v>
      </c>
      <c r="M15" s="849">
        <v>44620</v>
      </c>
      <c r="N15" s="847"/>
      <c r="O15" s="500"/>
      <c r="P15" s="847"/>
      <c r="Q15" s="500">
        <v>36</v>
      </c>
      <c r="R15" s="500">
        <v>36</v>
      </c>
      <c r="S15" s="847"/>
      <c r="T15" s="847">
        <v>6674</v>
      </c>
      <c r="U15" s="847"/>
      <c r="V15" s="850"/>
      <c r="W15" s="847"/>
      <c r="X15" s="850"/>
      <c r="Y15" s="847"/>
      <c r="Z15" s="500"/>
      <c r="AA15" s="500"/>
      <c r="AB15" s="851"/>
      <c r="AC15" s="847">
        <v>212</v>
      </c>
      <c r="AD15" s="847">
        <v>238</v>
      </c>
      <c r="AE15" s="847"/>
      <c r="AF15" s="847"/>
      <c r="AG15" s="850">
        <v>0.99</v>
      </c>
      <c r="AH15" s="850">
        <v>0.98</v>
      </c>
      <c r="AI15" s="850">
        <v>0.98</v>
      </c>
      <c r="AJ15" s="847">
        <v>18</v>
      </c>
      <c r="AK15" s="847">
        <v>69</v>
      </c>
      <c r="AL15" s="847"/>
      <c r="AM15" s="500">
        <v>3</v>
      </c>
      <c r="AN15" s="847" t="s">
        <v>41</v>
      </c>
      <c r="AO15" s="852" t="s">
        <v>3151</v>
      </c>
      <c r="AP15" s="847">
        <v>1375</v>
      </c>
      <c r="AQ15" s="847">
        <v>1497</v>
      </c>
      <c r="AR15" s="847">
        <v>1953</v>
      </c>
      <c r="AS15" s="847">
        <v>1849</v>
      </c>
      <c r="AT15" s="847">
        <v>1387</v>
      </c>
      <c r="AU15" s="847">
        <v>2774</v>
      </c>
      <c r="AV15" s="450"/>
      <c r="AW15" s="850">
        <v>0.79</v>
      </c>
      <c r="AX15" s="451"/>
      <c r="AY15" s="853" t="s">
        <v>3153</v>
      </c>
      <c r="AZ15" s="450">
        <v>0.83</v>
      </c>
      <c r="BA15" s="450">
        <v>0.99</v>
      </c>
      <c r="BB15" s="450">
        <v>0.97</v>
      </c>
      <c r="BC15" s="450">
        <v>1</v>
      </c>
      <c r="BD15" s="450"/>
      <c r="BE15" s="500"/>
      <c r="BF15" s="500"/>
      <c r="BG15" s="500"/>
      <c r="BH15" s="500"/>
      <c r="BI15" s="500"/>
      <c r="BJ15" s="500"/>
      <c r="BK15" s="500"/>
      <c r="BL15" s="854" t="str">
        <f>IF(WWWW[[#This Row],['#_Water samples_Tested_at_water_source]]="","no test","Tested")</f>
        <v>no test</v>
      </c>
      <c r="BM15" s="854" t="str">
        <f>IF(WWWW[[#This Row],['#_Water samples_Tested_at_HH]]="","no test","Tested")</f>
        <v>no test</v>
      </c>
      <c r="BN15" s="855" t="str">
        <f>IF(AND(WWWW[[#This Row],[Water_testing_at source]]="no test",WWWW[[#This Row],[Water_testing_at HH]]="no test"),"No Test","Tested")</f>
        <v>No Test</v>
      </c>
      <c r="BO15"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5" s="856">
        <f>WWWW[[#This Row],[% HRP1]]*WWWW[[#This Row],[Total PoP ]]</f>
        <v>6674</v>
      </c>
      <c r="BQ15" s="857">
        <f>WWWW[[#This Row],[HRP1]]/500</f>
        <v>13.348000000000001</v>
      </c>
      <c r="BR15" s="858">
        <f>1-WWWW[[#This Row],[% HRP1]]</f>
        <v>0</v>
      </c>
      <c r="BS15" s="857">
        <f>WWWW[[#This Row],[%equitable and continuous access to sufficient quantity of safe drinking and domestic water''s GAP]]*WWWW[[#This Row],[Total PoP ]]</f>
        <v>0</v>
      </c>
      <c r="BT15" s="451">
        <f>ROUND(IF(WWWW[[#This Row],[Total PoP ]]&lt;500,1,WWWW[[#This Row],[Total PoP ]]/500),0)</f>
        <v>13</v>
      </c>
      <c r="BU15" s="855">
        <f>IF(WWWW[[#This Row],[Total required water points]]-WWWW[[#This Row],['#Water points coverage]]&lt;0,0,WWWW[[#This Row],[Total required water points]]-WWWW[[#This Row],['#Water points coverage]])</f>
        <v>0</v>
      </c>
      <c r="BV15" s="452">
        <f>WWWW[[#This Row],[HRP2]]/WWWW[[#This Row],[Total PoP ]]</f>
        <v>0.69958046149235842</v>
      </c>
      <c r="BW15"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4669</v>
      </c>
      <c r="BX15" s="455">
        <f>IF(WWWW[[#This Row],['#_Functional_adult_latrines]]="","",WWWW[[#This Row],[Total PoP ]]/WWWW[[#This Row],['#_Functional_adult_latrines]])</f>
        <v>31.481132075471699</v>
      </c>
      <c r="BY15" s="855">
        <f>WWWW[[#This Row],['#_of_latrines_in_TLS/CFS]]*50</f>
        <v>0</v>
      </c>
      <c r="BZ15" s="451">
        <f>IF(WWWW[[#This Row],['#_of_latrines_in_THF]]="",0,WWWW[[#This Row],['#_of_latrines_in_THF]]*50)</f>
        <v>150</v>
      </c>
      <c r="CA15" s="855">
        <f>ROUND(IF(WWWW[[#This Row],[Location Type 1]]="camp",WWWW[[#This Row],[Total PoP ]]/20),0)</f>
        <v>334</v>
      </c>
      <c r="CB15" s="855">
        <f>IF(WWWW[[#This Row],[Total required Latrines]]-WWWW[[#This Row],['#_Existing_latrines]]&lt;0,0,WWWW[[#This Row],[Total required Latrines]]-WWWW[[#This Row],['#_Existing_latrines]])</f>
        <v>96</v>
      </c>
      <c r="CC15" s="858">
        <f>1-WWWW[[#This Row],[% HRP2]]</f>
        <v>0.30041953850764158</v>
      </c>
      <c r="CD15" s="854">
        <f>IF(WWWW[[#This Row],['#_Existing_latrines]]="","NA",(WWWW[[#This Row],['#_Existing_latrines]]-WWWW[[#This Row],['#_Functional_adult_latrines]])/WWWW[[#This Row],['#_Existing_latrines]])</f>
        <v>0.1092436974789916</v>
      </c>
      <c r="CE15"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6674</v>
      </c>
      <c r="CF15" s="857">
        <f>SUM(WWWW[[#This Row],[_'#_of_Men_receiving_consultation_hygiene_promotion_messages_and_sessions]:[_'#_of_Girls_receiving_consultation_hygiene_promotion_messages_and_sessions]])-WWWW[[#This Row],['# people reached by regular dedicated hygiene promotion_5]]</f>
        <v>0</v>
      </c>
      <c r="CG15"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6674</v>
      </c>
      <c r="CH15" s="855">
        <f>IF(WWWW[[#This Row],['#_of_affected_women_and_girls_receiving_a_sufficient_quantity_of_sanitary_pads]]&gt;WWWW[[#This Row],[Total PoP ]],WWWW[[#This Row],[Total PoP ]],WWWW[[#This Row],['#_of_affected_women_and_girls_receiving_a_sufficient_quantity_of_sanitary_pads]])</f>
        <v>2774</v>
      </c>
      <c r="CI15" s="855">
        <f>IF(WWWW[[#This Row],['# People with access to soap]]&gt;WWWW[[#This Row],['# People with access to Sanity Pads]],WWWW[[#This Row],['# People with access to soap]],WWWW[[#This Row],['# People with access to Sanity Pads]])</f>
        <v>6674</v>
      </c>
      <c r="CJ15" s="855">
        <f>IF(WWWW[[#This Row],['# people reached by regular dedicated hygiene promotion_5]]&gt;WWWW[[#This Row],['# People received regular supply of hygiene items_6]],WWWW[[#This Row],['# people reached by regular dedicated hygiene promotion_5]],WWWW[[#This Row],['# People received regular supply of hygiene items_6]])</f>
        <v>6674</v>
      </c>
      <c r="CK15" s="858">
        <f>IF(WWWW[[#This Row],[HRP3]]/WWWW[[#This Row],[Total PoP ]]&gt;100%,100%,WWWW[[#This Row],[HRP3]]/WWWW[[#This Row],[Total PoP ]])</f>
        <v>1</v>
      </c>
      <c r="CL15" s="854">
        <f>1-WWWW[[#This Row],[Hygiene Coverage%]]</f>
        <v>0</v>
      </c>
      <c r="CM15" s="850">
        <f>WWWW[[#This Row],['# people reached by regular dedicated hygiene promotion_5]]/WWWW[[#This Row],[Total PoP ]]</f>
        <v>1</v>
      </c>
      <c r="CN15" s="854">
        <f>IF(WWWW[[#This Row],['#_of_affected_households_receiving_a_sufficient_quantity_of_soap]]/WWWW[[#This Row],[Total HH]]&gt;1,1,WWWW[[#This Row],['#_of_affected_households_receiving_a_sufficient_quantity_of_soap]]/WWWW[[#This Row],[Total HH]])</f>
        <v>1</v>
      </c>
      <c r="CO15" s="455" t="str">
        <f>IF(WWWW[[#This Row],['#_students at TLS_CFS]]="","No","Yes")</f>
        <v>No</v>
      </c>
      <c r="CP15" s="452">
        <f>WWWW[[#This Row],[%_of_affected_people_surveyed_who_report_feeling_informed_about_the_different_WASH_services_available_to_them]]</f>
        <v>0.97</v>
      </c>
      <c r="CQ1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5" s="500">
        <f>IF(WWWW[[#This Row],['#_PPL_accessed_water_in_TLS]]&gt;WWWW[[#This Row],['# students access to functioning school latrines_HRP5]],WWWW[[#This Row],['#_PPL_accessed_water_in_TLS]],WWWW[[#This Row],['# students access to functioning school latrines_HRP5]])</f>
        <v>0</v>
      </c>
      <c r="CS15" s="500">
        <f>IF(WWWW[[#This Row],['#_PPL_accessed_water_in_THF]]&gt;WWWW[[#This Row],['# people access to functioning latrines in THF_HRP6]],WWWW[[#This Row],['#_PPL_accessed_water_in_THF]],WWWW[[#This Row],['# people access to functioning latrines in THF_HRP6]])</f>
        <v>150</v>
      </c>
      <c r="CT15" s="846" t="str">
        <f>VLOOKUP(WWWW[[#This Row],[Site Name]],SiteDB6[[Site Name]:[CCCM Management]],6,FALSE)</f>
        <v>Yes</v>
      </c>
      <c r="CU15" s="846" t="str">
        <f>VLOOKUP(WWWW[[#This Row],[Site Name]],SiteDB6[[Site Name]:[CCCM Focal Agency]],7,FALSE)</f>
        <v>DRC</v>
      </c>
      <c r="CV15" s="846" t="str">
        <f>VLOOKUP(WWWW[[#This Row],[Site Name]],SiteDB6[[Site Name]:[Location Type 1]],9,FALSE)</f>
        <v>Camp</v>
      </c>
      <c r="CW15" s="846" t="str">
        <f>VLOOKUP(WWWW[[#This Row],[Site Name]],SiteDB6[[Site Name]:[Type of Accommodation]],10,FALSE)</f>
        <v>Planned Camp</v>
      </c>
      <c r="CX15" s="846" t="str">
        <f>VLOOKUP(WWWW[[#This Row],[Site Name]],SiteDB6[[Site Name]:[Ethnic or GCA/NGCA]],11,FALSE)</f>
        <v>Muslim</v>
      </c>
      <c r="CY15" s="846">
        <f>VLOOKUP(WWWW[[#This Row],[Site Name]],SiteDB6[[Site Name]:[Lat]],12,FALSE)</f>
        <v>20.090183</v>
      </c>
      <c r="CZ15" s="846">
        <f>VLOOKUP(WWWW[[#This Row],[Site Name]],SiteDB6[[Site Name]:[Long]],13,FALSE)</f>
        <v>93.010368999999997</v>
      </c>
      <c r="DA15" s="846" t="str">
        <f>VLOOKUP(WWWW[[#This Row],[Site Name]],SiteDB6[[Site Name]:[Pcode]],3,FALSE)</f>
        <v>MMR012CMP018</v>
      </c>
      <c r="DB15" s="859" t="str">
        <f t="shared" si="0"/>
        <v>Covered</v>
      </c>
      <c r="DC15" s="477">
        <f>VLOOKUP(WWWW[[#This Row],[Site Name]],SiteDB6[[Site Name]:[PWD_Total]],22,FALSE)</f>
        <v>95</v>
      </c>
      <c r="DD15" s="477">
        <f>VLOOKUP(WWWW[[#This Row],[Site Name]],SiteDB6[[Site Name]:[PWD_Total]],23,FALSE)</f>
        <v>1102</v>
      </c>
      <c r="DE15" s="477">
        <f>WWWW[[#This Row],['# of Male_People with disabilities]]+WWWW[[#This Row],['# of Female_People with disabilities]]</f>
        <v>1197</v>
      </c>
      <c r="DF15" s="846"/>
      <c r="DG15" s="859"/>
      <c r="DH15" s="859"/>
      <c r="DI15" s="859"/>
      <c r="DJ15" s="859">
        <f>VLOOKUP(WWWW[[#This Row],[Site Name]],SiteDB6[[Site Name]:[Pop
(CCCM as of Autust 2021)]],16,FALSE)</f>
        <v>1387</v>
      </c>
      <c r="DK15" s="859">
        <f>VLOOKUP(WWWW[[#This Row],[Site Name]],SiteDB6[[Site Name]:[Pop
(CCCM as of Autust 2021)]],17,FALSE)</f>
        <v>6674</v>
      </c>
    </row>
    <row r="16" spans="1:115">
      <c r="A16" s="815" t="s">
        <v>3143</v>
      </c>
      <c r="B16" s="815" t="s">
        <v>2620</v>
      </c>
      <c r="C16" s="816" t="s">
        <v>2269</v>
      </c>
      <c r="D16" s="816" t="s">
        <v>40</v>
      </c>
      <c r="E16" s="845" t="s">
        <v>293</v>
      </c>
      <c r="F16" s="816" t="s">
        <v>294</v>
      </c>
      <c r="G16" s="846" t="s">
        <v>43</v>
      </c>
      <c r="H16" s="816" t="s">
        <v>430</v>
      </c>
      <c r="I16" s="818">
        <v>656</v>
      </c>
      <c r="J16" s="818">
        <v>3486</v>
      </c>
      <c r="K16" s="684">
        <f>WWWW[[#This Row],[Total PoP ]]/WWWW[[#This Row],[Total HH]]</f>
        <v>5.3140243902439028</v>
      </c>
      <c r="L16" s="819">
        <v>44197</v>
      </c>
      <c r="M16" s="820">
        <v>44592</v>
      </c>
      <c r="N16" s="818"/>
      <c r="O16" s="500">
        <v>29</v>
      </c>
      <c r="P16" s="818">
        <v>39</v>
      </c>
      <c r="Q16" s="500"/>
      <c r="R16" s="500"/>
      <c r="S16" s="818"/>
      <c r="T16" s="818"/>
      <c r="U16" s="500"/>
      <c r="V16" s="450"/>
      <c r="W16" s="818"/>
      <c r="X16" s="821"/>
      <c r="Y16" s="818"/>
      <c r="Z16" s="500"/>
      <c r="AA16" s="500"/>
      <c r="AB16" s="822"/>
      <c r="AC16" s="818">
        <v>199</v>
      </c>
      <c r="AD16" s="818">
        <v>228</v>
      </c>
      <c r="AE16" s="818"/>
      <c r="AF16" s="818"/>
      <c r="AG16" s="821"/>
      <c r="AH16" s="821"/>
      <c r="AI16" s="821"/>
      <c r="AJ16" s="818">
        <v>2</v>
      </c>
      <c r="AK16" s="818">
        <v>42</v>
      </c>
      <c r="AL16" s="818">
        <v>8</v>
      </c>
      <c r="AM16" s="500"/>
      <c r="AN16" s="818" t="s">
        <v>41</v>
      </c>
      <c r="AO16" s="823"/>
      <c r="AP16" s="818"/>
      <c r="AQ16" s="818"/>
      <c r="AR16" s="818"/>
      <c r="AS16" s="818"/>
      <c r="AT16" s="818"/>
      <c r="AU16" s="818"/>
      <c r="AV16" s="450"/>
      <c r="AW16" s="821"/>
      <c r="AX16" s="451">
        <v>3</v>
      </c>
      <c r="AY16" s="831"/>
      <c r="AZ16" s="450"/>
      <c r="BA16" s="450"/>
      <c r="BB16" s="450"/>
      <c r="BC16" s="450"/>
      <c r="BD16" s="450"/>
      <c r="BE16" s="500"/>
      <c r="BF16" s="500"/>
      <c r="BG16" s="500"/>
      <c r="BH16" s="840"/>
      <c r="BI16" s="840"/>
      <c r="BJ16" s="837"/>
      <c r="BK16" s="500"/>
      <c r="BL16" s="825" t="str">
        <f>IF(WWWW[[#This Row],['#_Water samples_Tested_at_water_source]]="","no test","Tested")</f>
        <v>no test</v>
      </c>
      <c r="BM16" s="825" t="str">
        <f>IF(WWWW[[#This Row],['#_Water samples_Tested_at_HH]]="","no test","Tested")</f>
        <v>no test</v>
      </c>
      <c r="BN16" s="826" t="str">
        <f>IF(AND(WWWW[[#This Row],[Water_testing_at source]]="no test",WWWW[[#This Row],[Water_testing_at HH]]="no test"),"No Test","Tested")</f>
        <v>No Test</v>
      </c>
      <c r="BO16"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6" s="827">
        <f>WWWW[[#This Row],[% HRP1]]*WWWW[[#This Row],[Total PoP ]]</f>
        <v>3486</v>
      </c>
      <c r="BQ16" s="828">
        <f>WWWW[[#This Row],[HRP1]]/500</f>
        <v>6.9720000000000004</v>
      </c>
      <c r="BR16" s="829">
        <f>1-WWWW[[#This Row],[% HRP1]]</f>
        <v>0</v>
      </c>
      <c r="BS16" s="828">
        <f>WWWW[[#This Row],[%equitable and continuous access to sufficient quantity of safe drinking and domestic water''s GAP]]*WWWW[[#This Row],[Total PoP ]]</f>
        <v>0</v>
      </c>
      <c r="BT16" s="451">
        <f>ROUND(IF(WWWW[[#This Row],[Total PoP ]]&lt;500,1,WWWW[[#This Row],[Total PoP ]]/500),0)</f>
        <v>7</v>
      </c>
      <c r="BU16" s="826">
        <f>IF(WWWW[[#This Row],[Total required water points]]-WWWW[[#This Row],['#Water points coverage]]&lt;0,0,WWWW[[#This Row],[Total required water points]]-WWWW[[#This Row],['#Water points coverage]])</f>
        <v>2.7999999999999581E-2</v>
      </c>
      <c r="BV16" s="452">
        <f>WWWW[[#This Row],[HRP2]]/WWWW[[#This Row],[Total PoP ]]</f>
        <v>1</v>
      </c>
      <c r="BW16"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16" s="455">
        <f>IF(WWWW[[#This Row],['#_Functional_adult_latrines]]="","",WWWW[[#This Row],[Total PoP ]]/WWWW[[#This Row],['#_Functional_adult_latrines]])</f>
        <v>17.517587939698494</v>
      </c>
      <c r="BY16" s="826">
        <f>WWWW[[#This Row],['#_of_latrines_in_TLS/CFS]]*50</f>
        <v>400</v>
      </c>
      <c r="BZ16" s="451">
        <f>IF(WWWW[[#This Row],['#_of_latrines_in_THF]]="",0,WWWW[[#This Row],['#_of_latrines_in_THF]]*50)</f>
        <v>0</v>
      </c>
      <c r="CA16" s="826">
        <f>ROUND(IF(WWWW[[#This Row],[Location Type 1]]="camp",WWWW[[#This Row],[Total PoP ]]/20),0)</f>
        <v>174</v>
      </c>
      <c r="CB16" s="826">
        <f>IF(WWWW[[#This Row],[Total required Latrines]]-WWWW[[#This Row],['#_Existing_latrines]]&lt;0,0,WWWW[[#This Row],[Total required Latrines]]-WWWW[[#This Row],['#_Existing_latrines]])</f>
        <v>0</v>
      </c>
      <c r="CC16" s="829">
        <f>1-WWWW[[#This Row],[% HRP2]]</f>
        <v>0</v>
      </c>
      <c r="CD16" s="825">
        <f>IF(WWWW[[#This Row],['#_Existing_latrines]]="","NA",(WWWW[[#This Row],['#_Existing_latrines]]-WWWW[[#This Row],['#_Functional_adult_latrines]])/WWWW[[#This Row],['#_Existing_latrines]])</f>
        <v>0.12719298245614036</v>
      </c>
      <c r="CE16"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6" s="828">
        <f>SUM(WWWW[[#This Row],[_'#_of_Men_receiving_consultation_hygiene_promotion_messages_and_sessions]:[_'#_of_Girls_receiving_consultation_hygiene_promotion_messages_and_sessions]])-WWWW[[#This Row],['# people reached by regular dedicated hygiene promotion_5]]</f>
        <v>0</v>
      </c>
      <c r="CG16"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16" s="826">
        <f>IF(WWWW[[#This Row],['#_of_affected_women_and_girls_receiving_a_sufficient_quantity_of_sanitary_pads]]&gt;WWWW[[#This Row],[Total PoP ]],WWWW[[#This Row],[Total PoP ]],WWWW[[#This Row],['#_of_affected_women_and_girls_receiving_a_sufficient_quantity_of_sanitary_pads]])</f>
        <v>0</v>
      </c>
      <c r="CI16" s="826">
        <f>IF(WWWW[[#This Row],['# People with access to soap]]&gt;WWWW[[#This Row],['# People with access to Sanity Pads]],WWWW[[#This Row],['# People with access to soap]],WWWW[[#This Row],['# People with access to Sanity Pads]])</f>
        <v>0</v>
      </c>
      <c r="CJ16"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16" s="829">
        <f>IF(WWWW[[#This Row],[HRP3]]/WWWW[[#This Row],[Total PoP ]]&gt;100%,100%,WWWW[[#This Row],[HRP3]]/WWWW[[#This Row],[Total PoP ]])</f>
        <v>0</v>
      </c>
      <c r="CL16" s="825">
        <f>1-WWWW[[#This Row],[Hygiene Coverage%]]</f>
        <v>1</v>
      </c>
      <c r="CM16" s="821">
        <f>WWWW[[#This Row],['# people reached by regular dedicated hygiene promotion_5]]/WWWW[[#This Row],[Total PoP ]]</f>
        <v>0</v>
      </c>
      <c r="CN16" s="825">
        <f>IF(WWWW[[#This Row],['#_of_affected_households_receiving_a_sufficient_quantity_of_soap]]/WWWW[[#This Row],[Total HH]]&gt;1,1,WWWW[[#This Row],['#_of_affected_households_receiving_a_sufficient_quantity_of_soap]]/WWWW[[#This Row],[Total HH]])</f>
        <v>0</v>
      </c>
      <c r="CO16" s="455" t="str">
        <f>IF(WWWW[[#This Row],['#_students at TLS_CFS]]="","No","Yes")</f>
        <v>No</v>
      </c>
      <c r="CP16" s="452">
        <f>WWWW[[#This Row],[%_of_affected_people_surveyed_who_report_feeling_informed_about_the_different_WASH_services_available_to_them]]</f>
        <v>0</v>
      </c>
      <c r="CQ1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6" s="500">
        <f>IF(WWWW[[#This Row],['#_PPL_accessed_water_in_TLS]]&gt;WWWW[[#This Row],['# students access to functioning school latrines_HRP5]],WWWW[[#This Row],['#_PPL_accessed_water_in_TLS]],WWWW[[#This Row],['# students access to functioning school latrines_HRP5]])</f>
        <v>400</v>
      </c>
      <c r="CS16" s="500">
        <f>IF(WWWW[[#This Row],['#_PPL_accessed_water_in_THF]]&gt;WWWW[[#This Row],['# people access to functioning latrines in THF_HRP6]],WWWW[[#This Row],['#_PPL_accessed_water_in_THF]],WWWW[[#This Row],['# people access to functioning latrines in THF_HRP6]])</f>
        <v>0</v>
      </c>
      <c r="CT16" s="817" t="str">
        <f>VLOOKUP(WWWW[[#This Row],[Site Name]],SiteDB6[[Site Name]:[CCCM Management]],6,FALSE)</f>
        <v>Yes</v>
      </c>
      <c r="CU16" s="817">
        <f>VLOOKUP(WWWW[[#This Row],[Site Name]],SiteDB6[[Site Name]:[CCCM Focal Agency]],7,FALSE)</f>
        <v>0</v>
      </c>
      <c r="CV16" s="817" t="str">
        <f>VLOOKUP(WWWW[[#This Row],[Site Name]],SiteDB6[[Site Name]:[Location Type 1]],9,FALSE)</f>
        <v>Camp</v>
      </c>
      <c r="CW16" s="817" t="str">
        <f>VLOOKUP(WWWW[[#This Row],[Site Name]],SiteDB6[[Site Name]:[Type of Accommodation]],10,FALSE)</f>
        <v>Planned Camp</v>
      </c>
      <c r="CX16" s="817" t="str">
        <f>VLOOKUP(WWWW[[#This Row],[Site Name]],SiteDB6[[Site Name]:[Ethnic or GCA/NGCA]],11,FALSE)</f>
        <v>Muslim</v>
      </c>
      <c r="CY16" s="817">
        <f>VLOOKUP(WWWW[[#This Row],[Site Name]],SiteDB6[[Site Name]:[Lat]],12,FALSE)</f>
        <v>20.185917</v>
      </c>
      <c r="CZ16" s="817">
        <f>VLOOKUP(WWWW[[#This Row],[Site Name]],SiteDB6[[Site Name]:[Long]],13,FALSE)</f>
        <v>92.831000000000003</v>
      </c>
      <c r="DA16" s="817" t="str">
        <f>VLOOKUP(WWWW[[#This Row],[Site Name]],SiteDB6[[Site Name]:[Pcode]],3,FALSE)</f>
        <v>MMR012CMP092</v>
      </c>
      <c r="DB16" s="830" t="str">
        <f t="shared" si="0"/>
        <v>Covered</v>
      </c>
      <c r="DC16" s="477">
        <f>VLOOKUP(WWWW[[#This Row],[Site Name]],SiteDB6[[Site Name]:[PWD_Total]],22,FALSE)</f>
        <v>88</v>
      </c>
      <c r="DD16" s="477">
        <f>VLOOKUP(WWWW[[#This Row],[Site Name]],SiteDB6[[Site Name]:[PWD_Total]],23,FALSE)</f>
        <v>397</v>
      </c>
      <c r="DE16" s="477">
        <f>WWWW[[#This Row],['# of Male_People with disabilities]]+WWWW[[#This Row],['# of Female_People with disabilities]]</f>
        <v>485</v>
      </c>
      <c r="DF16" s="817"/>
      <c r="DG16" s="830"/>
      <c r="DH16" s="830"/>
      <c r="DI16" s="830"/>
      <c r="DJ16" s="830">
        <f>VLOOKUP(WWWW[[#This Row],[Site Name]],SiteDB6[[Site Name]:[Pop
(CCCM as of Autust 2021)]],16,FALSE)</f>
        <v>657</v>
      </c>
      <c r="DK16" s="830">
        <f>VLOOKUP(WWWW[[#This Row],[Site Name]],SiteDB6[[Site Name]:[Pop
(CCCM as of Autust 2021)]],17,FALSE)</f>
        <v>3906</v>
      </c>
    </row>
    <row r="17" spans="1:115">
      <c r="A17" s="815" t="s">
        <v>3143</v>
      </c>
      <c r="B17" s="844" t="s">
        <v>265</v>
      </c>
      <c r="C17" s="844" t="s">
        <v>265</v>
      </c>
      <c r="D17" s="845" t="s">
        <v>2983</v>
      </c>
      <c r="E17" s="845" t="s">
        <v>293</v>
      </c>
      <c r="F17" s="816" t="s">
        <v>401</v>
      </c>
      <c r="G17" s="846" t="s">
        <v>43</v>
      </c>
      <c r="H17" s="816" t="s">
        <v>405</v>
      </c>
      <c r="I17" s="847">
        <v>1076</v>
      </c>
      <c r="J17" s="847">
        <v>5024</v>
      </c>
      <c r="K17" s="684">
        <f>WWWW[[#This Row],[Total PoP ]]/WWWW[[#This Row],[Total HH]]</f>
        <v>4.6691449814126393</v>
      </c>
      <c r="L17" s="848">
        <v>43525</v>
      </c>
      <c r="M17" s="849">
        <v>44620</v>
      </c>
      <c r="N17" s="847"/>
      <c r="O17" s="500"/>
      <c r="P17" s="847"/>
      <c r="Q17" s="500">
        <v>9</v>
      </c>
      <c r="R17" s="500">
        <v>9</v>
      </c>
      <c r="S17" s="847"/>
      <c r="T17" s="847">
        <v>5024</v>
      </c>
      <c r="U17" s="847"/>
      <c r="V17" s="850"/>
      <c r="W17" s="847"/>
      <c r="X17" s="850"/>
      <c r="Y17" s="847"/>
      <c r="Z17" s="500"/>
      <c r="AA17" s="500"/>
      <c r="AB17" s="851"/>
      <c r="AC17" s="847">
        <v>121</v>
      </c>
      <c r="AD17" s="847">
        <v>154</v>
      </c>
      <c r="AE17" s="847"/>
      <c r="AF17" s="847"/>
      <c r="AG17" s="850">
        <v>0.99</v>
      </c>
      <c r="AH17" s="850">
        <v>0.98</v>
      </c>
      <c r="AI17" s="850">
        <v>0.98</v>
      </c>
      <c r="AJ17" s="847">
        <v>25</v>
      </c>
      <c r="AK17" s="847">
        <v>120</v>
      </c>
      <c r="AL17" s="847"/>
      <c r="AM17" s="500">
        <v>2</v>
      </c>
      <c r="AN17" s="847" t="s">
        <v>41</v>
      </c>
      <c r="AO17" s="852" t="s">
        <v>3151</v>
      </c>
      <c r="AP17" s="847">
        <v>974</v>
      </c>
      <c r="AQ17" s="847">
        <v>1090</v>
      </c>
      <c r="AR17" s="847">
        <v>1516</v>
      </c>
      <c r="AS17" s="847">
        <v>1444</v>
      </c>
      <c r="AT17" s="847">
        <v>1059</v>
      </c>
      <c r="AU17" s="847">
        <v>2118</v>
      </c>
      <c r="AV17" s="450"/>
      <c r="AW17" s="850">
        <v>0.79</v>
      </c>
      <c r="AX17" s="451"/>
      <c r="AY17" s="853" t="s">
        <v>3152</v>
      </c>
      <c r="AZ17" s="450">
        <v>0.99</v>
      </c>
      <c r="BA17" s="450">
        <v>0.99</v>
      </c>
      <c r="BB17" s="450">
        <v>0.95</v>
      </c>
      <c r="BC17" s="450">
        <v>1</v>
      </c>
      <c r="BD17" s="450"/>
      <c r="BE17" s="500"/>
      <c r="BF17" s="500"/>
      <c r="BG17" s="500"/>
      <c r="BH17" s="500"/>
      <c r="BI17" s="500"/>
      <c r="BJ17" s="500"/>
      <c r="BK17" s="500"/>
      <c r="BL17" s="854" t="str">
        <f>IF(WWWW[[#This Row],['#_Water samples_Tested_at_water_source]]="","no test","Tested")</f>
        <v>no test</v>
      </c>
      <c r="BM17" s="854" t="str">
        <f>IF(WWWW[[#This Row],['#_Water samples_Tested_at_HH]]="","no test","Tested")</f>
        <v>no test</v>
      </c>
      <c r="BN17" s="855" t="str">
        <f>IF(AND(WWWW[[#This Row],[Water_testing_at source]]="no test",WWWW[[#This Row],[Water_testing_at HH]]="no test"),"No Test","Tested")</f>
        <v>No Test</v>
      </c>
      <c r="BO17"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7" s="856">
        <f>WWWW[[#This Row],[% HRP1]]*WWWW[[#This Row],[Total PoP ]]</f>
        <v>5024</v>
      </c>
      <c r="BQ17" s="857">
        <f>WWWW[[#This Row],[HRP1]]/500</f>
        <v>10.048</v>
      </c>
      <c r="BR17" s="858">
        <f>1-WWWW[[#This Row],[% HRP1]]</f>
        <v>0</v>
      </c>
      <c r="BS17" s="857">
        <f>WWWW[[#This Row],[%equitable and continuous access to sufficient quantity of safe drinking and domestic water''s GAP]]*WWWW[[#This Row],[Total PoP ]]</f>
        <v>0</v>
      </c>
      <c r="BT17" s="451">
        <f>ROUND(IF(WWWW[[#This Row],[Total PoP ]]&lt;500,1,WWWW[[#This Row],[Total PoP ]]/500),0)</f>
        <v>10</v>
      </c>
      <c r="BU17" s="855">
        <f>IF(WWWW[[#This Row],[Total required water points]]-WWWW[[#This Row],['#Water points coverage]]&lt;0,0,WWWW[[#This Row],[Total required water points]]-WWWW[[#This Row],['#Water points coverage]])</f>
        <v>0</v>
      </c>
      <c r="BV17" s="452">
        <f>WWWW[[#This Row],[HRP2]]/WWWW[[#This Row],[Total PoP ]]</f>
        <v>0.60509554140127386</v>
      </c>
      <c r="BW17"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3040</v>
      </c>
      <c r="BX17" s="455">
        <f>IF(WWWW[[#This Row],['#_Functional_adult_latrines]]="","",WWWW[[#This Row],[Total PoP ]]/WWWW[[#This Row],['#_Functional_adult_latrines]])</f>
        <v>41.52066115702479</v>
      </c>
      <c r="BY17" s="855">
        <f>WWWW[[#This Row],['#_of_latrines_in_TLS/CFS]]*50</f>
        <v>0</v>
      </c>
      <c r="BZ17" s="451">
        <f>IF(WWWW[[#This Row],['#_of_latrines_in_THF]]="",0,WWWW[[#This Row],['#_of_latrines_in_THF]]*50)</f>
        <v>100</v>
      </c>
      <c r="CA17" s="855">
        <f>ROUND(IF(WWWW[[#This Row],[Location Type 1]]="camp",WWWW[[#This Row],[Total PoP ]]/20),0)</f>
        <v>251</v>
      </c>
      <c r="CB17" s="855">
        <f>IF(WWWW[[#This Row],[Total required Latrines]]-WWWW[[#This Row],['#_Existing_latrines]]&lt;0,0,WWWW[[#This Row],[Total required Latrines]]-WWWW[[#This Row],['#_Existing_latrines]])</f>
        <v>97</v>
      </c>
      <c r="CC17" s="858">
        <f>1-WWWW[[#This Row],[% HRP2]]</f>
        <v>0.39490445859872614</v>
      </c>
      <c r="CD17" s="854">
        <f>IF(WWWW[[#This Row],['#_Existing_latrines]]="","NA",(WWWW[[#This Row],['#_Existing_latrines]]-WWWW[[#This Row],['#_Functional_adult_latrines]])/WWWW[[#This Row],['#_Existing_latrines]])</f>
        <v>0.21428571428571427</v>
      </c>
      <c r="CE17"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17" s="857">
        <f>SUM(WWWW[[#This Row],[_'#_of_Men_receiving_consultation_hygiene_promotion_messages_and_sessions]:[_'#_of_Girls_receiving_consultation_hygiene_promotion_messages_and_sessions]])-WWWW[[#This Row],['# people reached by regular dedicated hygiene promotion_5]]</f>
        <v>0</v>
      </c>
      <c r="CG17"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4944.6245353159848</v>
      </c>
      <c r="CH17" s="855">
        <f>IF(WWWW[[#This Row],['#_of_affected_women_and_girls_receiving_a_sufficient_quantity_of_sanitary_pads]]&gt;WWWW[[#This Row],[Total PoP ]],WWWW[[#This Row],[Total PoP ]],WWWW[[#This Row],['#_of_affected_women_and_girls_receiving_a_sufficient_quantity_of_sanitary_pads]])</f>
        <v>2118</v>
      </c>
      <c r="CI17" s="855">
        <f>IF(WWWW[[#This Row],['# People with access to soap]]&gt;WWWW[[#This Row],['# People with access to Sanity Pads]],WWWW[[#This Row],['# People with access to soap]],WWWW[[#This Row],['# People with access to Sanity Pads]])</f>
        <v>4944.6245353159848</v>
      </c>
      <c r="CJ17" s="855">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K17" s="858">
        <f>IF(WWWW[[#This Row],[HRP3]]/WWWW[[#This Row],[Total PoP ]]&gt;100%,100%,WWWW[[#This Row],[HRP3]]/WWWW[[#This Row],[Total PoP ]])</f>
        <v>1</v>
      </c>
      <c r="CL17" s="854">
        <f>1-WWWW[[#This Row],[Hygiene Coverage%]]</f>
        <v>0</v>
      </c>
      <c r="CM17" s="850">
        <f>WWWW[[#This Row],['# people reached by regular dedicated hygiene promotion_5]]/WWWW[[#This Row],[Total PoP ]]</f>
        <v>1</v>
      </c>
      <c r="CN17" s="854">
        <f>IF(WWWW[[#This Row],['#_of_affected_households_receiving_a_sufficient_quantity_of_soap]]/WWWW[[#This Row],[Total HH]]&gt;1,1,WWWW[[#This Row],['#_of_affected_households_receiving_a_sufficient_quantity_of_soap]]/WWWW[[#This Row],[Total HH]])</f>
        <v>0.98420074349442377</v>
      </c>
      <c r="CO17" s="455" t="str">
        <f>IF(WWWW[[#This Row],['#_students at TLS_CFS]]="","No","Yes")</f>
        <v>No</v>
      </c>
      <c r="CP17" s="452">
        <f>WWWW[[#This Row],[%_of_affected_people_surveyed_who_report_feeling_informed_about_the_different_WASH_services_available_to_them]]</f>
        <v>0.95</v>
      </c>
      <c r="CQ1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7" s="500">
        <f>IF(WWWW[[#This Row],['#_PPL_accessed_water_in_TLS]]&gt;WWWW[[#This Row],['# students access to functioning school latrines_HRP5]],WWWW[[#This Row],['#_PPL_accessed_water_in_TLS]],WWWW[[#This Row],['# students access to functioning school latrines_HRP5]])</f>
        <v>0</v>
      </c>
      <c r="CS17" s="500">
        <f>IF(WWWW[[#This Row],['#_PPL_accessed_water_in_THF]]&gt;WWWW[[#This Row],['# people access to functioning latrines in THF_HRP6]],WWWW[[#This Row],['#_PPL_accessed_water_in_THF]],WWWW[[#This Row],['# people access to functioning latrines in THF_HRP6]])</f>
        <v>100</v>
      </c>
      <c r="CT17" s="846" t="str">
        <f>VLOOKUP(WWWW[[#This Row],[Site Name]],SiteDB6[[Site Name]:[CCCM Management]],6,FALSE)</f>
        <v>Yes</v>
      </c>
      <c r="CU17" s="846" t="str">
        <f>VLOOKUP(WWWW[[#This Row],[Site Name]],SiteDB6[[Site Name]:[CCCM Focal Agency]],7,FALSE)</f>
        <v>LWF</v>
      </c>
      <c r="CV17" s="846" t="str">
        <f>VLOOKUP(WWWW[[#This Row],[Site Name]],SiteDB6[[Site Name]:[Location Type 1]],9,FALSE)</f>
        <v>Camp</v>
      </c>
      <c r="CW17" s="846" t="str">
        <f>VLOOKUP(WWWW[[#This Row],[Site Name]],SiteDB6[[Site Name]:[Type of Accommodation]],10,FALSE)</f>
        <v>Individual House</v>
      </c>
      <c r="CX17" s="846" t="str">
        <f>VLOOKUP(WWWW[[#This Row],[Site Name]],SiteDB6[[Site Name]:[Ethnic or GCA/NGCA]],11,FALSE)</f>
        <v>Muslim</v>
      </c>
      <c r="CY17" s="846">
        <f>VLOOKUP(WWWW[[#This Row],[Site Name]],SiteDB6[[Site Name]:[Lat]],12,FALSE)</f>
        <v>20.073437999999999</v>
      </c>
      <c r="CZ17" s="846">
        <f>VLOOKUP(WWWW[[#This Row],[Site Name]],SiteDB6[[Site Name]:[Long]],13,FALSE)</f>
        <v>93.154551999999995</v>
      </c>
      <c r="DA17" s="846" t="str">
        <f>VLOOKUP(WWWW[[#This Row],[Site Name]],SiteDB6[[Site Name]:[Pcode]],3,FALSE)</f>
        <v>MMR012CMP017</v>
      </c>
      <c r="DB17" s="859" t="str">
        <f t="shared" si="0"/>
        <v>Covered</v>
      </c>
      <c r="DC17" s="477">
        <f>VLOOKUP(WWWW[[#This Row],[Site Name]],SiteDB6[[Site Name]:[PWD_Total]],22,FALSE)</f>
        <v>159</v>
      </c>
      <c r="DD17" s="477">
        <f>VLOOKUP(WWWW[[#This Row],[Site Name]],SiteDB6[[Site Name]:[PWD_Total]],23,FALSE)</f>
        <v>923</v>
      </c>
      <c r="DE17" s="477">
        <f>WWWW[[#This Row],['# of Male_People with disabilities]]+WWWW[[#This Row],['# of Female_People with disabilities]]</f>
        <v>1082</v>
      </c>
      <c r="DF17" s="846"/>
      <c r="DG17" s="859"/>
      <c r="DH17" s="859"/>
      <c r="DI17" s="859"/>
      <c r="DJ17" s="859">
        <f>VLOOKUP(WWWW[[#This Row],[Site Name]],SiteDB6[[Site Name]:[Pop
(CCCM as of Autust 2021)]],16,FALSE)</f>
        <v>1059</v>
      </c>
      <c r="DK17" s="859">
        <f>VLOOKUP(WWWW[[#This Row],[Site Name]],SiteDB6[[Site Name]:[Pop
(CCCM as of Autust 2021)]],17,FALSE)</f>
        <v>5004</v>
      </c>
    </row>
    <row r="18" spans="1:115">
      <c r="A18" s="815" t="s">
        <v>3143</v>
      </c>
      <c r="B18" s="844" t="s">
        <v>265</v>
      </c>
      <c r="C18" s="844" t="s">
        <v>265</v>
      </c>
      <c r="D18" s="845" t="s">
        <v>2983</v>
      </c>
      <c r="E18" s="845" t="s">
        <v>293</v>
      </c>
      <c r="F18" s="816" t="s">
        <v>401</v>
      </c>
      <c r="G18" s="846" t="s">
        <v>43</v>
      </c>
      <c r="H18" s="816" t="s">
        <v>406</v>
      </c>
      <c r="I18" s="847">
        <v>1064</v>
      </c>
      <c r="J18" s="847">
        <v>5137</v>
      </c>
      <c r="K18" s="684">
        <f>WWWW[[#This Row],[Total PoP ]]/WWWW[[#This Row],[Total HH]]</f>
        <v>4.8280075187969924</v>
      </c>
      <c r="L18" s="848">
        <v>43525</v>
      </c>
      <c r="M18" s="849">
        <v>44620</v>
      </c>
      <c r="N18" s="847"/>
      <c r="O18" s="500"/>
      <c r="P18" s="847"/>
      <c r="Q18" s="500">
        <v>7</v>
      </c>
      <c r="R18" s="500">
        <v>7</v>
      </c>
      <c r="S18" s="847"/>
      <c r="T18" s="847">
        <v>5137</v>
      </c>
      <c r="U18" s="847"/>
      <c r="V18" s="850"/>
      <c r="W18" s="847"/>
      <c r="X18" s="850"/>
      <c r="Y18" s="847"/>
      <c r="Z18" s="500"/>
      <c r="AA18" s="500"/>
      <c r="AB18" s="851"/>
      <c r="AC18" s="847">
        <v>148</v>
      </c>
      <c r="AD18" s="847">
        <v>189</v>
      </c>
      <c r="AE18" s="847"/>
      <c r="AF18" s="847"/>
      <c r="AG18" s="850">
        <v>0.99</v>
      </c>
      <c r="AH18" s="850">
        <v>0.98</v>
      </c>
      <c r="AI18" s="850">
        <v>0.98</v>
      </c>
      <c r="AJ18" s="847">
        <v>34</v>
      </c>
      <c r="AK18" s="847">
        <v>80</v>
      </c>
      <c r="AL18" s="847"/>
      <c r="AM18" s="500">
        <v>3</v>
      </c>
      <c r="AN18" s="847" t="s">
        <v>41</v>
      </c>
      <c r="AO18" s="852" t="s">
        <v>3151</v>
      </c>
      <c r="AP18" s="847">
        <v>1051</v>
      </c>
      <c r="AQ18" s="847">
        <v>1120</v>
      </c>
      <c r="AR18" s="847">
        <v>1582</v>
      </c>
      <c r="AS18" s="847">
        <v>1384</v>
      </c>
      <c r="AT18" s="847">
        <v>1064</v>
      </c>
      <c r="AU18" s="847">
        <v>2128</v>
      </c>
      <c r="AV18" s="450"/>
      <c r="AW18" s="850">
        <v>0.79</v>
      </c>
      <c r="AX18" s="451"/>
      <c r="AY18" s="853" t="s">
        <v>3154</v>
      </c>
      <c r="AZ18" s="450">
        <v>0.99</v>
      </c>
      <c r="BA18" s="450">
        <v>0.98</v>
      </c>
      <c r="BB18" s="450">
        <v>0.96</v>
      </c>
      <c r="BC18" s="450">
        <v>1</v>
      </c>
      <c r="BD18" s="450"/>
      <c r="BE18" s="500"/>
      <c r="BF18" s="500"/>
      <c r="BG18" s="500"/>
      <c r="BH18" s="500"/>
      <c r="BI18" s="500"/>
      <c r="BJ18" s="500"/>
      <c r="BK18" s="500"/>
      <c r="BL18" s="854" t="str">
        <f>IF(WWWW[[#This Row],['#_Water samples_Tested_at_water_source]]="","no test","Tested")</f>
        <v>no test</v>
      </c>
      <c r="BM18" s="854" t="str">
        <f>IF(WWWW[[#This Row],['#_Water samples_Tested_at_HH]]="","no test","Tested")</f>
        <v>no test</v>
      </c>
      <c r="BN18" s="855" t="str">
        <f>IF(AND(WWWW[[#This Row],[Water_testing_at source]]="no test",WWWW[[#This Row],[Water_testing_at HH]]="no test"),"No Test","Tested")</f>
        <v>No Test</v>
      </c>
      <c r="BO18"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8" s="856">
        <f>WWWW[[#This Row],[% HRP1]]*WWWW[[#This Row],[Total PoP ]]</f>
        <v>5137</v>
      </c>
      <c r="BQ18" s="857">
        <f>WWWW[[#This Row],[HRP1]]/500</f>
        <v>10.273999999999999</v>
      </c>
      <c r="BR18" s="858">
        <f>1-WWWW[[#This Row],[% HRP1]]</f>
        <v>0</v>
      </c>
      <c r="BS18" s="857">
        <f>WWWW[[#This Row],[%equitable and continuous access to sufficient quantity of safe drinking and domestic water''s GAP]]*WWWW[[#This Row],[Total PoP ]]</f>
        <v>0</v>
      </c>
      <c r="BT18" s="451">
        <f>ROUND(IF(WWWW[[#This Row],[Total PoP ]]&lt;500,1,WWWW[[#This Row],[Total PoP ]]/500),0)</f>
        <v>10</v>
      </c>
      <c r="BU18" s="855">
        <f>IF(WWWW[[#This Row],[Total required water points]]-WWWW[[#This Row],['#Water points coverage]]&lt;0,0,WWWW[[#This Row],[Total required water points]]-WWWW[[#This Row],['#Water points coverage]])</f>
        <v>0</v>
      </c>
      <c r="BV18" s="452">
        <f>WWWW[[#This Row],[HRP2]]/WWWW[[#This Row],[Total PoP ]]</f>
        <v>0.72415806891181622</v>
      </c>
      <c r="BW18"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3720</v>
      </c>
      <c r="BX18" s="455">
        <f>IF(WWWW[[#This Row],['#_Functional_adult_latrines]]="","",WWWW[[#This Row],[Total PoP ]]/WWWW[[#This Row],['#_Functional_adult_latrines]])</f>
        <v>34.70945945945946</v>
      </c>
      <c r="BY18" s="855">
        <f>WWWW[[#This Row],['#_of_latrines_in_TLS/CFS]]*50</f>
        <v>0</v>
      </c>
      <c r="BZ18" s="451">
        <f>IF(WWWW[[#This Row],['#_of_latrines_in_THF]]="",0,WWWW[[#This Row],['#_of_latrines_in_THF]]*50)</f>
        <v>150</v>
      </c>
      <c r="CA18" s="855">
        <f>ROUND(IF(WWWW[[#This Row],[Location Type 1]]="camp",WWWW[[#This Row],[Total PoP ]]/20),0)</f>
        <v>257</v>
      </c>
      <c r="CB18" s="855">
        <f>IF(WWWW[[#This Row],[Total required Latrines]]-WWWW[[#This Row],['#_Existing_latrines]]&lt;0,0,WWWW[[#This Row],[Total required Latrines]]-WWWW[[#This Row],['#_Existing_latrines]])</f>
        <v>68</v>
      </c>
      <c r="CC18" s="858">
        <f>1-WWWW[[#This Row],[% HRP2]]</f>
        <v>0.27584193108818378</v>
      </c>
      <c r="CD18" s="854">
        <f>IF(WWWW[[#This Row],['#_Existing_latrines]]="","NA",(WWWW[[#This Row],['#_Existing_latrines]]-WWWW[[#This Row],['#_Functional_adult_latrines]])/WWWW[[#This Row],['#_Existing_latrines]])</f>
        <v>0.21693121693121692</v>
      </c>
      <c r="CE18"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18" s="857">
        <f>SUM(WWWW[[#This Row],[_'#_of_Men_receiving_consultation_hygiene_promotion_messages_and_sessions]:[_'#_of_Girls_receiving_consultation_hygiene_promotion_messages_and_sessions]])-WWWW[[#This Row],['# people reached by regular dedicated hygiene promotion_5]]</f>
        <v>0</v>
      </c>
      <c r="CG18"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H18" s="855">
        <f>IF(WWWW[[#This Row],['#_of_affected_women_and_girls_receiving_a_sufficient_quantity_of_sanitary_pads]]&gt;WWWW[[#This Row],[Total PoP ]],WWWW[[#This Row],[Total PoP ]],WWWW[[#This Row],['#_of_affected_women_and_girls_receiving_a_sufficient_quantity_of_sanitary_pads]])</f>
        <v>2128</v>
      </c>
      <c r="CI18" s="855">
        <f>IF(WWWW[[#This Row],['# People with access to soap]]&gt;WWWW[[#This Row],['# People with access to Sanity Pads]],WWWW[[#This Row],['# People with access to soap]],WWWW[[#This Row],['# People with access to Sanity Pads]])</f>
        <v>5137</v>
      </c>
      <c r="CJ18" s="855">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K18" s="858">
        <f>IF(WWWW[[#This Row],[HRP3]]/WWWW[[#This Row],[Total PoP ]]&gt;100%,100%,WWWW[[#This Row],[HRP3]]/WWWW[[#This Row],[Total PoP ]])</f>
        <v>1</v>
      </c>
      <c r="CL18" s="854">
        <f>1-WWWW[[#This Row],[Hygiene Coverage%]]</f>
        <v>0</v>
      </c>
      <c r="CM18" s="850">
        <f>WWWW[[#This Row],['# people reached by regular dedicated hygiene promotion_5]]/WWWW[[#This Row],[Total PoP ]]</f>
        <v>1</v>
      </c>
      <c r="CN18" s="854">
        <f>IF(WWWW[[#This Row],['#_of_affected_households_receiving_a_sufficient_quantity_of_soap]]/WWWW[[#This Row],[Total HH]]&gt;1,1,WWWW[[#This Row],['#_of_affected_households_receiving_a_sufficient_quantity_of_soap]]/WWWW[[#This Row],[Total HH]])</f>
        <v>1</v>
      </c>
      <c r="CO18" s="455" t="str">
        <f>IF(WWWW[[#This Row],['#_students at TLS_CFS]]="","No","Yes")</f>
        <v>No</v>
      </c>
      <c r="CP18" s="452">
        <f>WWWW[[#This Row],[%_of_affected_people_surveyed_who_report_feeling_informed_about_the_different_WASH_services_available_to_them]]</f>
        <v>0.96</v>
      </c>
      <c r="CQ1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8" s="500">
        <f>IF(WWWW[[#This Row],['#_PPL_accessed_water_in_TLS]]&gt;WWWW[[#This Row],['# students access to functioning school latrines_HRP5]],WWWW[[#This Row],['#_PPL_accessed_water_in_TLS]],WWWW[[#This Row],['# students access to functioning school latrines_HRP5]])</f>
        <v>0</v>
      </c>
      <c r="CS18" s="500">
        <f>IF(WWWW[[#This Row],['#_PPL_accessed_water_in_THF]]&gt;WWWW[[#This Row],['# people access to functioning latrines in THF_HRP6]],WWWW[[#This Row],['#_PPL_accessed_water_in_THF]],WWWW[[#This Row],['# people access to functioning latrines in THF_HRP6]])</f>
        <v>150</v>
      </c>
      <c r="CT18" s="846" t="str">
        <f>VLOOKUP(WWWW[[#This Row],[Site Name]],SiteDB6[[Site Name]:[CCCM Management]],6,FALSE)</f>
        <v>Yes</v>
      </c>
      <c r="CU18" s="846" t="str">
        <f>VLOOKUP(WWWW[[#This Row],[Site Name]],SiteDB6[[Site Name]:[CCCM Focal Agency]],7,FALSE)</f>
        <v>LWF</v>
      </c>
      <c r="CV18" s="846" t="str">
        <f>VLOOKUP(WWWW[[#This Row],[Site Name]],SiteDB6[[Site Name]:[Location Type 1]],9,FALSE)</f>
        <v>Camp</v>
      </c>
      <c r="CW18" s="846" t="str">
        <f>VLOOKUP(WWWW[[#This Row],[Site Name]],SiteDB6[[Site Name]:[Type of Accommodation]],10,FALSE)</f>
        <v>Planned Camp</v>
      </c>
      <c r="CX18" s="846" t="str">
        <f>VLOOKUP(WWWW[[#This Row],[Site Name]],SiteDB6[[Site Name]:[Ethnic or GCA/NGCA]],11,FALSE)</f>
        <v>Muslim</v>
      </c>
      <c r="CY18" s="846">
        <f>VLOOKUP(WWWW[[#This Row],[Site Name]],SiteDB6[[Site Name]:[Lat]],12,FALSE)</f>
        <v>20.073437999999999</v>
      </c>
      <c r="CZ18" s="846">
        <f>VLOOKUP(WWWW[[#This Row],[Site Name]],SiteDB6[[Site Name]:[Long]],13,FALSE)</f>
        <v>93.154551999999995</v>
      </c>
      <c r="DA18" s="846" t="str">
        <f>VLOOKUP(WWWW[[#This Row],[Site Name]],SiteDB6[[Site Name]:[Pcode]],3,FALSE)</f>
        <v>MMR012CMP017</v>
      </c>
      <c r="DB18" s="859" t="str">
        <f t="shared" si="0"/>
        <v>Covered</v>
      </c>
      <c r="DC18" s="477">
        <f>VLOOKUP(WWWW[[#This Row],[Site Name]],SiteDB6[[Site Name]:[PWD_Total]],22,FALSE)</f>
        <v>116</v>
      </c>
      <c r="DD18" s="477">
        <f>VLOOKUP(WWWW[[#This Row],[Site Name]],SiteDB6[[Site Name]:[PWD_Total]],23,FALSE)</f>
        <v>693</v>
      </c>
      <c r="DE18" s="477">
        <f>WWWW[[#This Row],['# of Male_People with disabilities]]+WWWW[[#This Row],['# of Female_People with disabilities]]</f>
        <v>809</v>
      </c>
      <c r="DF18" s="846"/>
      <c r="DG18" s="859"/>
      <c r="DH18" s="859"/>
      <c r="DI18" s="859"/>
      <c r="DJ18" s="859">
        <f>VLOOKUP(WWWW[[#This Row],[Site Name]],SiteDB6[[Site Name]:[Pop
(CCCM as of Autust 2021)]],16,FALSE)</f>
        <v>982</v>
      </c>
      <c r="DK18" s="859">
        <f>VLOOKUP(WWWW[[#This Row],[Site Name]],SiteDB6[[Site Name]:[Pop
(CCCM as of Autust 2021)]],17,FALSE)</f>
        <v>4828</v>
      </c>
    </row>
    <row r="19" spans="1:115">
      <c r="A19" s="815" t="s">
        <v>3143</v>
      </c>
      <c r="B19" s="845" t="s">
        <v>2269</v>
      </c>
      <c r="C19" s="845" t="s">
        <v>2269</v>
      </c>
      <c r="D19" s="816" t="s">
        <v>40</v>
      </c>
      <c r="E19" s="845" t="s">
        <v>293</v>
      </c>
      <c r="F19" s="845" t="s">
        <v>294</v>
      </c>
      <c r="G19" s="846" t="s">
        <v>43</v>
      </c>
      <c r="H19" s="816" t="s">
        <v>440</v>
      </c>
      <c r="I19" s="818">
        <v>774</v>
      </c>
      <c r="J19" s="818">
        <v>3095</v>
      </c>
      <c r="K19" s="684">
        <f>WWWW[[#This Row],[Total PoP ]]/WWWW[[#This Row],[Total HH]]</f>
        <v>3.9987080103359172</v>
      </c>
      <c r="L19" s="819">
        <v>44197</v>
      </c>
      <c r="M19" s="820">
        <v>44592</v>
      </c>
      <c r="N19" s="818"/>
      <c r="O19" s="500">
        <v>59</v>
      </c>
      <c r="P19" s="818">
        <v>80</v>
      </c>
      <c r="Q19" s="500"/>
      <c r="R19" s="500"/>
      <c r="S19" s="818"/>
      <c r="T19" s="818"/>
      <c r="U19" s="500"/>
      <c r="V19" s="450"/>
      <c r="W19" s="500"/>
      <c r="X19" s="450"/>
      <c r="Y19" s="818"/>
      <c r="Z19" s="500"/>
      <c r="AA19" s="500"/>
      <c r="AB19" s="822"/>
      <c r="AC19" s="818">
        <v>140</v>
      </c>
      <c r="AD19" s="818">
        <v>187</v>
      </c>
      <c r="AE19" s="818"/>
      <c r="AF19" s="818"/>
      <c r="AG19" s="821"/>
      <c r="AH19" s="821"/>
      <c r="AI19" s="821"/>
      <c r="AJ19" s="818"/>
      <c r="AK19" s="818">
        <v>19</v>
      </c>
      <c r="AL19" s="818">
        <v>2</v>
      </c>
      <c r="AM19" s="500"/>
      <c r="AN19" s="818" t="s">
        <v>41</v>
      </c>
      <c r="AO19" s="823"/>
      <c r="AP19" s="818"/>
      <c r="AQ19" s="818"/>
      <c r="AR19" s="818"/>
      <c r="AS19" s="818"/>
      <c r="AT19" s="818"/>
      <c r="AU19" s="818"/>
      <c r="AV19" s="450"/>
      <c r="AW19" s="821"/>
      <c r="AX19" s="451"/>
      <c r="AY19" s="831"/>
      <c r="AZ19" s="450"/>
      <c r="BA19" s="450"/>
      <c r="BB19" s="450"/>
      <c r="BC19" s="450"/>
      <c r="BD19" s="450"/>
      <c r="BE19" s="500"/>
      <c r="BF19" s="500"/>
      <c r="BG19" s="500"/>
      <c r="BH19" s="840"/>
      <c r="BI19" s="840"/>
      <c r="BJ19" s="837"/>
      <c r="BK19" s="500"/>
      <c r="BL19" s="825" t="str">
        <f>IF(WWWW[[#This Row],['#_Water samples_Tested_at_water_source]]="","no test","Tested")</f>
        <v>no test</v>
      </c>
      <c r="BM19" s="825" t="str">
        <f>IF(WWWW[[#This Row],['#_Water samples_Tested_at_HH]]="","no test","Tested")</f>
        <v>no test</v>
      </c>
      <c r="BN19" s="826" t="str">
        <f>IF(AND(WWWW[[#This Row],[Water_testing_at source]]="no test",WWWW[[#This Row],[Water_testing_at HH]]="no test"),"No Test","Tested")</f>
        <v>No Test</v>
      </c>
      <c r="BO19"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9" s="827">
        <f>WWWW[[#This Row],[% HRP1]]*WWWW[[#This Row],[Total PoP ]]</f>
        <v>3095</v>
      </c>
      <c r="BQ19" s="828">
        <f>WWWW[[#This Row],[HRP1]]/500</f>
        <v>6.19</v>
      </c>
      <c r="BR19" s="829">
        <f>1-WWWW[[#This Row],[% HRP1]]</f>
        <v>0</v>
      </c>
      <c r="BS19" s="828">
        <f>WWWW[[#This Row],[%equitable and continuous access to sufficient quantity of safe drinking and domestic water''s GAP]]*WWWW[[#This Row],[Total PoP ]]</f>
        <v>0</v>
      </c>
      <c r="BT19" s="451">
        <f>ROUND(IF(WWWW[[#This Row],[Total PoP ]]&lt;500,1,WWWW[[#This Row],[Total PoP ]]/500),0)</f>
        <v>6</v>
      </c>
      <c r="BU19" s="826">
        <f>IF(WWWW[[#This Row],[Total required water points]]-WWWW[[#This Row],['#Water points coverage]]&lt;0,0,WWWW[[#This Row],[Total required water points]]-WWWW[[#This Row],['#Water points coverage]])</f>
        <v>0</v>
      </c>
      <c r="BV19" s="452">
        <f>WWWW[[#This Row],[HRP2]]/WWWW[[#This Row],[Total PoP ]]</f>
        <v>0.91082390953150238</v>
      </c>
      <c r="BW19"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2819</v>
      </c>
      <c r="BX19" s="455">
        <f>IF(WWWW[[#This Row],['#_Functional_adult_latrines]]="","",WWWW[[#This Row],[Total PoP ]]/WWWW[[#This Row],['#_Functional_adult_latrines]])</f>
        <v>22.107142857142858</v>
      </c>
      <c r="BY19" s="826">
        <f>WWWW[[#This Row],['#_of_latrines_in_TLS/CFS]]*50</f>
        <v>100</v>
      </c>
      <c r="BZ19" s="451">
        <f>IF(WWWW[[#This Row],['#_of_latrines_in_THF]]="",0,WWWW[[#This Row],['#_of_latrines_in_THF]]*50)</f>
        <v>0</v>
      </c>
      <c r="CA19" s="826">
        <f>ROUND(IF(WWWW[[#This Row],[Location Type 1]]="camp",WWWW[[#This Row],[Total PoP ]]/20),0)</f>
        <v>155</v>
      </c>
      <c r="CB19" s="826">
        <f>IF(WWWW[[#This Row],[Total required Latrines]]-WWWW[[#This Row],['#_Existing_latrines]]&lt;0,0,WWWW[[#This Row],[Total required Latrines]]-WWWW[[#This Row],['#_Existing_latrines]])</f>
        <v>0</v>
      </c>
      <c r="CC19" s="829">
        <f>1-WWWW[[#This Row],[% HRP2]]</f>
        <v>8.9176090468497615E-2</v>
      </c>
      <c r="CD19" s="825">
        <f>IF(WWWW[[#This Row],['#_Existing_latrines]]="","NA",(WWWW[[#This Row],['#_Existing_latrines]]-WWWW[[#This Row],['#_Functional_adult_latrines]])/WWWW[[#This Row],['#_Existing_latrines]])</f>
        <v>0.25133689839572193</v>
      </c>
      <c r="CE19"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9" s="828">
        <f>SUM(WWWW[[#This Row],[_'#_of_Men_receiving_consultation_hygiene_promotion_messages_and_sessions]:[_'#_of_Girls_receiving_consultation_hygiene_promotion_messages_and_sessions]])-WWWW[[#This Row],['# people reached by regular dedicated hygiene promotion_5]]</f>
        <v>0</v>
      </c>
      <c r="CG19"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19" s="826">
        <f>IF(WWWW[[#This Row],['#_of_affected_women_and_girls_receiving_a_sufficient_quantity_of_sanitary_pads]]&gt;WWWW[[#This Row],[Total PoP ]],WWWW[[#This Row],[Total PoP ]],WWWW[[#This Row],['#_of_affected_women_and_girls_receiving_a_sufficient_quantity_of_sanitary_pads]])</f>
        <v>0</v>
      </c>
      <c r="CI19" s="826">
        <f>IF(WWWW[[#This Row],['# People with access to soap]]&gt;WWWW[[#This Row],['# People with access to Sanity Pads]],WWWW[[#This Row],['# People with access to soap]],WWWW[[#This Row],['# People with access to Sanity Pads]])</f>
        <v>0</v>
      </c>
      <c r="CJ19"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19" s="829">
        <f>IF(WWWW[[#This Row],[HRP3]]/WWWW[[#This Row],[Total PoP ]]&gt;100%,100%,WWWW[[#This Row],[HRP3]]/WWWW[[#This Row],[Total PoP ]])</f>
        <v>0</v>
      </c>
      <c r="CL19" s="825">
        <f>1-WWWW[[#This Row],[Hygiene Coverage%]]</f>
        <v>1</v>
      </c>
      <c r="CM19" s="821">
        <f>WWWW[[#This Row],['# people reached by regular dedicated hygiene promotion_5]]/WWWW[[#This Row],[Total PoP ]]</f>
        <v>0</v>
      </c>
      <c r="CN19" s="825">
        <f>IF(WWWW[[#This Row],['#_of_affected_households_receiving_a_sufficient_quantity_of_soap]]/WWWW[[#This Row],[Total HH]]&gt;1,1,WWWW[[#This Row],['#_of_affected_households_receiving_a_sufficient_quantity_of_soap]]/WWWW[[#This Row],[Total HH]])</f>
        <v>0</v>
      </c>
      <c r="CO19" s="455" t="str">
        <f>IF(WWWW[[#This Row],['#_students at TLS_CFS]]="","No","Yes")</f>
        <v>No</v>
      </c>
      <c r="CP19" s="452">
        <f>WWWW[[#This Row],[%_of_affected_people_surveyed_who_report_feeling_informed_about_the_different_WASH_services_available_to_them]]</f>
        <v>0</v>
      </c>
      <c r="CQ1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19" s="500">
        <f>IF(WWWW[[#This Row],['#_PPL_accessed_water_in_TLS]]&gt;WWWW[[#This Row],['# students access to functioning school latrines_HRP5]],WWWW[[#This Row],['#_PPL_accessed_water_in_TLS]],WWWW[[#This Row],['# students access to functioning school latrines_HRP5]])</f>
        <v>100</v>
      </c>
      <c r="CS19" s="500">
        <f>IF(WWWW[[#This Row],['#_PPL_accessed_water_in_THF]]&gt;WWWW[[#This Row],['# people access to functioning latrines in THF_HRP6]],WWWW[[#This Row],['#_PPL_accessed_water_in_THF]],WWWW[[#This Row],['# people access to functioning latrines in THF_HRP6]])</f>
        <v>0</v>
      </c>
      <c r="CT19" s="817" t="str">
        <f>VLOOKUP(WWWW[[#This Row],[Site Name]],SiteDB6[[Site Name]:[CCCM Management]],6,FALSE)</f>
        <v>Yes</v>
      </c>
      <c r="CU19" s="817">
        <f>VLOOKUP(WWWW[[#This Row],[Site Name]],SiteDB6[[Site Name]:[CCCM Focal Agency]],7,FALSE)</f>
        <v>0</v>
      </c>
      <c r="CV19" s="817" t="str">
        <f>VLOOKUP(WWWW[[#This Row],[Site Name]],SiteDB6[[Site Name]:[Location Type 1]],9,FALSE)</f>
        <v>Camp</v>
      </c>
      <c r="CW19" s="817" t="str">
        <f>VLOOKUP(WWWW[[#This Row],[Site Name]],SiteDB6[[Site Name]:[Type of Accommodation]],10,FALSE)</f>
        <v>Planned Camp</v>
      </c>
      <c r="CX19" s="817" t="str">
        <f>VLOOKUP(WWWW[[#This Row],[Site Name]],SiteDB6[[Site Name]:[Ethnic or GCA/NGCA]],11,FALSE)</f>
        <v>Muslim</v>
      </c>
      <c r="CY19" s="817">
        <f>VLOOKUP(WWWW[[#This Row],[Site Name]],SiteDB6[[Site Name]:[Lat]],12,FALSE)</f>
        <v>20.206778</v>
      </c>
      <c r="CZ19" s="817">
        <f>VLOOKUP(WWWW[[#This Row],[Site Name]],SiteDB6[[Site Name]:[Long]],13,FALSE)</f>
        <v>92.774193999999994</v>
      </c>
      <c r="DA19" s="817" t="str">
        <f>VLOOKUP(WWWW[[#This Row],[Site Name]],SiteDB6[[Site Name]:[Pcode]],3,FALSE)</f>
        <v>MMR012CMP098</v>
      </c>
      <c r="DB19" s="830" t="str">
        <f t="shared" si="0"/>
        <v>Covered</v>
      </c>
      <c r="DC19" s="477">
        <f>VLOOKUP(WWWW[[#This Row],[Site Name]],SiteDB6[[Site Name]:[PWD_Total]],22,FALSE)</f>
        <v>42</v>
      </c>
      <c r="DD19" s="477">
        <f>VLOOKUP(WWWW[[#This Row],[Site Name]],SiteDB6[[Site Name]:[PWD_Total]],23,FALSE)</f>
        <v>432</v>
      </c>
      <c r="DE19" s="477">
        <f>WWWW[[#This Row],['# of Male_People with disabilities]]+WWWW[[#This Row],['# of Female_People with disabilities]]</f>
        <v>474</v>
      </c>
      <c r="DF19" s="817"/>
      <c r="DG19" s="830"/>
      <c r="DH19" s="830"/>
      <c r="DI19" s="830"/>
      <c r="DJ19" s="830">
        <f>VLOOKUP(WWWW[[#This Row],[Site Name]],SiteDB6[[Site Name]:[Pop
(CCCM as of Autust 2021)]],16,FALSE)</f>
        <v>777</v>
      </c>
      <c r="DK19" s="830">
        <f>VLOOKUP(WWWW[[#This Row],[Site Name]],SiteDB6[[Site Name]:[Pop
(CCCM as of Autust 2021)]],17,FALSE)</f>
        <v>4735</v>
      </c>
    </row>
    <row r="20" spans="1:115">
      <c r="A20" s="815" t="s">
        <v>3143</v>
      </c>
      <c r="B20" s="845" t="s">
        <v>2269</v>
      </c>
      <c r="C20" s="845" t="s">
        <v>2269</v>
      </c>
      <c r="D20" s="816" t="s">
        <v>40</v>
      </c>
      <c r="E20" s="845" t="s">
        <v>293</v>
      </c>
      <c r="F20" s="845" t="s">
        <v>294</v>
      </c>
      <c r="G20" s="846" t="s">
        <v>43</v>
      </c>
      <c r="H20" s="816" t="s">
        <v>431</v>
      </c>
      <c r="I20" s="818">
        <v>2728</v>
      </c>
      <c r="J20" s="818">
        <v>13302</v>
      </c>
      <c r="K20" s="684">
        <f>WWWW[[#This Row],[Total PoP ]]/WWWW[[#This Row],[Total HH]]</f>
        <v>4.8760997067448679</v>
      </c>
      <c r="L20" s="819">
        <v>44197</v>
      </c>
      <c r="M20" s="820">
        <v>44592</v>
      </c>
      <c r="N20" s="818"/>
      <c r="O20" s="500">
        <v>205</v>
      </c>
      <c r="P20" s="818">
        <v>226</v>
      </c>
      <c r="Q20" s="500"/>
      <c r="R20" s="500"/>
      <c r="S20" s="818"/>
      <c r="T20" s="818"/>
      <c r="U20" s="500"/>
      <c r="V20" s="450"/>
      <c r="W20" s="500"/>
      <c r="X20" s="450"/>
      <c r="Y20" s="818"/>
      <c r="Z20" s="500"/>
      <c r="AA20" s="500"/>
      <c r="AB20" s="822"/>
      <c r="AC20" s="818">
        <v>546</v>
      </c>
      <c r="AD20" s="818">
        <v>689</v>
      </c>
      <c r="AE20" s="818"/>
      <c r="AF20" s="818"/>
      <c r="AG20" s="821"/>
      <c r="AH20" s="821"/>
      <c r="AI20" s="821"/>
      <c r="AJ20" s="818">
        <v>20</v>
      </c>
      <c r="AK20" s="818">
        <v>120</v>
      </c>
      <c r="AL20" s="818">
        <v>34</v>
      </c>
      <c r="AM20" s="500"/>
      <c r="AN20" s="818" t="s">
        <v>41</v>
      </c>
      <c r="AO20" s="823"/>
      <c r="AP20" s="818"/>
      <c r="AQ20" s="818"/>
      <c r="AR20" s="818"/>
      <c r="AS20" s="818"/>
      <c r="AT20" s="818"/>
      <c r="AU20" s="818"/>
      <c r="AV20" s="450"/>
      <c r="AW20" s="821"/>
      <c r="AX20" s="451">
        <v>2</v>
      </c>
      <c r="AY20" s="831"/>
      <c r="AZ20" s="450"/>
      <c r="BA20" s="450"/>
      <c r="BB20" s="450"/>
      <c r="BC20" s="450"/>
      <c r="BD20" s="450"/>
      <c r="BE20" s="500"/>
      <c r="BF20" s="500"/>
      <c r="BG20" s="500"/>
      <c r="BH20" s="840"/>
      <c r="BI20" s="840"/>
      <c r="BJ20" s="837"/>
      <c r="BK20" s="500"/>
      <c r="BL20" s="825" t="str">
        <f>IF(WWWW[[#This Row],['#_Water samples_Tested_at_water_source]]="","no test","Tested")</f>
        <v>no test</v>
      </c>
      <c r="BM20" s="825" t="str">
        <f>IF(WWWW[[#This Row],['#_Water samples_Tested_at_HH]]="","no test","Tested")</f>
        <v>no test</v>
      </c>
      <c r="BN20" s="826" t="str">
        <f>IF(AND(WWWW[[#This Row],[Water_testing_at source]]="no test",WWWW[[#This Row],[Water_testing_at HH]]="no test"),"No Test","Tested")</f>
        <v>No Test</v>
      </c>
      <c r="BO20"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0" s="827">
        <f>WWWW[[#This Row],[% HRP1]]*WWWW[[#This Row],[Total PoP ]]</f>
        <v>13302</v>
      </c>
      <c r="BQ20" s="828">
        <f>WWWW[[#This Row],[HRP1]]/500</f>
        <v>26.603999999999999</v>
      </c>
      <c r="BR20" s="829">
        <f>1-WWWW[[#This Row],[% HRP1]]</f>
        <v>0</v>
      </c>
      <c r="BS20" s="828">
        <f>WWWW[[#This Row],[%equitable and continuous access to sufficient quantity of safe drinking and domestic water''s GAP]]*WWWW[[#This Row],[Total PoP ]]</f>
        <v>0</v>
      </c>
      <c r="BT20" s="451">
        <f>ROUND(IF(WWWW[[#This Row],[Total PoP ]]&lt;500,1,WWWW[[#This Row],[Total PoP ]]/500),0)</f>
        <v>27</v>
      </c>
      <c r="BU20" s="826">
        <f>IF(WWWW[[#This Row],[Total required water points]]-WWWW[[#This Row],['#Water points coverage]]&lt;0,0,WWWW[[#This Row],[Total required water points]]-WWWW[[#This Row],['#Water points coverage]])</f>
        <v>0.3960000000000008</v>
      </c>
      <c r="BV20" s="452">
        <f>WWWW[[#This Row],[HRP2]]/WWWW[[#This Row],[Total PoP ]]</f>
        <v>0.86002104946624569</v>
      </c>
      <c r="BW20"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11440</v>
      </c>
      <c r="BX20" s="455">
        <f>IF(WWWW[[#This Row],['#_Functional_adult_latrines]]="","",WWWW[[#This Row],[Total PoP ]]/WWWW[[#This Row],['#_Functional_adult_latrines]])</f>
        <v>24.362637362637361</v>
      </c>
      <c r="BY20" s="826">
        <f>WWWW[[#This Row],['#_of_latrines_in_TLS/CFS]]*50</f>
        <v>1700</v>
      </c>
      <c r="BZ20" s="451">
        <f>IF(WWWW[[#This Row],['#_of_latrines_in_THF]]="",0,WWWW[[#This Row],['#_of_latrines_in_THF]]*50)</f>
        <v>0</v>
      </c>
      <c r="CA20" s="826">
        <f>ROUND(IF(WWWW[[#This Row],[Location Type 1]]="camp",WWWW[[#This Row],[Total PoP ]]/20),0)</f>
        <v>665</v>
      </c>
      <c r="CB20" s="826">
        <f>IF(WWWW[[#This Row],[Total required Latrines]]-WWWW[[#This Row],['#_Existing_latrines]]&lt;0,0,WWWW[[#This Row],[Total required Latrines]]-WWWW[[#This Row],['#_Existing_latrines]])</f>
        <v>0</v>
      </c>
      <c r="CC20" s="829">
        <f>1-WWWW[[#This Row],[% HRP2]]</f>
        <v>0.13997895053375431</v>
      </c>
      <c r="CD20" s="825">
        <f>IF(WWWW[[#This Row],['#_Existing_latrines]]="","NA",(WWWW[[#This Row],['#_Existing_latrines]]-WWWW[[#This Row],['#_Functional_adult_latrines]])/WWWW[[#This Row],['#_Existing_latrines]])</f>
        <v>0.20754716981132076</v>
      </c>
      <c r="CE20"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0" s="828">
        <f>SUM(WWWW[[#This Row],[_'#_of_Men_receiving_consultation_hygiene_promotion_messages_and_sessions]:[_'#_of_Girls_receiving_consultation_hygiene_promotion_messages_and_sessions]])-WWWW[[#This Row],['# people reached by regular dedicated hygiene promotion_5]]</f>
        <v>0</v>
      </c>
      <c r="CG20"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0" s="826">
        <f>IF(WWWW[[#This Row],['#_of_affected_women_and_girls_receiving_a_sufficient_quantity_of_sanitary_pads]]&gt;WWWW[[#This Row],[Total PoP ]],WWWW[[#This Row],[Total PoP ]],WWWW[[#This Row],['#_of_affected_women_and_girls_receiving_a_sufficient_quantity_of_sanitary_pads]])</f>
        <v>0</v>
      </c>
      <c r="CI20" s="826">
        <f>IF(WWWW[[#This Row],['# People with access to soap]]&gt;WWWW[[#This Row],['# People with access to Sanity Pads]],WWWW[[#This Row],['# People with access to soap]],WWWW[[#This Row],['# People with access to Sanity Pads]])</f>
        <v>0</v>
      </c>
      <c r="CJ20"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0" s="829">
        <f>IF(WWWW[[#This Row],[HRP3]]/WWWW[[#This Row],[Total PoP ]]&gt;100%,100%,WWWW[[#This Row],[HRP3]]/WWWW[[#This Row],[Total PoP ]])</f>
        <v>0</v>
      </c>
      <c r="CL20" s="825">
        <f>1-WWWW[[#This Row],[Hygiene Coverage%]]</f>
        <v>1</v>
      </c>
      <c r="CM20" s="821">
        <f>WWWW[[#This Row],['# people reached by regular dedicated hygiene promotion_5]]/WWWW[[#This Row],[Total PoP ]]</f>
        <v>0</v>
      </c>
      <c r="CN20" s="825">
        <f>IF(WWWW[[#This Row],['#_of_affected_households_receiving_a_sufficient_quantity_of_soap]]/WWWW[[#This Row],[Total HH]]&gt;1,1,WWWW[[#This Row],['#_of_affected_households_receiving_a_sufficient_quantity_of_soap]]/WWWW[[#This Row],[Total HH]])</f>
        <v>0</v>
      </c>
      <c r="CO20" s="455" t="str">
        <f>IF(WWWW[[#This Row],['#_students at TLS_CFS]]="","No","Yes")</f>
        <v>No</v>
      </c>
      <c r="CP20" s="452">
        <f>WWWW[[#This Row],[%_of_affected_people_surveyed_who_report_feeling_informed_about_the_different_WASH_services_available_to_them]]</f>
        <v>0</v>
      </c>
      <c r="CQ2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0" s="500">
        <f>IF(WWWW[[#This Row],['#_PPL_accessed_water_in_TLS]]&gt;WWWW[[#This Row],['# students access to functioning school latrines_HRP5]],WWWW[[#This Row],['#_PPL_accessed_water_in_TLS]],WWWW[[#This Row],['# students access to functioning school latrines_HRP5]])</f>
        <v>1700</v>
      </c>
      <c r="CS20" s="500">
        <f>IF(WWWW[[#This Row],['#_PPL_accessed_water_in_THF]]&gt;WWWW[[#This Row],['# people access to functioning latrines in THF_HRP6]],WWWW[[#This Row],['#_PPL_accessed_water_in_THF]],WWWW[[#This Row],['# people access to functioning latrines in THF_HRP6]])</f>
        <v>0</v>
      </c>
      <c r="CT20" s="817" t="str">
        <f>VLOOKUP(WWWW[[#This Row],[Site Name]],SiteDB6[[Site Name]:[CCCM Management]],6,FALSE)</f>
        <v>Yes</v>
      </c>
      <c r="CU20" s="817">
        <f>VLOOKUP(WWWW[[#This Row],[Site Name]],SiteDB6[[Site Name]:[CCCM Focal Agency]],7,FALSE)</f>
        <v>0</v>
      </c>
      <c r="CV20" s="817" t="str">
        <f>VLOOKUP(WWWW[[#This Row],[Site Name]],SiteDB6[[Site Name]:[Location Type 1]],9,FALSE)</f>
        <v>Camp</v>
      </c>
      <c r="CW20" s="817" t="str">
        <f>VLOOKUP(WWWW[[#This Row],[Site Name]],SiteDB6[[Site Name]:[Type of Accommodation]],10,FALSE)</f>
        <v>Planned Camp</v>
      </c>
      <c r="CX20" s="817" t="str">
        <f>VLOOKUP(WWWW[[#This Row],[Site Name]],SiteDB6[[Site Name]:[Ethnic or GCA/NGCA]],11,FALSE)</f>
        <v>Muslim</v>
      </c>
      <c r="CY20" s="817">
        <f>VLOOKUP(WWWW[[#This Row],[Site Name]],SiteDB6[[Site Name]:[Lat]],12,FALSE)</f>
        <v>20.18994</v>
      </c>
      <c r="CZ20" s="817">
        <f>VLOOKUP(WWWW[[#This Row],[Site Name]],SiteDB6[[Site Name]:[Long]],13,FALSE)</f>
        <v>92.798880999999994</v>
      </c>
      <c r="DA20" s="817" t="str">
        <f>VLOOKUP(WWWW[[#This Row],[Site Name]],SiteDB6[[Site Name]:[Pcode]],3,FALSE)</f>
        <v>MMR012CMP115</v>
      </c>
      <c r="DB20" s="830" t="str">
        <f t="shared" si="0"/>
        <v>Covered</v>
      </c>
      <c r="DC20" s="477">
        <f>VLOOKUP(WWWW[[#This Row],[Site Name]],SiteDB6[[Site Name]:[PWD_Total]],22,FALSE)</f>
        <v>168</v>
      </c>
      <c r="DD20" s="477">
        <f>VLOOKUP(WWWW[[#This Row],[Site Name]],SiteDB6[[Site Name]:[PWD_Total]],23,FALSE)</f>
        <v>1744</v>
      </c>
      <c r="DE20" s="477">
        <f>WWWW[[#This Row],['# of Male_People with disabilities]]+WWWW[[#This Row],['# of Female_People with disabilities]]</f>
        <v>1912</v>
      </c>
      <c r="DF20" s="817"/>
      <c r="DG20" s="830"/>
      <c r="DH20" s="830"/>
      <c r="DI20" s="830"/>
      <c r="DJ20" s="830">
        <f>VLOOKUP(WWWW[[#This Row],[Site Name]],SiteDB6[[Site Name]:[Pop
(CCCM as of Autust 2021)]],16,FALSE)</f>
        <v>2640</v>
      </c>
      <c r="DK20" s="830">
        <f>VLOOKUP(WWWW[[#This Row],[Site Name]],SiteDB6[[Site Name]:[Pop
(CCCM as of Autust 2021)]],17,FALSE)</f>
        <v>15778</v>
      </c>
    </row>
    <row r="21" spans="1:115">
      <c r="A21" s="815" t="s">
        <v>3143</v>
      </c>
      <c r="B21" s="815" t="s">
        <v>286</v>
      </c>
      <c r="C21" s="816" t="s">
        <v>286</v>
      </c>
      <c r="D21" s="816" t="s">
        <v>233</v>
      </c>
      <c r="E21" s="845" t="s">
        <v>293</v>
      </c>
      <c r="F21" s="816" t="s">
        <v>294</v>
      </c>
      <c r="G21" s="846" t="s">
        <v>43</v>
      </c>
      <c r="H21" s="816" t="s">
        <v>429</v>
      </c>
      <c r="I21" s="818">
        <v>2260</v>
      </c>
      <c r="J21" s="818">
        <v>11478</v>
      </c>
      <c r="K21" s="684">
        <f>WWWW[[#This Row],[Total PoP ]]/WWWW[[#This Row],[Total HH]]</f>
        <v>5.0787610619469028</v>
      </c>
      <c r="L21" s="819">
        <v>44348</v>
      </c>
      <c r="M21" s="820">
        <v>44712</v>
      </c>
      <c r="N21" s="818"/>
      <c r="O21" s="500">
        <v>199</v>
      </c>
      <c r="P21" s="500">
        <v>223</v>
      </c>
      <c r="Q21" s="500"/>
      <c r="R21" s="500"/>
      <c r="S21" s="818"/>
      <c r="T21" s="818"/>
      <c r="U21" s="818"/>
      <c r="V21" s="821"/>
      <c r="W21" s="500"/>
      <c r="X21" s="450"/>
      <c r="Y21" s="818"/>
      <c r="Z21" s="500"/>
      <c r="AA21" s="500"/>
      <c r="AB21" s="822"/>
      <c r="AC21" s="500">
        <v>828</v>
      </c>
      <c r="AD21" s="500">
        <v>828</v>
      </c>
      <c r="AE21" s="500"/>
      <c r="AF21" s="500"/>
      <c r="AG21" s="821"/>
      <c r="AH21" s="821"/>
      <c r="AI21" s="821"/>
      <c r="AJ21" s="818">
        <v>2</v>
      </c>
      <c r="AK21" s="818">
        <v>46</v>
      </c>
      <c r="AL21" s="818"/>
      <c r="AM21" s="500"/>
      <c r="AN21" s="818" t="s">
        <v>41</v>
      </c>
      <c r="AO21" s="823"/>
      <c r="AP21" s="818"/>
      <c r="AQ21" s="818"/>
      <c r="AR21" s="818"/>
      <c r="AS21" s="818"/>
      <c r="AT21" s="818"/>
      <c r="AU21" s="818"/>
      <c r="AV21" s="450"/>
      <c r="AW21" s="821"/>
      <c r="AX21" s="451"/>
      <c r="AY21" s="824"/>
      <c r="AZ21" s="450"/>
      <c r="BA21" s="450"/>
      <c r="BB21" s="450"/>
      <c r="BC21" s="450"/>
      <c r="BD21" s="450"/>
      <c r="BE21" s="500"/>
      <c r="BF21" s="500"/>
      <c r="BG21" s="500"/>
      <c r="BH21" s="840"/>
      <c r="BI21" s="840"/>
      <c r="BJ21" s="837"/>
      <c r="BK21" s="500"/>
      <c r="BL21" s="825" t="str">
        <f>IF(WWWW[[#This Row],['#_Water samples_Tested_at_water_source]]="","no test","Tested")</f>
        <v>no test</v>
      </c>
      <c r="BM21" s="825" t="str">
        <f>IF(WWWW[[#This Row],['#_Water samples_Tested_at_HH]]="","no test","Tested")</f>
        <v>no test</v>
      </c>
      <c r="BN21" s="826" t="str">
        <f>IF(AND(WWWW[[#This Row],[Water_testing_at source]]="no test",WWWW[[#This Row],[Water_testing_at HH]]="no test"),"No Test","Tested")</f>
        <v>No Test</v>
      </c>
      <c r="BO21"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1" s="827">
        <f>WWWW[[#This Row],[% HRP1]]*WWWW[[#This Row],[Total PoP ]]</f>
        <v>11478</v>
      </c>
      <c r="BQ21" s="828">
        <f>WWWW[[#This Row],[HRP1]]/500</f>
        <v>22.956</v>
      </c>
      <c r="BR21" s="829">
        <f>1-WWWW[[#This Row],[% HRP1]]</f>
        <v>0</v>
      </c>
      <c r="BS21" s="828">
        <f>WWWW[[#This Row],[%equitable and continuous access to sufficient quantity of safe drinking and domestic water''s GAP]]*WWWW[[#This Row],[Total PoP ]]</f>
        <v>0</v>
      </c>
      <c r="BT21" s="451">
        <f>ROUND(IF(WWWW[[#This Row],[Total PoP ]]&lt;500,1,WWWW[[#This Row],[Total PoP ]]/500),0)</f>
        <v>23</v>
      </c>
      <c r="BU21" s="826">
        <f>IF(WWWW[[#This Row],[Total required water points]]-WWWW[[#This Row],['#Water points coverage]]&lt;0,0,WWWW[[#This Row],[Total required water points]]-WWWW[[#This Row],['#Water points coverage]])</f>
        <v>4.4000000000000483E-2</v>
      </c>
      <c r="BV21" s="452">
        <f>WWWW[[#This Row],[HRP2]]/WWWW[[#This Row],[Total PoP ]]</f>
        <v>1</v>
      </c>
      <c r="BW21"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11478</v>
      </c>
      <c r="BX21" s="455">
        <f>IF(WWWW[[#This Row],['#_Functional_adult_latrines]]="","",WWWW[[#This Row],[Total PoP ]]/WWWW[[#This Row],['#_Functional_adult_latrines]])</f>
        <v>13.862318840579711</v>
      </c>
      <c r="BY21" s="826">
        <f>WWWW[[#This Row],['#_of_latrines_in_TLS/CFS]]*50</f>
        <v>0</v>
      </c>
      <c r="BZ21" s="451">
        <f>IF(WWWW[[#This Row],['#_of_latrines_in_THF]]="",0,WWWW[[#This Row],['#_of_latrines_in_THF]]*50)</f>
        <v>0</v>
      </c>
      <c r="CA21" s="826">
        <f>ROUND(IF(WWWW[[#This Row],[Location Type 1]]="camp",WWWW[[#This Row],[Total PoP ]]/20),0)</f>
        <v>574</v>
      </c>
      <c r="CB21" s="826">
        <f>IF(WWWW[[#This Row],[Total required Latrines]]-WWWW[[#This Row],['#_Existing_latrines]]&lt;0,0,WWWW[[#This Row],[Total required Latrines]]-WWWW[[#This Row],['#_Existing_latrines]])</f>
        <v>0</v>
      </c>
      <c r="CC21" s="829">
        <f>1-WWWW[[#This Row],[% HRP2]]</f>
        <v>0</v>
      </c>
      <c r="CD21" s="825">
        <f>IF(WWWW[[#This Row],['#_Existing_latrines]]="","NA",(WWWW[[#This Row],['#_Existing_latrines]]-WWWW[[#This Row],['#_Functional_adult_latrines]])/WWWW[[#This Row],['#_Existing_latrines]])</f>
        <v>0</v>
      </c>
      <c r="CE21"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1" s="828">
        <f>SUM(WWWW[[#This Row],[_'#_of_Men_receiving_consultation_hygiene_promotion_messages_and_sessions]:[_'#_of_Girls_receiving_consultation_hygiene_promotion_messages_and_sessions]])-WWWW[[#This Row],['# people reached by regular dedicated hygiene promotion_5]]</f>
        <v>0</v>
      </c>
      <c r="CG21"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1" s="826">
        <f>IF(WWWW[[#This Row],['#_of_affected_women_and_girls_receiving_a_sufficient_quantity_of_sanitary_pads]]&gt;WWWW[[#This Row],[Total PoP ]],WWWW[[#This Row],[Total PoP ]],WWWW[[#This Row],['#_of_affected_women_and_girls_receiving_a_sufficient_quantity_of_sanitary_pads]])</f>
        <v>0</v>
      </c>
      <c r="CI21" s="826">
        <f>IF(WWWW[[#This Row],['# People with access to soap]]&gt;WWWW[[#This Row],['# People with access to Sanity Pads]],WWWW[[#This Row],['# People with access to soap]],WWWW[[#This Row],['# People with access to Sanity Pads]])</f>
        <v>0</v>
      </c>
      <c r="CJ21"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1" s="829">
        <f>IF(WWWW[[#This Row],[HRP3]]/WWWW[[#This Row],[Total PoP ]]&gt;100%,100%,WWWW[[#This Row],[HRP3]]/WWWW[[#This Row],[Total PoP ]])</f>
        <v>0</v>
      </c>
      <c r="CL21" s="825">
        <f>1-WWWW[[#This Row],[Hygiene Coverage%]]</f>
        <v>1</v>
      </c>
      <c r="CM21" s="821">
        <f>WWWW[[#This Row],['# people reached by regular dedicated hygiene promotion_5]]/WWWW[[#This Row],[Total PoP ]]</f>
        <v>0</v>
      </c>
      <c r="CN21" s="825">
        <f>IF(WWWW[[#This Row],['#_of_affected_households_receiving_a_sufficient_quantity_of_soap]]/WWWW[[#This Row],[Total HH]]&gt;1,1,WWWW[[#This Row],['#_of_affected_households_receiving_a_sufficient_quantity_of_soap]]/WWWW[[#This Row],[Total HH]])</f>
        <v>0</v>
      </c>
      <c r="CO21" s="455" t="str">
        <f>IF(WWWW[[#This Row],['#_students at TLS_CFS]]="","No","Yes")</f>
        <v>No</v>
      </c>
      <c r="CP21" s="452">
        <f>WWWW[[#This Row],[%_of_affected_people_surveyed_who_report_feeling_informed_about_the_different_WASH_services_available_to_them]]</f>
        <v>0</v>
      </c>
      <c r="CQ2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1" s="500">
        <f>IF(WWWW[[#This Row],['#_PPL_accessed_water_in_TLS]]&gt;WWWW[[#This Row],['# students access to functioning school latrines_HRP5]],WWWW[[#This Row],['#_PPL_accessed_water_in_TLS]],WWWW[[#This Row],['# students access to functioning school latrines_HRP5]])</f>
        <v>0</v>
      </c>
      <c r="CS21" s="500">
        <f>IF(WWWW[[#This Row],['#_PPL_accessed_water_in_THF]]&gt;WWWW[[#This Row],['# people access to functioning latrines in THF_HRP6]],WWWW[[#This Row],['#_PPL_accessed_water_in_THF]],WWWW[[#This Row],['# people access to functioning latrines in THF_HRP6]])</f>
        <v>0</v>
      </c>
      <c r="CT21" s="817" t="str">
        <f>VLOOKUP(WWWW[[#This Row],[Site Name]],SiteDB6[[Site Name]:[CCCM Management]],6,FALSE)</f>
        <v>Yes</v>
      </c>
      <c r="CU21" s="817">
        <f>VLOOKUP(WWWW[[#This Row],[Site Name]],SiteDB6[[Site Name]:[CCCM Focal Agency]],7,FALSE)</f>
        <v>0</v>
      </c>
      <c r="CV21" s="817" t="str">
        <f>VLOOKUP(WWWW[[#This Row],[Site Name]],SiteDB6[[Site Name]:[Location Type 1]],9,FALSE)</f>
        <v>Camp</v>
      </c>
      <c r="CW21" s="817" t="str">
        <f>VLOOKUP(WWWW[[#This Row],[Site Name]],SiteDB6[[Site Name]:[Type of Accommodation]],10,FALSE)</f>
        <v>Planned Camp</v>
      </c>
      <c r="CX21" s="817" t="str">
        <f>VLOOKUP(WWWW[[#This Row],[Site Name]],SiteDB6[[Site Name]:[Ethnic or GCA/NGCA]],11,FALSE)</f>
        <v>Muslim</v>
      </c>
      <c r="CY21" s="817">
        <f>VLOOKUP(WWWW[[#This Row],[Site Name]],SiteDB6[[Site Name]:[Lat]],12,FALSE)</f>
        <v>20.185092000000001</v>
      </c>
      <c r="CZ21" s="817">
        <f>VLOOKUP(WWWW[[#This Row],[Site Name]],SiteDB6[[Site Name]:[Long]],13,FALSE)</f>
        <v>92.802295999999998</v>
      </c>
      <c r="DA21" s="817" t="str">
        <f>VLOOKUP(WWWW[[#This Row],[Site Name]],SiteDB6[[Site Name]:[Pcode]],3,FALSE)</f>
        <v>MMR012CMP116</v>
      </c>
      <c r="DB21" s="830" t="str">
        <f t="shared" si="0"/>
        <v>Covered</v>
      </c>
      <c r="DC21" s="477">
        <f>VLOOKUP(WWWW[[#This Row],[Site Name]],SiteDB6[[Site Name]:[PWD_Total]],22,FALSE)</f>
        <v>223</v>
      </c>
      <c r="DD21" s="477">
        <f>VLOOKUP(WWWW[[#This Row],[Site Name]],SiteDB6[[Site Name]:[PWD_Total]],23,FALSE)</f>
        <v>1507</v>
      </c>
      <c r="DE21" s="477">
        <f>WWWW[[#This Row],['# of Male_People with disabilities]]+WWWW[[#This Row],['# of Female_People with disabilities]]</f>
        <v>1730</v>
      </c>
      <c r="DF21" s="817"/>
      <c r="DG21" s="830"/>
      <c r="DH21" s="830"/>
      <c r="DI21" s="830"/>
      <c r="DJ21" s="830">
        <f>VLOOKUP(WWWW[[#This Row],[Site Name]],SiteDB6[[Site Name]:[Pop
(CCCM as of Autust 2021)]],16,FALSE)</f>
        <v>2275</v>
      </c>
      <c r="DK21" s="830">
        <f>VLOOKUP(WWWW[[#This Row],[Site Name]],SiteDB6[[Site Name]:[Pop
(CCCM as of Autust 2021)]],17,FALSE)</f>
        <v>12341</v>
      </c>
    </row>
    <row r="22" spans="1:115">
      <c r="A22" s="815" t="s">
        <v>3143</v>
      </c>
      <c r="B22" s="815" t="s">
        <v>286</v>
      </c>
      <c r="C22" s="816" t="s">
        <v>286</v>
      </c>
      <c r="D22" s="816" t="s">
        <v>233</v>
      </c>
      <c r="E22" s="845" t="s">
        <v>293</v>
      </c>
      <c r="F22" s="816" t="s">
        <v>294</v>
      </c>
      <c r="G22" s="846" t="s">
        <v>43</v>
      </c>
      <c r="H22" s="816" t="s">
        <v>2273</v>
      </c>
      <c r="I22" s="818">
        <v>400</v>
      </c>
      <c r="J22" s="818">
        <v>2446</v>
      </c>
      <c r="K22" s="684">
        <f>WWWW[[#This Row],[Total PoP ]]/WWWW[[#This Row],[Total HH]]</f>
        <v>6.1150000000000002</v>
      </c>
      <c r="L22" s="819">
        <v>44348</v>
      </c>
      <c r="M22" s="820">
        <v>44712</v>
      </c>
      <c r="N22" s="818"/>
      <c r="O22" s="500">
        <v>41</v>
      </c>
      <c r="P22" s="500">
        <v>42</v>
      </c>
      <c r="Q22" s="500"/>
      <c r="R22" s="500"/>
      <c r="S22" s="818"/>
      <c r="T22" s="818"/>
      <c r="U22" s="818"/>
      <c r="V22" s="821"/>
      <c r="W22" s="500"/>
      <c r="X22" s="450"/>
      <c r="Y22" s="500"/>
      <c r="Z22" s="500"/>
      <c r="AA22" s="500"/>
      <c r="AB22" s="822"/>
      <c r="AC22" s="500">
        <v>150</v>
      </c>
      <c r="AD22" s="500">
        <v>150</v>
      </c>
      <c r="AE22" s="500"/>
      <c r="AF22" s="500"/>
      <c r="AG22" s="821"/>
      <c r="AH22" s="821"/>
      <c r="AI22" s="821"/>
      <c r="AJ22" s="818">
        <v>3</v>
      </c>
      <c r="AK22" s="818">
        <v>9</v>
      </c>
      <c r="AL22" s="818"/>
      <c r="AM22" s="500"/>
      <c r="AN22" s="818" t="s">
        <v>41</v>
      </c>
      <c r="AO22" s="823"/>
      <c r="AP22" s="818"/>
      <c r="AQ22" s="818"/>
      <c r="AR22" s="818"/>
      <c r="AS22" s="818"/>
      <c r="AT22" s="818"/>
      <c r="AU22" s="818"/>
      <c r="AV22" s="450"/>
      <c r="AW22" s="821"/>
      <c r="AX22" s="451"/>
      <c r="AY22" s="824"/>
      <c r="AZ22" s="450"/>
      <c r="BA22" s="450"/>
      <c r="BB22" s="450"/>
      <c r="BC22" s="450"/>
      <c r="BD22" s="450"/>
      <c r="BE22" s="500"/>
      <c r="BF22" s="500"/>
      <c r="BG22" s="500"/>
      <c r="BH22" s="840"/>
      <c r="BI22" s="840"/>
      <c r="BJ22" s="837"/>
      <c r="BK22" s="500"/>
      <c r="BL22" s="825" t="str">
        <f>IF(WWWW[[#This Row],['#_Water samples_Tested_at_water_source]]="","no test","Tested")</f>
        <v>no test</v>
      </c>
      <c r="BM22" s="825" t="str">
        <f>IF(WWWW[[#This Row],['#_Water samples_Tested_at_HH]]="","no test","Tested")</f>
        <v>no test</v>
      </c>
      <c r="BN22" s="826" t="str">
        <f>IF(AND(WWWW[[#This Row],[Water_testing_at source]]="no test",WWWW[[#This Row],[Water_testing_at HH]]="no test"),"No Test","Tested")</f>
        <v>No Test</v>
      </c>
      <c r="BO22"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2" s="827">
        <f>WWWW[[#This Row],[% HRP1]]*WWWW[[#This Row],[Total PoP ]]</f>
        <v>2446</v>
      </c>
      <c r="BQ22" s="828">
        <f>WWWW[[#This Row],[HRP1]]/500</f>
        <v>4.8920000000000003</v>
      </c>
      <c r="BR22" s="829">
        <f>1-WWWW[[#This Row],[% HRP1]]</f>
        <v>0</v>
      </c>
      <c r="BS22" s="828">
        <f>WWWW[[#This Row],[%equitable and continuous access to sufficient quantity of safe drinking and domestic water''s GAP]]*WWWW[[#This Row],[Total PoP ]]</f>
        <v>0</v>
      </c>
      <c r="BT22" s="451">
        <f>ROUND(IF(WWWW[[#This Row],[Total PoP ]]&lt;500,1,WWWW[[#This Row],[Total PoP ]]/500),0)</f>
        <v>5</v>
      </c>
      <c r="BU22" s="826">
        <f>IF(WWWW[[#This Row],[Total required water points]]-WWWW[[#This Row],['#Water points coverage]]&lt;0,0,WWWW[[#This Row],[Total required water points]]-WWWW[[#This Row],['#Water points coverage]])</f>
        <v>0.10799999999999965</v>
      </c>
      <c r="BV22" s="452">
        <f>WWWW[[#This Row],[HRP2]]/WWWW[[#This Row],[Total PoP ]]</f>
        <v>1</v>
      </c>
      <c r="BW22"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2446</v>
      </c>
      <c r="BX22" s="455">
        <f>IF(WWWW[[#This Row],['#_Functional_adult_latrines]]="","",WWWW[[#This Row],[Total PoP ]]/WWWW[[#This Row],['#_Functional_adult_latrines]])</f>
        <v>16.306666666666668</v>
      </c>
      <c r="BY22" s="826">
        <f>WWWW[[#This Row],['#_of_latrines_in_TLS/CFS]]*50</f>
        <v>0</v>
      </c>
      <c r="BZ22" s="451">
        <f>IF(WWWW[[#This Row],['#_of_latrines_in_THF]]="",0,WWWW[[#This Row],['#_of_latrines_in_THF]]*50)</f>
        <v>0</v>
      </c>
      <c r="CA22" s="826">
        <f>ROUND(IF(WWWW[[#This Row],[Location Type 1]]="camp",WWWW[[#This Row],[Total PoP ]]/20),0)</f>
        <v>122</v>
      </c>
      <c r="CB22" s="826">
        <f>IF(WWWW[[#This Row],[Total required Latrines]]-WWWW[[#This Row],['#_Existing_latrines]]&lt;0,0,WWWW[[#This Row],[Total required Latrines]]-WWWW[[#This Row],['#_Existing_latrines]])</f>
        <v>0</v>
      </c>
      <c r="CC22" s="829">
        <f>1-WWWW[[#This Row],[% HRP2]]</f>
        <v>0</v>
      </c>
      <c r="CD22" s="825">
        <f>IF(WWWW[[#This Row],['#_Existing_latrines]]="","NA",(WWWW[[#This Row],['#_Existing_latrines]]-WWWW[[#This Row],['#_Functional_adult_latrines]])/WWWW[[#This Row],['#_Existing_latrines]])</f>
        <v>0</v>
      </c>
      <c r="CE22"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2" s="828">
        <f>SUM(WWWW[[#This Row],[_'#_of_Men_receiving_consultation_hygiene_promotion_messages_and_sessions]:[_'#_of_Girls_receiving_consultation_hygiene_promotion_messages_and_sessions]])-WWWW[[#This Row],['# people reached by regular dedicated hygiene promotion_5]]</f>
        <v>0</v>
      </c>
      <c r="CG22"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2" s="826">
        <f>IF(WWWW[[#This Row],['#_of_affected_women_and_girls_receiving_a_sufficient_quantity_of_sanitary_pads]]&gt;WWWW[[#This Row],[Total PoP ]],WWWW[[#This Row],[Total PoP ]],WWWW[[#This Row],['#_of_affected_women_and_girls_receiving_a_sufficient_quantity_of_sanitary_pads]])</f>
        <v>0</v>
      </c>
      <c r="CI22" s="826">
        <f>IF(WWWW[[#This Row],['# People with access to soap]]&gt;WWWW[[#This Row],['# People with access to Sanity Pads]],WWWW[[#This Row],['# People with access to soap]],WWWW[[#This Row],['# People with access to Sanity Pads]])</f>
        <v>0</v>
      </c>
      <c r="CJ22"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2" s="829">
        <f>IF(WWWW[[#This Row],[HRP3]]/WWWW[[#This Row],[Total PoP ]]&gt;100%,100%,WWWW[[#This Row],[HRP3]]/WWWW[[#This Row],[Total PoP ]])</f>
        <v>0</v>
      </c>
      <c r="CL22" s="825">
        <f>1-WWWW[[#This Row],[Hygiene Coverage%]]</f>
        <v>1</v>
      </c>
      <c r="CM22" s="821">
        <f>WWWW[[#This Row],['# people reached by regular dedicated hygiene promotion_5]]/WWWW[[#This Row],[Total PoP ]]</f>
        <v>0</v>
      </c>
      <c r="CN22" s="825">
        <f>IF(WWWW[[#This Row],['#_of_affected_households_receiving_a_sufficient_quantity_of_soap]]/WWWW[[#This Row],[Total HH]]&gt;1,1,WWWW[[#This Row],['#_of_affected_households_receiving_a_sufficient_quantity_of_soap]]/WWWW[[#This Row],[Total HH]])</f>
        <v>0</v>
      </c>
      <c r="CO22" s="455" t="str">
        <f>IF(WWWW[[#This Row],['#_students at TLS_CFS]]="","No","Yes")</f>
        <v>No</v>
      </c>
      <c r="CP22" s="452">
        <f>WWWW[[#This Row],[%_of_affected_people_surveyed_who_report_feeling_informed_about_the_different_WASH_services_available_to_them]]</f>
        <v>0</v>
      </c>
      <c r="CQ2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2" s="500">
        <f>IF(WWWW[[#This Row],['#_PPL_accessed_water_in_TLS]]&gt;WWWW[[#This Row],['# students access to functioning school latrines_HRP5]],WWWW[[#This Row],['#_PPL_accessed_water_in_TLS]],WWWW[[#This Row],['# students access to functioning school latrines_HRP5]])</f>
        <v>0</v>
      </c>
      <c r="CS22" s="500">
        <f>IF(WWWW[[#This Row],['#_PPL_accessed_water_in_THF]]&gt;WWWW[[#This Row],['# people access to functioning latrines in THF_HRP6]],WWWW[[#This Row],['#_PPL_accessed_water_in_THF]],WWWW[[#This Row],['# people access to functioning latrines in THF_HRP6]])</f>
        <v>0</v>
      </c>
      <c r="CT22" s="817">
        <f>VLOOKUP(WWWW[[#This Row],[Site Name]],SiteDB6[[Site Name]:[CCCM Management]],6,FALSE)</f>
        <v>0</v>
      </c>
      <c r="CU22" s="817">
        <f>VLOOKUP(WWWW[[#This Row],[Site Name]],SiteDB6[[Site Name]:[CCCM Focal Agency]],7,FALSE)</f>
        <v>0</v>
      </c>
      <c r="CV22" s="817" t="str">
        <f>VLOOKUP(WWWW[[#This Row],[Site Name]],SiteDB6[[Site Name]:[Location Type 1]],9,FALSE)</f>
        <v>Camp</v>
      </c>
      <c r="CW22" s="817" t="str">
        <f>VLOOKUP(WWWW[[#This Row],[Site Name]],SiteDB6[[Site Name]:[Type of Accommodation]],10,FALSE)</f>
        <v>Planned Camp</v>
      </c>
      <c r="CX22" s="817" t="str">
        <f>VLOOKUP(WWWW[[#This Row],[Site Name]],SiteDB6[[Site Name]:[Ethnic or GCA/NGCA]],11,FALSE)</f>
        <v>Muslim</v>
      </c>
      <c r="CY22" s="817">
        <f>VLOOKUP(WWWW[[#This Row],[Site Name]],SiteDB6[[Site Name]:[Lat]],12,FALSE)</f>
        <v>20.207284999999999</v>
      </c>
      <c r="CZ22" s="817">
        <f>VLOOKUP(WWWW[[#This Row],[Site Name]],SiteDB6[[Site Name]:[Long]],13,FALSE)</f>
        <v>92.788177000000005</v>
      </c>
      <c r="DA22" s="817" t="str">
        <f>VLOOKUP(WWWW[[#This Row],[Site Name]],SiteDB6[[Site Name]:[Pcode]],3,FALSE)</f>
        <v>MMR012CMP045</v>
      </c>
      <c r="DB22" s="830" t="str">
        <f t="shared" si="0"/>
        <v>Covered</v>
      </c>
      <c r="DC22" s="477">
        <f>VLOOKUP(WWWW[[#This Row],[Site Name]],SiteDB6[[Site Name]:[PWD_Total]],22,FALSE)</f>
        <v>0</v>
      </c>
      <c r="DD22" s="477">
        <f>VLOOKUP(WWWW[[#This Row],[Site Name]],SiteDB6[[Site Name]:[PWD_Total]],23,FALSE)</f>
        <v>0</v>
      </c>
      <c r="DE22" s="477">
        <f>WWWW[[#This Row],['# of Male_People with disabilities]]+WWWW[[#This Row],['# of Female_People with disabilities]]</f>
        <v>0</v>
      </c>
      <c r="DF22" s="817"/>
      <c r="DG22" s="830"/>
      <c r="DH22" s="830"/>
      <c r="DI22" s="830"/>
      <c r="DJ22" s="830">
        <f>VLOOKUP(WWWW[[#This Row],[Site Name]],SiteDB6[[Site Name]:[Pop
(CCCM as of Autust 2021)]],16,FALSE)</f>
        <v>0</v>
      </c>
      <c r="DK22" s="830">
        <f>VLOOKUP(WWWW[[#This Row],[Site Name]],SiteDB6[[Site Name]:[Pop
(CCCM as of Autust 2021)]],17,FALSE)</f>
        <v>0</v>
      </c>
    </row>
    <row r="23" spans="1:115">
      <c r="A23" s="815" t="s">
        <v>3143</v>
      </c>
      <c r="B23" s="845" t="s">
        <v>2620</v>
      </c>
      <c r="C23" s="845" t="s">
        <v>2620</v>
      </c>
      <c r="D23" s="816" t="s">
        <v>40</v>
      </c>
      <c r="E23" s="845" t="s">
        <v>293</v>
      </c>
      <c r="F23" s="845" t="s">
        <v>294</v>
      </c>
      <c r="G23" s="846" t="s">
        <v>43</v>
      </c>
      <c r="H23" s="845" t="s">
        <v>438</v>
      </c>
      <c r="I23" s="818">
        <v>2280</v>
      </c>
      <c r="J23" s="818">
        <v>11564</v>
      </c>
      <c r="K23" s="684">
        <f>WWWW[[#This Row],[Total PoP ]]/WWWW[[#This Row],[Total HH]]</f>
        <v>5.0719298245614031</v>
      </c>
      <c r="L23" s="819">
        <v>44197</v>
      </c>
      <c r="M23" s="820">
        <v>44592</v>
      </c>
      <c r="N23" s="818"/>
      <c r="O23" s="500">
        <v>192</v>
      </c>
      <c r="P23" s="818">
        <v>193</v>
      </c>
      <c r="Q23" s="500"/>
      <c r="R23" s="500"/>
      <c r="S23" s="818"/>
      <c r="T23" s="818"/>
      <c r="U23" s="500"/>
      <c r="V23" s="450"/>
      <c r="W23" s="500"/>
      <c r="X23" s="450"/>
      <c r="Y23" s="818"/>
      <c r="Z23" s="500"/>
      <c r="AA23" s="500"/>
      <c r="AB23" s="822"/>
      <c r="AC23" s="818">
        <v>430</v>
      </c>
      <c r="AD23" s="818">
        <v>520</v>
      </c>
      <c r="AE23" s="818"/>
      <c r="AF23" s="818"/>
      <c r="AG23" s="821"/>
      <c r="AH23" s="821"/>
      <c r="AI23" s="821"/>
      <c r="AJ23" s="818">
        <v>12</v>
      </c>
      <c r="AK23" s="818">
        <v>51</v>
      </c>
      <c r="AL23" s="818">
        <v>40</v>
      </c>
      <c r="AM23" s="500"/>
      <c r="AN23" s="818" t="s">
        <v>41</v>
      </c>
      <c r="AO23" s="823"/>
      <c r="AP23" s="818"/>
      <c r="AQ23" s="818"/>
      <c r="AR23" s="818"/>
      <c r="AS23" s="818"/>
      <c r="AT23" s="818"/>
      <c r="AU23" s="818"/>
      <c r="AV23" s="450"/>
      <c r="AW23" s="821"/>
      <c r="AX23" s="451">
        <v>32</v>
      </c>
      <c r="AY23" s="831"/>
      <c r="AZ23" s="450"/>
      <c r="BA23" s="450"/>
      <c r="BB23" s="450"/>
      <c r="BC23" s="450"/>
      <c r="BD23" s="450"/>
      <c r="BE23" s="500"/>
      <c r="BF23" s="500"/>
      <c r="BG23" s="500"/>
      <c r="BH23" s="840"/>
      <c r="BI23" s="840"/>
      <c r="BJ23" s="837"/>
      <c r="BK23" s="500"/>
      <c r="BL23" s="825" t="str">
        <f>IF(WWWW[[#This Row],['#_Water samples_Tested_at_water_source]]="","no test","Tested")</f>
        <v>no test</v>
      </c>
      <c r="BM23" s="825" t="str">
        <f>IF(WWWW[[#This Row],['#_Water samples_Tested_at_HH]]="","no test","Tested")</f>
        <v>no test</v>
      </c>
      <c r="BN23" s="826" t="str">
        <f>IF(AND(WWWW[[#This Row],[Water_testing_at source]]="no test",WWWW[[#This Row],[Water_testing_at HH]]="no test"),"No Test","Tested")</f>
        <v>No Test</v>
      </c>
      <c r="BO23"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3" s="827">
        <f>WWWW[[#This Row],[% HRP1]]*WWWW[[#This Row],[Total PoP ]]</f>
        <v>11564</v>
      </c>
      <c r="BQ23" s="828">
        <f>WWWW[[#This Row],[HRP1]]/500</f>
        <v>23.128</v>
      </c>
      <c r="BR23" s="829">
        <f>1-WWWW[[#This Row],[% HRP1]]</f>
        <v>0</v>
      </c>
      <c r="BS23" s="828">
        <f>WWWW[[#This Row],[%equitable and continuous access to sufficient quantity of safe drinking and domestic water''s GAP]]*WWWW[[#This Row],[Total PoP ]]</f>
        <v>0</v>
      </c>
      <c r="BT23" s="451">
        <f>ROUND(IF(WWWW[[#This Row],[Total PoP ]]&lt;500,1,WWWW[[#This Row],[Total PoP ]]/500),0)</f>
        <v>23</v>
      </c>
      <c r="BU23" s="826">
        <f>IF(WWWW[[#This Row],[Total required water points]]-WWWW[[#This Row],['#Water points coverage]]&lt;0,0,WWWW[[#This Row],[Total required water points]]-WWWW[[#This Row],['#Water points coverage]])</f>
        <v>0</v>
      </c>
      <c r="BV23" s="452">
        <f>WWWW[[#This Row],[HRP2]]/WWWW[[#This Row],[Total PoP ]]</f>
        <v>0.76885160843998612</v>
      </c>
      <c r="BW23"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8891</v>
      </c>
      <c r="BX23" s="455">
        <f>IF(WWWW[[#This Row],['#_Functional_adult_latrines]]="","",WWWW[[#This Row],[Total PoP ]]/WWWW[[#This Row],['#_Functional_adult_latrines]])</f>
        <v>26.893023255813954</v>
      </c>
      <c r="BY23" s="826">
        <f>WWWW[[#This Row],['#_of_latrines_in_TLS/CFS]]*50</f>
        <v>2000</v>
      </c>
      <c r="BZ23" s="451">
        <f>IF(WWWW[[#This Row],['#_of_latrines_in_THF]]="",0,WWWW[[#This Row],['#_of_latrines_in_THF]]*50)</f>
        <v>0</v>
      </c>
      <c r="CA23" s="826">
        <f>ROUND(IF(WWWW[[#This Row],[Location Type 1]]="camp",WWWW[[#This Row],[Total PoP ]]/20),0)</f>
        <v>578</v>
      </c>
      <c r="CB23" s="826">
        <f>IF(WWWW[[#This Row],[Total required Latrines]]-WWWW[[#This Row],['#_Existing_latrines]]&lt;0,0,WWWW[[#This Row],[Total required Latrines]]-WWWW[[#This Row],['#_Existing_latrines]])</f>
        <v>58</v>
      </c>
      <c r="CC23" s="829">
        <f>1-WWWW[[#This Row],[% HRP2]]</f>
        <v>0.23114839156001388</v>
      </c>
      <c r="CD23" s="825">
        <f>IF(WWWW[[#This Row],['#_Existing_latrines]]="","NA",(WWWW[[#This Row],['#_Existing_latrines]]-WWWW[[#This Row],['#_Functional_adult_latrines]])/WWWW[[#This Row],['#_Existing_latrines]])</f>
        <v>0.17307692307692307</v>
      </c>
      <c r="CE23"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3" s="828">
        <f>SUM(WWWW[[#This Row],[_'#_of_Men_receiving_consultation_hygiene_promotion_messages_and_sessions]:[_'#_of_Girls_receiving_consultation_hygiene_promotion_messages_and_sessions]])-WWWW[[#This Row],['# people reached by regular dedicated hygiene promotion_5]]</f>
        <v>0</v>
      </c>
      <c r="CG23"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3" s="826">
        <f>IF(WWWW[[#This Row],['#_of_affected_women_and_girls_receiving_a_sufficient_quantity_of_sanitary_pads]]&gt;WWWW[[#This Row],[Total PoP ]],WWWW[[#This Row],[Total PoP ]],WWWW[[#This Row],['#_of_affected_women_and_girls_receiving_a_sufficient_quantity_of_sanitary_pads]])</f>
        <v>0</v>
      </c>
      <c r="CI23" s="826">
        <f>IF(WWWW[[#This Row],['# People with access to soap]]&gt;WWWW[[#This Row],['# People with access to Sanity Pads]],WWWW[[#This Row],['# People with access to soap]],WWWW[[#This Row],['# People with access to Sanity Pads]])</f>
        <v>0</v>
      </c>
      <c r="CJ23"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3" s="829">
        <f>IF(WWWW[[#This Row],[HRP3]]/WWWW[[#This Row],[Total PoP ]]&gt;100%,100%,WWWW[[#This Row],[HRP3]]/WWWW[[#This Row],[Total PoP ]])</f>
        <v>0</v>
      </c>
      <c r="CL23" s="825">
        <f>1-WWWW[[#This Row],[Hygiene Coverage%]]</f>
        <v>1</v>
      </c>
      <c r="CM23" s="821">
        <f>WWWW[[#This Row],['# people reached by regular dedicated hygiene promotion_5]]/WWWW[[#This Row],[Total PoP ]]</f>
        <v>0</v>
      </c>
      <c r="CN23" s="825">
        <f>IF(WWWW[[#This Row],['#_of_affected_households_receiving_a_sufficient_quantity_of_soap]]/WWWW[[#This Row],[Total HH]]&gt;1,1,WWWW[[#This Row],['#_of_affected_households_receiving_a_sufficient_quantity_of_soap]]/WWWW[[#This Row],[Total HH]])</f>
        <v>0</v>
      </c>
      <c r="CO23" s="455" t="str">
        <f>IF(WWWW[[#This Row],['#_students at TLS_CFS]]="","No","Yes")</f>
        <v>No</v>
      </c>
      <c r="CP23" s="452">
        <f>WWWW[[#This Row],[%_of_affected_people_surveyed_who_report_feeling_informed_about_the_different_WASH_services_available_to_them]]</f>
        <v>0</v>
      </c>
      <c r="CQ2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3" s="500">
        <f>IF(WWWW[[#This Row],['#_PPL_accessed_water_in_TLS]]&gt;WWWW[[#This Row],['# students access to functioning school latrines_HRP5]],WWWW[[#This Row],['#_PPL_accessed_water_in_TLS]],WWWW[[#This Row],['# students access to functioning school latrines_HRP5]])</f>
        <v>2000</v>
      </c>
      <c r="CS23" s="500">
        <f>IF(WWWW[[#This Row],['#_PPL_accessed_water_in_THF]]&gt;WWWW[[#This Row],['# people access to functioning latrines in THF_HRP6]],WWWW[[#This Row],['#_PPL_accessed_water_in_THF]],WWWW[[#This Row],['# people access to functioning latrines in THF_HRP6]])</f>
        <v>0</v>
      </c>
      <c r="CT23" s="817" t="str">
        <f>VLOOKUP(WWWW[[#This Row],[Site Name]],SiteDB6[[Site Name]:[CCCM Management]],6,FALSE)</f>
        <v>Yes</v>
      </c>
      <c r="CU23" s="817">
        <f>VLOOKUP(WWWW[[#This Row],[Site Name]],SiteDB6[[Site Name]:[CCCM Focal Agency]],7,FALSE)</f>
        <v>0</v>
      </c>
      <c r="CV23" s="817" t="str">
        <f>VLOOKUP(WWWW[[#This Row],[Site Name]],SiteDB6[[Site Name]:[Location Type 1]],9,FALSE)</f>
        <v>Camp</v>
      </c>
      <c r="CW23" s="817" t="str">
        <f>VLOOKUP(WWWW[[#This Row],[Site Name]],SiteDB6[[Site Name]:[Type of Accommodation]],10,FALSE)</f>
        <v>Planned Camp</v>
      </c>
      <c r="CX23" s="817" t="str">
        <f>VLOOKUP(WWWW[[#This Row],[Site Name]],SiteDB6[[Site Name]:[Ethnic or GCA/NGCA]],11,FALSE)</f>
        <v>Muslim</v>
      </c>
      <c r="CY23" s="817">
        <f>VLOOKUP(WWWW[[#This Row],[Site Name]],SiteDB6[[Site Name]:[Lat]],12,FALSE)</f>
        <v>20.202525000000001</v>
      </c>
      <c r="CZ23" s="817">
        <f>VLOOKUP(WWWW[[#This Row],[Site Name]],SiteDB6[[Site Name]:[Long]],13,FALSE)</f>
        <v>92.792479999999998</v>
      </c>
      <c r="DA23" s="817" t="str">
        <f>VLOOKUP(WWWW[[#This Row],[Site Name]],SiteDB6[[Site Name]:[Pcode]],3,FALSE)</f>
        <v>MMR012CMP045</v>
      </c>
      <c r="DB23" s="830" t="str">
        <f t="shared" si="0"/>
        <v>Covered</v>
      </c>
      <c r="DC23" s="477">
        <f>VLOOKUP(WWWW[[#This Row],[Site Name]],SiteDB6[[Site Name]:[PWD_Total]],22,FALSE)</f>
        <v>114</v>
      </c>
      <c r="DD23" s="477">
        <f>VLOOKUP(WWWW[[#This Row],[Site Name]],SiteDB6[[Site Name]:[PWD_Total]],23,FALSE)</f>
        <v>1144</v>
      </c>
      <c r="DE23" s="477">
        <f>WWWW[[#This Row],['# of Male_People with disabilities]]+WWWW[[#This Row],['# of Female_People with disabilities]]</f>
        <v>1258</v>
      </c>
      <c r="DF23" s="817"/>
      <c r="DG23" s="830"/>
      <c r="DH23" s="830"/>
      <c r="DI23" s="830"/>
      <c r="DJ23" s="830">
        <f>VLOOKUP(WWWW[[#This Row],[Site Name]],SiteDB6[[Site Name]:[Pop
(CCCM as of Autust 2021)]],16,FALSE)</f>
        <v>2678</v>
      </c>
      <c r="DK23" s="830">
        <f>VLOOKUP(WWWW[[#This Row],[Site Name]],SiteDB6[[Site Name]:[Pop
(CCCM as of Autust 2021)]],17,FALSE)</f>
        <v>14788</v>
      </c>
    </row>
    <row r="24" spans="1:115">
      <c r="A24" s="815" t="s">
        <v>3143</v>
      </c>
      <c r="B24" s="844" t="s">
        <v>286</v>
      </c>
      <c r="C24" s="844" t="s">
        <v>286</v>
      </c>
      <c r="D24" s="845" t="s">
        <v>3003</v>
      </c>
      <c r="E24" s="845" t="s">
        <v>293</v>
      </c>
      <c r="F24" s="816" t="s">
        <v>401</v>
      </c>
      <c r="G24" s="846" t="s">
        <v>43</v>
      </c>
      <c r="H24" s="816" t="s">
        <v>404</v>
      </c>
      <c r="I24" s="847">
        <v>729</v>
      </c>
      <c r="J24" s="847">
        <v>2516</v>
      </c>
      <c r="K24" s="684">
        <f>WWWW[[#This Row],[Total PoP ]]/WWWW[[#This Row],[Total HH]]</f>
        <v>3.4513031550068587</v>
      </c>
      <c r="L24" s="848">
        <v>44348</v>
      </c>
      <c r="M24" s="849">
        <v>44712</v>
      </c>
      <c r="N24" s="847"/>
      <c r="O24" s="500"/>
      <c r="P24" s="847"/>
      <c r="Q24" s="500">
        <v>15</v>
      </c>
      <c r="R24" s="500">
        <v>16</v>
      </c>
      <c r="S24" s="847"/>
      <c r="T24" s="847">
        <v>2516</v>
      </c>
      <c r="U24" s="847"/>
      <c r="V24" s="850"/>
      <c r="W24" s="847"/>
      <c r="X24" s="850"/>
      <c r="Y24" s="847"/>
      <c r="Z24" s="500"/>
      <c r="AA24" s="500"/>
      <c r="AB24" s="851" t="s">
        <v>3155</v>
      </c>
      <c r="AC24" s="847">
        <v>362</v>
      </c>
      <c r="AD24" s="847">
        <v>358</v>
      </c>
      <c r="AE24" s="847">
        <v>87</v>
      </c>
      <c r="AF24" s="847">
        <v>119</v>
      </c>
      <c r="AG24" s="850"/>
      <c r="AH24" s="850"/>
      <c r="AI24" s="850"/>
      <c r="AJ24" s="847">
        <v>1</v>
      </c>
      <c r="AK24" s="847"/>
      <c r="AL24" s="847"/>
      <c r="AM24" s="500"/>
      <c r="AN24" s="847" t="s">
        <v>41</v>
      </c>
      <c r="AO24" s="852"/>
      <c r="AP24" s="847">
        <v>1125</v>
      </c>
      <c r="AQ24" s="847">
        <v>1725</v>
      </c>
      <c r="AR24" s="847">
        <v>372</v>
      </c>
      <c r="AS24" s="847">
        <v>446</v>
      </c>
      <c r="AT24" s="847">
        <v>729</v>
      </c>
      <c r="AU24" s="847">
        <v>771</v>
      </c>
      <c r="AV24" s="450">
        <v>1</v>
      </c>
      <c r="AW24" s="850"/>
      <c r="AX24" s="451"/>
      <c r="AY24" s="853"/>
      <c r="AZ24" s="450"/>
      <c r="BA24" s="450"/>
      <c r="BB24" s="450"/>
      <c r="BC24" s="450"/>
      <c r="BD24" s="450"/>
      <c r="BE24" s="500"/>
      <c r="BF24" s="500"/>
      <c r="BG24" s="500"/>
      <c r="BH24" s="500"/>
      <c r="BI24" s="500"/>
      <c r="BJ24" s="500"/>
      <c r="BK24" s="500"/>
      <c r="BL24" s="854" t="str">
        <f>IF(WWWW[[#This Row],['#_Water samples_Tested_at_water_source]]="","no test","Tested")</f>
        <v>no test</v>
      </c>
      <c r="BM24" s="854" t="str">
        <f>IF(WWWW[[#This Row],['#_Water samples_Tested_at_HH]]="","no test","Tested")</f>
        <v>no test</v>
      </c>
      <c r="BN24" s="855" t="str">
        <f>IF(AND(WWWW[[#This Row],[Water_testing_at source]]="no test",WWWW[[#This Row],[Water_testing_at HH]]="no test"),"No Test","Tested")</f>
        <v>No Test</v>
      </c>
      <c r="BO24" s="854">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4" s="856">
        <f>WWWW[[#This Row],[% HRP1]]*WWWW[[#This Row],[Total PoP ]]</f>
        <v>2516</v>
      </c>
      <c r="BQ24" s="857">
        <f>WWWW[[#This Row],[HRP1]]/500</f>
        <v>5.032</v>
      </c>
      <c r="BR24" s="858">
        <f>1-WWWW[[#This Row],[% HRP1]]</f>
        <v>0</v>
      </c>
      <c r="BS24" s="857">
        <f>WWWW[[#This Row],[%equitable and continuous access to sufficient quantity of safe drinking and domestic water''s GAP]]*WWWW[[#This Row],[Total PoP ]]</f>
        <v>0</v>
      </c>
      <c r="BT24" s="451">
        <f>ROUND(IF(WWWW[[#This Row],[Total PoP ]]&lt;500,1,WWWW[[#This Row],[Total PoP ]]/500),0)</f>
        <v>5</v>
      </c>
      <c r="BU24" s="855">
        <f>IF(WWWW[[#This Row],[Total required water points]]-WWWW[[#This Row],['#Water points coverage]]&lt;0,0,WWWW[[#This Row],[Total required water points]]-WWWW[[#This Row],['#Water points coverage]])</f>
        <v>0</v>
      </c>
      <c r="BV24" s="452">
        <f>WWWW[[#This Row],[HRP2]]/WWWW[[#This Row],[Total PoP ]]</f>
        <v>1</v>
      </c>
      <c r="BW24" s="857">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BX24" s="455">
        <f>IF(WWWW[[#This Row],['#_Functional_adult_latrines]]="","",WWWW[[#This Row],[Total PoP ]]/WWWW[[#This Row],['#_Functional_adult_latrines]])</f>
        <v>6.9502762430939224</v>
      </c>
      <c r="BY24" s="855">
        <f>WWWW[[#This Row],['#_of_latrines_in_TLS/CFS]]*50</f>
        <v>0</v>
      </c>
      <c r="BZ24" s="451">
        <f>IF(WWWW[[#This Row],['#_of_latrines_in_THF]]="",0,WWWW[[#This Row],['#_of_latrines_in_THF]]*50)</f>
        <v>0</v>
      </c>
      <c r="CA24" s="855">
        <f>ROUND(IF(WWWW[[#This Row],[Location Type 1]]="camp",WWWW[[#This Row],[Total PoP ]]/20),0)</f>
        <v>126</v>
      </c>
      <c r="CB24" s="855">
        <f>IF(WWWW[[#This Row],[Total required Latrines]]-WWWW[[#This Row],['#_Existing_latrines]]&lt;0,0,WWWW[[#This Row],[Total required Latrines]]-WWWW[[#This Row],['#_Existing_latrines]])</f>
        <v>0</v>
      </c>
      <c r="CC24" s="858">
        <f>1-WWWW[[#This Row],[% HRP2]]</f>
        <v>0</v>
      </c>
      <c r="CD24" s="854">
        <f>IF(WWWW[[#This Row],['#_Existing_latrines]]="","NA",(WWWW[[#This Row],['#_Existing_latrines]]-WWWW[[#This Row],['#_Functional_adult_latrines]])/WWWW[[#This Row],['#_Existing_latrines]])</f>
        <v>-1.11731843575419E-2</v>
      </c>
      <c r="CE24" s="857">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2516</v>
      </c>
      <c r="CF24" s="857">
        <f>SUM(WWWW[[#This Row],[_'#_of_Men_receiving_consultation_hygiene_promotion_messages_and_sessions]:[_'#_of_Girls_receiving_consultation_hygiene_promotion_messages_and_sessions]])-WWWW[[#This Row],['# people reached by regular dedicated hygiene promotion_5]]</f>
        <v>1152</v>
      </c>
      <c r="CG24" s="855">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H24" s="855">
        <f>IF(WWWW[[#This Row],['#_of_affected_women_and_girls_receiving_a_sufficient_quantity_of_sanitary_pads]]&gt;WWWW[[#This Row],[Total PoP ]],WWWW[[#This Row],[Total PoP ]],WWWW[[#This Row],['#_of_affected_women_and_girls_receiving_a_sufficient_quantity_of_sanitary_pads]])</f>
        <v>771</v>
      </c>
      <c r="CI24" s="855">
        <f>IF(WWWW[[#This Row],['# People with access to soap]]&gt;WWWW[[#This Row],['# People with access to Sanity Pads]],WWWW[[#This Row],['# People with access to soap]],WWWW[[#This Row],['# People with access to Sanity Pads]])</f>
        <v>2516</v>
      </c>
      <c r="CJ24" s="855">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K24" s="858">
        <f>IF(WWWW[[#This Row],[HRP3]]/WWWW[[#This Row],[Total PoP ]]&gt;100%,100%,WWWW[[#This Row],[HRP3]]/WWWW[[#This Row],[Total PoP ]])</f>
        <v>1</v>
      </c>
      <c r="CL24" s="854">
        <f>1-WWWW[[#This Row],[Hygiene Coverage%]]</f>
        <v>0</v>
      </c>
      <c r="CM24" s="850">
        <f>WWWW[[#This Row],['# people reached by regular dedicated hygiene promotion_5]]/WWWW[[#This Row],[Total PoP ]]</f>
        <v>1</v>
      </c>
      <c r="CN24" s="854">
        <f>IF(WWWW[[#This Row],['#_of_affected_households_receiving_a_sufficient_quantity_of_soap]]/WWWW[[#This Row],[Total HH]]&gt;1,1,WWWW[[#This Row],['#_of_affected_households_receiving_a_sufficient_quantity_of_soap]]/WWWW[[#This Row],[Total HH]])</f>
        <v>1</v>
      </c>
      <c r="CO24" s="455" t="str">
        <f>IF(WWWW[[#This Row],['#_students at TLS_CFS]]="","No","Yes")</f>
        <v>No</v>
      </c>
      <c r="CP24" s="452">
        <f>WWWW[[#This Row],[%_of_affected_people_surveyed_who_report_feeling_informed_about_the_different_WASH_services_available_to_them]]</f>
        <v>0</v>
      </c>
      <c r="CQ2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4" s="500">
        <f>IF(WWWW[[#This Row],['#_PPL_accessed_water_in_TLS]]&gt;WWWW[[#This Row],['# students access to functioning school latrines_HRP5]],WWWW[[#This Row],['#_PPL_accessed_water_in_TLS]],WWWW[[#This Row],['# students access to functioning school latrines_HRP5]])</f>
        <v>0</v>
      </c>
      <c r="CS24" s="500">
        <f>IF(WWWW[[#This Row],['#_PPL_accessed_water_in_THF]]&gt;WWWW[[#This Row],['# people access to functioning latrines in THF_HRP6]],WWWW[[#This Row],['#_PPL_accessed_water_in_THF]],WWWW[[#This Row],['# people access to functioning latrines in THF_HRP6]])</f>
        <v>0</v>
      </c>
      <c r="CT24" s="846" t="str">
        <f>VLOOKUP(WWWW[[#This Row],[Site Name]],SiteDB6[[Site Name]:[CCCM Management]],6,FALSE)</f>
        <v>Yes</v>
      </c>
      <c r="CU24" s="846" t="str">
        <f>VLOOKUP(WWWW[[#This Row],[Site Name]],SiteDB6[[Site Name]:[CCCM Focal Agency]],7,FALSE)</f>
        <v>DRC</v>
      </c>
      <c r="CV24" s="846" t="str">
        <f>VLOOKUP(WWWW[[#This Row],[Site Name]],SiteDB6[[Site Name]:[Location Type 1]],9,FALSE)</f>
        <v>Camp</v>
      </c>
      <c r="CW24" s="846" t="str">
        <f>VLOOKUP(WWWW[[#This Row],[Site Name]],SiteDB6[[Site Name]:[Type of Accommodation]],10,FALSE)</f>
        <v>Planned Camp</v>
      </c>
      <c r="CX24" s="846" t="str">
        <f>VLOOKUP(WWWW[[#This Row],[Site Name]],SiteDB6[[Site Name]:[Ethnic or GCA/NGCA]],11,FALSE)</f>
        <v>Muslim</v>
      </c>
      <c r="CY24" s="846">
        <f>VLOOKUP(WWWW[[#This Row],[Site Name]],SiteDB6[[Site Name]:[Lat]],12,FALSE)</f>
        <v>20.064226000000001</v>
      </c>
      <c r="CZ24" s="846">
        <f>VLOOKUP(WWWW[[#This Row],[Site Name]],SiteDB6[[Site Name]:[Long]],13,FALSE)</f>
        <v>92.993758999999997</v>
      </c>
      <c r="DA24" s="846" t="str">
        <f>VLOOKUP(WWWW[[#This Row],[Site Name]],SiteDB6[[Site Name]:[Pcode]],3,FALSE)</f>
        <v>MMR012CMP019</v>
      </c>
      <c r="DB24" s="859" t="str">
        <f t="shared" si="0"/>
        <v>Covered</v>
      </c>
      <c r="DC24" s="477">
        <f>VLOOKUP(WWWW[[#This Row],[Site Name]],SiteDB6[[Site Name]:[PWD_Total]],22,FALSE)</f>
        <v>159</v>
      </c>
      <c r="DD24" s="477">
        <f>VLOOKUP(WWWW[[#This Row],[Site Name]],SiteDB6[[Site Name]:[PWD_Total]],23,FALSE)</f>
        <v>361</v>
      </c>
      <c r="DE24" s="477">
        <f>WWWW[[#This Row],['# of Male_People with disabilities]]+WWWW[[#This Row],['# of Female_People with disabilities]]</f>
        <v>520</v>
      </c>
      <c r="DF24" s="846"/>
      <c r="DG24" s="859"/>
      <c r="DH24" s="859"/>
      <c r="DI24" s="859"/>
      <c r="DJ24" s="859">
        <f>VLOOKUP(WWWW[[#This Row],[Site Name]],SiteDB6[[Site Name]:[Pop
(CCCM as of Autust 2021)]],16,FALSE)</f>
        <v>682</v>
      </c>
      <c r="DK24" s="859">
        <f>VLOOKUP(WWWW[[#This Row],[Site Name]],SiteDB6[[Site Name]:[Pop
(CCCM as of Autust 2021)]],17,FALSE)</f>
        <v>2588</v>
      </c>
    </row>
    <row r="25" spans="1:115">
      <c r="A25" s="815" t="s">
        <v>3143</v>
      </c>
      <c r="B25" s="845" t="s">
        <v>397</v>
      </c>
      <c r="C25" s="845" t="s">
        <v>397</v>
      </c>
      <c r="D25" s="816" t="s">
        <v>3003</v>
      </c>
      <c r="E25" s="845" t="s">
        <v>293</v>
      </c>
      <c r="F25" s="845" t="s">
        <v>398</v>
      </c>
      <c r="G25" s="846" t="s">
        <v>43</v>
      </c>
      <c r="H25" s="845" t="s">
        <v>399</v>
      </c>
      <c r="I25" s="818">
        <v>716</v>
      </c>
      <c r="J25" s="818">
        <v>2920</v>
      </c>
      <c r="K25" s="684">
        <f>WWWW[[#This Row],[Total PoP ]]/WWWW[[#This Row],[Total HH]]</f>
        <v>4.0782122905027931</v>
      </c>
      <c r="L25" s="819">
        <v>43952</v>
      </c>
      <c r="M25" s="820">
        <v>44316</v>
      </c>
      <c r="N25" s="818"/>
      <c r="O25" s="500"/>
      <c r="P25" s="818"/>
      <c r="Q25" s="500">
        <v>6</v>
      </c>
      <c r="R25" s="500">
        <v>6</v>
      </c>
      <c r="S25" s="818"/>
      <c r="T25" s="818"/>
      <c r="U25" s="818"/>
      <c r="V25" s="821"/>
      <c r="W25" s="818"/>
      <c r="X25" s="821"/>
      <c r="Y25" s="818"/>
      <c r="Z25" s="500"/>
      <c r="AA25" s="500"/>
      <c r="AB25" s="822"/>
      <c r="AC25" s="818">
        <v>642</v>
      </c>
      <c r="AD25" s="818">
        <v>642</v>
      </c>
      <c r="AE25" s="818"/>
      <c r="AF25" s="818"/>
      <c r="AG25" s="821"/>
      <c r="AH25" s="821"/>
      <c r="AI25" s="821"/>
      <c r="AJ25" s="818">
        <v>6</v>
      </c>
      <c r="AK25" s="818"/>
      <c r="AL25" s="818">
        <v>4</v>
      </c>
      <c r="AM25" s="500">
        <v>1</v>
      </c>
      <c r="AN25" s="818" t="s">
        <v>125</v>
      </c>
      <c r="AO25" s="823"/>
      <c r="AP25" s="818"/>
      <c r="AQ25" s="818"/>
      <c r="AR25" s="818"/>
      <c r="AS25" s="818"/>
      <c r="AT25" s="818"/>
      <c r="AU25" s="818"/>
      <c r="AV25" s="450"/>
      <c r="AW25" s="821"/>
      <c r="AX25" s="451"/>
      <c r="AY25" s="824"/>
      <c r="AZ25" s="450"/>
      <c r="BA25" s="450"/>
      <c r="BB25" s="450"/>
      <c r="BC25" s="450"/>
      <c r="BD25" s="450"/>
      <c r="BE25" s="500"/>
      <c r="BF25" s="500"/>
      <c r="BG25" s="500"/>
      <c r="BH25" s="840"/>
      <c r="BI25" s="840"/>
      <c r="BJ25" s="837"/>
      <c r="BK25" s="500"/>
      <c r="BL25" s="825" t="str">
        <f>IF(WWWW[[#This Row],['#_Water samples_Tested_at_water_source]]="","no test","Tested")</f>
        <v>no test</v>
      </c>
      <c r="BM25" s="825" t="str">
        <f>IF(WWWW[[#This Row],['#_Water samples_Tested_at_HH]]="","no test","Tested")</f>
        <v>no test</v>
      </c>
      <c r="BN25" s="826" t="str">
        <f>IF(AND(WWWW[[#This Row],[Water_testing_at source]]="no test",WWWW[[#This Row],[Water_testing_at HH]]="no test"),"No Test","Tested")</f>
        <v>No Test</v>
      </c>
      <c r="BO25"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25" s="827">
        <f>WWWW[[#This Row],[% HRP1]]*WWWW[[#This Row],[Total PoP ]]</f>
        <v>1500.0000000000002</v>
      </c>
      <c r="BQ25" s="828">
        <f>WWWW[[#This Row],[HRP1]]/500</f>
        <v>3.0000000000000004</v>
      </c>
      <c r="BR25" s="829">
        <f>1-WWWW[[#This Row],[% HRP1]]</f>
        <v>0.48630136986301364</v>
      </c>
      <c r="BS25" s="828">
        <f>WWWW[[#This Row],[%equitable and continuous access to sufficient quantity of safe drinking and domestic water''s GAP]]*WWWW[[#This Row],[Total PoP ]]</f>
        <v>1419.9999999999998</v>
      </c>
      <c r="BT25" s="451">
        <f>ROUND(IF(WWWW[[#This Row],[Total PoP ]]&lt;500,1,WWWW[[#This Row],[Total PoP ]]/500),0)</f>
        <v>6</v>
      </c>
      <c r="BU25" s="826">
        <f>IF(WWWW[[#This Row],[Total required water points]]-WWWW[[#This Row],['#Water points coverage]]&lt;0,0,WWWW[[#This Row],[Total required water points]]-WWWW[[#This Row],['#Water points coverage]])</f>
        <v>2.9999999999999996</v>
      </c>
      <c r="BV25" s="452">
        <f>WWWW[[#This Row],[HRP2]]/WWWW[[#This Row],[Total PoP ]]</f>
        <v>1</v>
      </c>
      <c r="BW25"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25" s="455">
        <f>IF(WWWW[[#This Row],['#_Functional_adult_latrines]]="","",WWWW[[#This Row],[Total PoP ]]/WWWW[[#This Row],['#_Functional_adult_latrines]])</f>
        <v>4.5482866043613708</v>
      </c>
      <c r="BY25" s="826">
        <f>WWWW[[#This Row],['#_of_latrines_in_TLS/CFS]]*50</f>
        <v>200</v>
      </c>
      <c r="BZ25" s="451">
        <f>IF(WWWW[[#This Row],['#_of_latrines_in_THF]]="",0,WWWW[[#This Row],['#_of_latrines_in_THF]]*50)</f>
        <v>50</v>
      </c>
      <c r="CA25" s="826">
        <f>ROUND(IF(WWWW[[#This Row],[Location Type 1]]="camp",WWWW[[#This Row],[Total PoP ]]/20),0)</f>
        <v>146</v>
      </c>
      <c r="CB25" s="826">
        <f>IF(WWWW[[#This Row],[Total required Latrines]]-WWWW[[#This Row],['#_Existing_latrines]]&lt;0,0,WWWW[[#This Row],[Total required Latrines]]-WWWW[[#This Row],['#_Existing_latrines]])</f>
        <v>0</v>
      </c>
      <c r="CC25" s="829">
        <f>1-WWWW[[#This Row],[% HRP2]]</f>
        <v>0</v>
      </c>
      <c r="CD25" s="825">
        <f>IF(WWWW[[#This Row],['#_Existing_latrines]]="","NA",(WWWW[[#This Row],['#_Existing_latrines]]-WWWW[[#This Row],['#_Functional_adult_latrines]])/WWWW[[#This Row],['#_Existing_latrines]])</f>
        <v>0</v>
      </c>
      <c r="CE25"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5" s="828">
        <f>SUM(WWWW[[#This Row],[_'#_of_Men_receiving_consultation_hygiene_promotion_messages_and_sessions]:[_'#_of_Girls_receiving_consultation_hygiene_promotion_messages_and_sessions]])-WWWW[[#This Row],['# people reached by regular dedicated hygiene promotion_5]]</f>
        <v>0</v>
      </c>
      <c r="CG25"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5" s="826">
        <f>IF(WWWW[[#This Row],['#_of_affected_women_and_girls_receiving_a_sufficient_quantity_of_sanitary_pads]]&gt;WWWW[[#This Row],[Total PoP ]],WWWW[[#This Row],[Total PoP ]],WWWW[[#This Row],['#_of_affected_women_and_girls_receiving_a_sufficient_quantity_of_sanitary_pads]])</f>
        <v>0</v>
      </c>
      <c r="CI25" s="826">
        <f>IF(WWWW[[#This Row],['# People with access to soap]]&gt;WWWW[[#This Row],['# People with access to Sanity Pads]],WWWW[[#This Row],['# People with access to soap]],WWWW[[#This Row],['# People with access to Sanity Pads]])</f>
        <v>0</v>
      </c>
      <c r="CJ25"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5" s="829">
        <f>IF(WWWW[[#This Row],[HRP3]]/WWWW[[#This Row],[Total PoP ]]&gt;100%,100%,WWWW[[#This Row],[HRP3]]/WWWW[[#This Row],[Total PoP ]])</f>
        <v>0</v>
      </c>
      <c r="CL25" s="825">
        <f>1-WWWW[[#This Row],[Hygiene Coverage%]]</f>
        <v>1</v>
      </c>
      <c r="CM25" s="821">
        <f>WWWW[[#This Row],['# people reached by regular dedicated hygiene promotion_5]]/WWWW[[#This Row],[Total PoP ]]</f>
        <v>0</v>
      </c>
      <c r="CN25" s="825">
        <f>IF(WWWW[[#This Row],['#_of_affected_households_receiving_a_sufficient_quantity_of_soap]]/WWWW[[#This Row],[Total HH]]&gt;1,1,WWWW[[#This Row],['#_of_affected_households_receiving_a_sufficient_quantity_of_soap]]/WWWW[[#This Row],[Total HH]])</f>
        <v>0</v>
      </c>
      <c r="CO25" s="455" t="str">
        <f>IF(WWWW[[#This Row],['#_students at TLS_CFS]]="","No","Yes")</f>
        <v>No</v>
      </c>
      <c r="CP25" s="452">
        <f>WWWW[[#This Row],[%_of_affected_people_surveyed_who_report_feeling_informed_about_the_different_WASH_services_available_to_them]]</f>
        <v>0</v>
      </c>
      <c r="CQ2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5" s="500">
        <f>IF(WWWW[[#This Row],['#_PPL_accessed_water_in_TLS]]&gt;WWWW[[#This Row],['# students access to functioning school latrines_HRP5]],WWWW[[#This Row],['#_PPL_accessed_water_in_TLS]],WWWW[[#This Row],['# students access to functioning school latrines_HRP5]])</f>
        <v>200</v>
      </c>
      <c r="CS25" s="500">
        <f>IF(WWWW[[#This Row],['#_PPL_accessed_water_in_THF]]&gt;WWWW[[#This Row],['# people access to functioning latrines in THF_HRP6]],WWWW[[#This Row],['#_PPL_accessed_water_in_THF]],WWWW[[#This Row],['# people access to functioning latrines in THF_HRP6]])</f>
        <v>50</v>
      </c>
      <c r="CT25" s="817" t="str">
        <f>VLOOKUP(WWWW[[#This Row],[Site Name]],SiteDB6[[Site Name]:[CCCM Management]],6,FALSE)</f>
        <v>Yes</v>
      </c>
      <c r="CU25" s="817" t="str">
        <f>VLOOKUP(WWWW[[#This Row],[Site Name]],SiteDB6[[Site Name]:[CCCM Focal Agency]],7,FALSE)</f>
        <v>RI</v>
      </c>
      <c r="CV25" s="817" t="str">
        <f>VLOOKUP(WWWW[[#This Row],[Site Name]],SiteDB6[[Site Name]:[Location Type 1]],9,FALSE)</f>
        <v>Camp</v>
      </c>
      <c r="CW25" s="817" t="str">
        <f>VLOOKUP(WWWW[[#This Row],[Site Name]],SiteDB6[[Site Name]:[Type of Accommodation]],10,FALSE)</f>
        <v>Planned Camp</v>
      </c>
      <c r="CX25" s="817" t="str">
        <f>VLOOKUP(WWWW[[#This Row],[Site Name]],SiteDB6[[Site Name]:[Ethnic or GCA/NGCA]],11,FALSE)</f>
        <v>Muslim</v>
      </c>
      <c r="CY25" s="817">
        <f>VLOOKUP(WWWW[[#This Row],[Site Name]],SiteDB6[[Site Name]:[Lat]],12,FALSE)</f>
        <v>20.037655000000001</v>
      </c>
      <c r="CZ25" s="817">
        <f>VLOOKUP(WWWW[[#This Row],[Site Name]],SiteDB6[[Site Name]:[Long]],13,FALSE)</f>
        <v>93.370037999999994</v>
      </c>
      <c r="DA25" s="817" t="str">
        <f>VLOOKUP(WWWW[[#This Row],[Site Name]],SiteDB6[[Site Name]:[Pcode]],3,FALSE)</f>
        <v>MMR012CMP014</v>
      </c>
      <c r="DB25" s="830" t="str">
        <f t="shared" si="0"/>
        <v>Covered</v>
      </c>
      <c r="DC25" s="477">
        <f>VLOOKUP(WWWW[[#This Row],[Site Name]],SiteDB6[[Site Name]:[PWD_Total]],22,FALSE)</f>
        <v>73</v>
      </c>
      <c r="DD25" s="477">
        <f>VLOOKUP(WWWW[[#This Row],[Site Name]],SiteDB6[[Site Name]:[PWD_Total]],23,FALSE)</f>
        <v>318</v>
      </c>
      <c r="DE25" s="477">
        <f>WWWW[[#This Row],['# of Male_People with disabilities]]+WWWW[[#This Row],['# of Female_People with disabilities]]</f>
        <v>391</v>
      </c>
      <c r="DF25" s="817"/>
      <c r="DG25" s="830"/>
      <c r="DH25" s="830"/>
      <c r="DI25" s="830"/>
      <c r="DJ25" s="830">
        <f>VLOOKUP(WWWW[[#This Row],[Site Name]],SiteDB6[[Site Name]:[Pop
(CCCM as of Autust 2021)]],16,FALSE)</f>
        <v>747</v>
      </c>
      <c r="DK25" s="830">
        <f>VLOOKUP(WWWW[[#This Row],[Site Name]],SiteDB6[[Site Name]:[Pop
(CCCM as of Autust 2021)]],17,FALSE)</f>
        <v>3495</v>
      </c>
    </row>
    <row r="26" spans="1:115">
      <c r="A26" s="815" t="s">
        <v>3143</v>
      </c>
      <c r="B26" s="845" t="s">
        <v>2270</v>
      </c>
      <c r="C26" s="845" t="s">
        <v>2270</v>
      </c>
      <c r="D26" s="816" t="s">
        <v>40</v>
      </c>
      <c r="E26" s="845" t="s">
        <v>293</v>
      </c>
      <c r="F26" s="845" t="s">
        <v>294</v>
      </c>
      <c r="G26" s="846" t="s">
        <v>43</v>
      </c>
      <c r="H26" s="845" t="s">
        <v>421</v>
      </c>
      <c r="I26" s="818">
        <v>1139</v>
      </c>
      <c r="J26" s="818">
        <v>6016</v>
      </c>
      <c r="K26" s="684">
        <f>WWWW[[#This Row],[Total PoP ]]/WWWW[[#This Row],[Total HH]]</f>
        <v>5.2818261633011412</v>
      </c>
      <c r="L26" s="819">
        <v>44197</v>
      </c>
      <c r="M26" s="820">
        <v>44592</v>
      </c>
      <c r="N26" s="818"/>
      <c r="O26" s="500">
        <v>39</v>
      </c>
      <c r="P26" s="818">
        <v>42</v>
      </c>
      <c r="Q26" s="500"/>
      <c r="R26" s="500"/>
      <c r="S26" s="818"/>
      <c r="T26" s="818"/>
      <c r="U26" s="500"/>
      <c r="V26" s="450"/>
      <c r="W26" s="818"/>
      <c r="X26" s="821"/>
      <c r="Y26" s="818"/>
      <c r="Z26" s="500"/>
      <c r="AA26" s="500"/>
      <c r="AB26" s="822"/>
      <c r="AC26" s="818">
        <v>218</v>
      </c>
      <c r="AD26" s="818">
        <v>253</v>
      </c>
      <c r="AE26" s="818"/>
      <c r="AF26" s="818"/>
      <c r="AG26" s="821"/>
      <c r="AH26" s="821"/>
      <c r="AI26" s="821"/>
      <c r="AJ26" s="818"/>
      <c r="AK26" s="818">
        <v>26</v>
      </c>
      <c r="AL26" s="818">
        <v>2</v>
      </c>
      <c r="AM26" s="500"/>
      <c r="AN26" s="818" t="s">
        <v>41</v>
      </c>
      <c r="AO26" s="823"/>
      <c r="AP26" s="818"/>
      <c r="AQ26" s="818"/>
      <c r="AR26" s="818"/>
      <c r="AS26" s="818"/>
      <c r="AT26" s="818"/>
      <c r="AU26" s="818"/>
      <c r="AV26" s="450"/>
      <c r="AW26" s="821"/>
      <c r="AX26" s="451">
        <v>0</v>
      </c>
      <c r="AY26" s="831"/>
      <c r="AZ26" s="450"/>
      <c r="BA26" s="450"/>
      <c r="BB26" s="450"/>
      <c r="BC26" s="450"/>
      <c r="BD26" s="450"/>
      <c r="BE26" s="500"/>
      <c r="BF26" s="500"/>
      <c r="BG26" s="500"/>
      <c r="BH26" s="840"/>
      <c r="BI26" s="840"/>
      <c r="BJ26" s="837"/>
      <c r="BK26" s="500"/>
      <c r="BL26" s="825" t="str">
        <f>IF(WWWW[[#This Row],['#_Water samples_Tested_at_water_source]]="","no test","Tested")</f>
        <v>no test</v>
      </c>
      <c r="BM26" s="825" t="str">
        <f>IF(WWWW[[#This Row],['#_Water samples_Tested_at_HH]]="","no test","Tested")</f>
        <v>no test</v>
      </c>
      <c r="BN26" s="826" t="str">
        <f>IF(AND(WWWW[[#This Row],[Water_testing_at source]]="no test",WWWW[[#This Row],[Water_testing_at HH]]="no test"),"No Test","Tested")</f>
        <v>No Test</v>
      </c>
      <c r="BO26"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6" s="827">
        <f>WWWW[[#This Row],[% HRP1]]*WWWW[[#This Row],[Total PoP ]]</f>
        <v>6016</v>
      </c>
      <c r="BQ26" s="828">
        <f>WWWW[[#This Row],[HRP1]]/500</f>
        <v>12.032</v>
      </c>
      <c r="BR26" s="829">
        <f>1-WWWW[[#This Row],[% HRP1]]</f>
        <v>0</v>
      </c>
      <c r="BS26" s="828">
        <f>WWWW[[#This Row],[%equitable and continuous access to sufficient quantity of safe drinking and domestic water''s GAP]]*WWWW[[#This Row],[Total PoP ]]</f>
        <v>0</v>
      </c>
      <c r="BT26" s="451">
        <f>ROUND(IF(WWWW[[#This Row],[Total PoP ]]&lt;500,1,WWWW[[#This Row],[Total PoP ]]/500),0)</f>
        <v>12</v>
      </c>
      <c r="BU26" s="826">
        <f>IF(WWWW[[#This Row],[Total required water points]]-WWWW[[#This Row],['#Water points coverage]]&lt;0,0,WWWW[[#This Row],[Total required water points]]-WWWW[[#This Row],['#Water points coverage]])</f>
        <v>0</v>
      </c>
      <c r="BV26" s="452">
        <f>WWWW[[#This Row],[HRP2]]/WWWW[[#This Row],[Total PoP ]]</f>
        <v>0.72905585106382975</v>
      </c>
      <c r="BW26"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4386</v>
      </c>
      <c r="BX26" s="455">
        <f>IF(WWWW[[#This Row],['#_Functional_adult_latrines]]="","",WWWW[[#This Row],[Total PoP ]]/WWWW[[#This Row],['#_Functional_adult_latrines]])</f>
        <v>27.596330275229359</v>
      </c>
      <c r="BY26" s="826">
        <f>WWWW[[#This Row],['#_of_latrines_in_TLS/CFS]]*50</f>
        <v>100</v>
      </c>
      <c r="BZ26" s="451">
        <f>IF(WWWW[[#This Row],['#_of_latrines_in_THF]]="",0,WWWW[[#This Row],['#_of_latrines_in_THF]]*50)</f>
        <v>0</v>
      </c>
      <c r="CA26" s="826">
        <f>ROUND(IF(WWWW[[#This Row],[Location Type 1]]="camp",WWWW[[#This Row],[Total PoP ]]/20),0)</f>
        <v>301</v>
      </c>
      <c r="CB26" s="826">
        <f>IF(WWWW[[#This Row],[Total required Latrines]]-WWWW[[#This Row],['#_Existing_latrines]]&lt;0,0,WWWW[[#This Row],[Total required Latrines]]-WWWW[[#This Row],['#_Existing_latrines]])</f>
        <v>48</v>
      </c>
      <c r="CC26" s="829">
        <f>1-WWWW[[#This Row],[% HRP2]]</f>
        <v>0.27094414893617025</v>
      </c>
      <c r="CD26" s="825">
        <f>IF(WWWW[[#This Row],['#_Existing_latrines]]="","NA",(WWWW[[#This Row],['#_Existing_latrines]]-WWWW[[#This Row],['#_Functional_adult_latrines]])/WWWW[[#This Row],['#_Existing_latrines]])</f>
        <v>0.13833992094861661</v>
      </c>
      <c r="CE26"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6" s="828">
        <f>SUM(WWWW[[#This Row],[_'#_of_Men_receiving_consultation_hygiene_promotion_messages_and_sessions]:[_'#_of_Girls_receiving_consultation_hygiene_promotion_messages_and_sessions]])-WWWW[[#This Row],['# people reached by regular dedicated hygiene promotion_5]]</f>
        <v>0</v>
      </c>
      <c r="CG26"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6" s="826">
        <f>IF(WWWW[[#This Row],['#_of_affected_women_and_girls_receiving_a_sufficient_quantity_of_sanitary_pads]]&gt;WWWW[[#This Row],[Total PoP ]],WWWW[[#This Row],[Total PoP ]],WWWW[[#This Row],['#_of_affected_women_and_girls_receiving_a_sufficient_quantity_of_sanitary_pads]])</f>
        <v>0</v>
      </c>
      <c r="CI26" s="826">
        <f>IF(WWWW[[#This Row],['# People with access to soap]]&gt;WWWW[[#This Row],['# People with access to Sanity Pads]],WWWW[[#This Row],['# People with access to soap]],WWWW[[#This Row],['# People with access to Sanity Pads]])</f>
        <v>0</v>
      </c>
      <c r="CJ26"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6" s="829">
        <f>IF(WWWW[[#This Row],[HRP3]]/WWWW[[#This Row],[Total PoP ]]&gt;100%,100%,WWWW[[#This Row],[HRP3]]/WWWW[[#This Row],[Total PoP ]])</f>
        <v>0</v>
      </c>
      <c r="CL26" s="825">
        <f>1-WWWW[[#This Row],[Hygiene Coverage%]]</f>
        <v>1</v>
      </c>
      <c r="CM26" s="821">
        <f>WWWW[[#This Row],['# people reached by regular dedicated hygiene promotion_5]]/WWWW[[#This Row],[Total PoP ]]</f>
        <v>0</v>
      </c>
      <c r="CN26" s="825">
        <f>IF(WWWW[[#This Row],['#_of_affected_households_receiving_a_sufficient_quantity_of_soap]]/WWWW[[#This Row],[Total HH]]&gt;1,1,WWWW[[#This Row],['#_of_affected_households_receiving_a_sufficient_quantity_of_soap]]/WWWW[[#This Row],[Total HH]])</f>
        <v>0</v>
      </c>
      <c r="CO26" s="455" t="str">
        <f>IF(WWWW[[#This Row],['#_students at TLS_CFS]]="","No","Yes")</f>
        <v>No</v>
      </c>
      <c r="CP26" s="452">
        <f>WWWW[[#This Row],[%_of_affected_people_surveyed_who_report_feeling_informed_about_the_different_WASH_services_available_to_them]]</f>
        <v>0</v>
      </c>
      <c r="CQ2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6" s="500">
        <f>IF(WWWW[[#This Row],['#_PPL_accessed_water_in_TLS]]&gt;WWWW[[#This Row],['# students access to functioning school latrines_HRP5]],WWWW[[#This Row],['#_PPL_accessed_water_in_TLS]],WWWW[[#This Row],['# students access to functioning school latrines_HRP5]])</f>
        <v>100</v>
      </c>
      <c r="CS26" s="500">
        <f>IF(WWWW[[#This Row],['#_PPL_accessed_water_in_THF]]&gt;WWWW[[#This Row],['# people access to functioning latrines in THF_HRP6]],WWWW[[#This Row],['#_PPL_accessed_water_in_THF]],WWWW[[#This Row],['# people access to functioning latrines in THF_HRP6]])</f>
        <v>0</v>
      </c>
      <c r="CT26" s="817" t="str">
        <f>VLOOKUP(WWWW[[#This Row],[Site Name]],SiteDB6[[Site Name]:[CCCM Management]],6,FALSE)</f>
        <v>Yes</v>
      </c>
      <c r="CU26" s="817">
        <f>VLOOKUP(WWWW[[#This Row],[Site Name]],SiteDB6[[Site Name]:[CCCM Focal Agency]],7,FALSE)</f>
        <v>0</v>
      </c>
      <c r="CV26" s="817" t="str">
        <f>VLOOKUP(WWWW[[#This Row],[Site Name]],SiteDB6[[Site Name]:[Location Type 1]],9,FALSE)</f>
        <v>Camp</v>
      </c>
      <c r="CW26" s="817" t="str">
        <f>VLOOKUP(WWWW[[#This Row],[Site Name]],SiteDB6[[Site Name]:[Type of Accommodation]],10,FALSE)</f>
        <v>Self Settled Camp</v>
      </c>
      <c r="CX26" s="817" t="str">
        <f>VLOOKUP(WWWW[[#This Row],[Site Name]],SiteDB6[[Site Name]:[Ethnic or GCA/NGCA]],11,FALSE)</f>
        <v>Muslim</v>
      </c>
      <c r="CY26" s="817">
        <f>VLOOKUP(WWWW[[#This Row],[Site Name]],SiteDB6[[Site Name]:[Lat]],12,FALSE)</f>
        <v>20.1585</v>
      </c>
      <c r="CZ26" s="817">
        <f>VLOOKUP(WWWW[[#This Row],[Site Name]],SiteDB6[[Site Name]:[Long]],13,FALSE)</f>
        <v>92.839416999999997</v>
      </c>
      <c r="DA26" s="817" t="str">
        <f>VLOOKUP(WWWW[[#This Row],[Site Name]],SiteDB6[[Site Name]:[Pcode]],3,FALSE)</f>
        <v>MMR012CMP046</v>
      </c>
      <c r="DB26" s="830" t="str">
        <f t="shared" si="0"/>
        <v>Covered</v>
      </c>
      <c r="DC26" s="477">
        <f>VLOOKUP(WWWW[[#This Row],[Site Name]],SiteDB6[[Site Name]:[PWD_Total]],22,FALSE)</f>
        <v>365</v>
      </c>
      <c r="DD26" s="477">
        <f>VLOOKUP(WWWW[[#This Row],[Site Name]],SiteDB6[[Site Name]:[PWD_Total]],23,FALSE)</f>
        <v>800</v>
      </c>
      <c r="DE26" s="477">
        <f>WWWW[[#This Row],['# of Male_People with disabilities]]+WWWW[[#This Row],['# of Female_People with disabilities]]</f>
        <v>1165</v>
      </c>
      <c r="DF26" s="817"/>
      <c r="DG26" s="830"/>
      <c r="DH26" s="830"/>
      <c r="DI26" s="830"/>
      <c r="DJ26" s="830">
        <f>VLOOKUP(WWWW[[#This Row],[Site Name]],SiteDB6[[Site Name]:[Pop
(CCCM as of Autust 2021)]],16,FALSE)</f>
        <v>2062</v>
      </c>
      <c r="DK26" s="830">
        <f>VLOOKUP(WWWW[[#This Row],[Site Name]],SiteDB6[[Site Name]:[Pop
(CCCM as of Autust 2021)]],17,FALSE)</f>
        <v>12522</v>
      </c>
    </row>
    <row r="27" spans="1:115">
      <c r="A27" s="815" t="s">
        <v>3143</v>
      </c>
      <c r="B27" s="815" t="s">
        <v>2620</v>
      </c>
      <c r="C27" s="816" t="s">
        <v>2269</v>
      </c>
      <c r="D27" s="816" t="s">
        <v>40</v>
      </c>
      <c r="E27" s="845" t="s">
        <v>293</v>
      </c>
      <c r="F27" s="816" t="s">
        <v>294</v>
      </c>
      <c r="G27" s="846" t="s">
        <v>43</v>
      </c>
      <c r="H27" s="816" t="s">
        <v>425</v>
      </c>
      <c r="I27" s="818">
        <v>1013</v>
      </c>
      <c r="J27" s="818">
        <v>5950</v>
      </c>
      <c r="K27" s="684">
        <f>WWWW[[#This Row],[Total PoP ]]/WWWW[[#This Row],[Total HH]]</f>
        <v>5.8736426456071076</v>
      </c>
      <c r="L27" s="819">
        <v>44197</v>
      </c>
      <c r="M27" s="820">
        <v>44592</v>
      </c>
      <c r="N27" s="818"/>
      <c r="O27" s="500">
        <v>59</v>
      </c>
      <c r="P27" s="818">
        <v>68</v>
      </c>
      <c r="Q27" s="500"/>
      <c r="R27" s="500"/>
      <c r="S27" s="818"/>
      <c r="T27" s="818"/>
      <c r="U27" s="818"/>
      <c r="V27" s="821"/>
      <c r="W27" s="818"/>
      <c r="X27" s="821"/>
      <c r="Y27" s="818"/>
      <c r="Z27" s="500"/>
      <c r="AA27" s="500"/>
      <c r="AB27" s="822"/>
      <c r="AC27" s="818">
        <v>242</v>
      </c>
      <c r="AD27" s="818">
        <v>339</v>
      </c>
      <c r="AE27" s="818"/>
      <c r="AF27" s="818"/>
      <c r="AG27" s="821"/>
      <c r="AH27" s="821"/>
      <c r="AI27" s="821"/>
      <c r="AJ27" s="818">
        <v>4</v>
      </c>
      <c r="AK27" s="818">
        <v>38</v>
      </c>
      <c r="AL27" s="818">
        <v>21</v>
      </c>
      <c r="AM27" s="500"/>
      <c r="AN27" s="818" t="s">
        <v>41</v>
      </c>
      <c r="AO27" s="823"/>
      <c r="AP27" s="818"/>
      <c r="AQ27" s="818"/>
      <c r="AR27" s="818"/>
      <c r="AS27" s="818"/>
      <c r="AT27" s="818"/>
      <c r="AU27" s="818"/>
      <c r="AV27" s="450"/>
      <c r="AW27" s="821"/>
      <c r="AX27" s="451">
        <v>3</v>
      </c>
      <c r="AY27" s="831"/>
      <c r="AZ27" s="450"/>
      <c r="BA27" s="450"/>
      <c r="BB27" s="450"/>
      <c r="BC27" s="450"/>
      <c r="BD27" s="450"/>
      <c r="BE27" s="500"/>
      <c r="BF27" s="500"/>
      <c r="BG27" s="500"/>
      <c r="BH27" s="840"/>
      <c r="BI27" s="840"/>
      <c r="BJ27" s="837"/>
      <c r="BK27" s="500"/>
      <c r="BL27" s="825" t="str">
        <f>IF(WWWW[[#This Row],['#_Water samples_Tested_at_water_source]]="","no test","Tested")</f>
        <v>no test</v>
      </c>
      <c r="BM27" s="825" t="str">
        <f>IF(WWWW[[#This Row],['#_Water samples_Tested_at_HH]]="","no test","Tested")</f>
        <v>no test</v>
      </c>
      <c r="BN27" s="826" t="str">
        <f>IF(AND(WWWW[[#This Row],[Water_testing_at source]]="no test",WWWW[[#This Row],[Water_testing_at HH]]="no test"),"No Test","Tested")</f>
        <v>No Test</v>
      </c>
      <c r="BO27" s="82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7" s="827">
        <f>WWWW[[#This Row],[% HRP1]]*WWWW[[#This Row],[Total PoP ]]</f>
        <v>5950</v>
      </c>
      <c r="BQ27" s="828">
        <f>WWWW[[#This Row],[HRP1]]/500</f>
        <v>11.9</v>
      </c>
      <c r="BR27" s="829">
        <f>1-WWWW[[#This Row],[% HRP1]]</f>
        <v>0</v>
      </c>
      <c r="BS27" s="828">
        <f>WWWW[[#This Row],[%equitable and continuous access to sufficient quantity of safe drinking and domestic water''s GAP]]*WWWW[[#This Row],[Total PoP ]]</f>
        <v>0</v>
      </c>
      <c r="BT27" s="451">
        <f>ROUND(IF(WWWW[[#This Row],[Total PoP ]]&lt;500,1,WWWW[[#This Row],[Total PoP ]]/500),0)</f>
        <v>12</v>
      </c>
      <c r="BU27" s="826">
        <f>IF(WWWW[[#This Row],[Total required water points]]-WWWW[[#This Row],['#Water points coverage]]&lt;0,0,WWWW[[#This Row],[Total required water points]]-WWWW[[#This Row],['#Water points coverage]])</f>
        <v>9.9999999999999645E-2</v>
      </c>
      <c r="BV27" s="452">
        <f>WWWW[[#This Row],[HRP2]]/WWWW[[#This Row],[Total PoP ]]</f>
        <v>0.83327731092436974</v>
      </c>
      <c r="BW27" s="82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4958</v>
      </c>
      <c r="BX27" s="455">
        <f>IF(WWWW[[#This Row],['#_Functional_adult_latrines]]="","",WWWW[[#This Row],[Total PoP ]]/WWWW[[#This Row],['#_Functional_adult_latrines]])</f>
        <v>24.58677685950413</v>
      </c>
      <c r="BY27" s="826">
        <f>WWWW[[#This Row],['#_of_latrines_in_TLS/CFS]]*50</f>
        <v>1050</v>
      </c>
      <c r="BZ27" s="451">
        <f>IF(WWWW[[#This Row],['#_of_latrines_in_THF]]="",0,WWWW[[#This Row],['#_of_latrines_in_THF]]*50)</f>
        <v>0</v>
      </c>
      <c r="CA27" s="826">
        <f>ROUND(IF(WWWW[[#This Row],[Location Type 1]]="camp",WWWW[[#This Row],[Total PoP ]]/20),0)</f>
        <v>298</v>
      </c>
      <c r="CB27" s="826">
        <f>IF(WWWW[[#This Row],[Total required Latrines]]-WWWW[[#This Row],['#_Existing_latrines]]&lt;0,0,WWWW[[#This Row],[Total required Latrines]]-WWWW[[#This Row],['#_Existing_latrines]])</f>
        <v>0</v>
      </c>
      <c r="CC27" s="829">
        <f>1-WWWW[[#This Row],[% HRP2]]</f>
        <v>0.16672268907563026</v>
      </c>
      <c r="CD27" s="825">
        <f>IF(WWWW[[#This Row],['#_Existing_latrines]]="","NA",(WWWW[[#This Row],['#_Existing_latrines]]-WWWW[[#This Row],['#_Functional_adult_latrines]])/WWWW[[#This Row],['#_Existing_latrines]])</f>
        <v>0.28613569321533922</v>
      </c>
      <c r="CE27" s="82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7" s="828">
        <f>SUM(WWWW[[#This Row],[_'#_of_Men_receiving_consultation_hygiene_promotion_messages_and_sessions]:[_'#_of_Girls_receiving_consultation_hygiene_promotion_messages_and_sessions]])-WWWW[[#This Row],['# people reached by regular dedicated hygiene promotion_5]]</f>
        <v>0</v>
      </c>
      <c r="CG27" s="82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27" s="826">
        <f>IF(WWWW[[#This Row],['#_of_affected_women_and_girls_receiving_a_sufficient_quantity_of_sanitary_pads]]&gt;WWWW[[#This Row],[Total PoP ]],WWWW[[#This Row],[Total PoP ]],WWWW[[#This Row],['#_of_affected_women_and_girls_receiving_a_sufficient_quantity_of_sanitary_pads]])</f>
        <v>0</v>
      </c>
      <c r="CI27" s="826">
        <f>IF(WWWW[[#This Row],['# People with access to soap]]&gt;WWWW[[#This Row],['# People with access to Sanity Pads]],WWWW[[#This Row],['# People with access to soap]],WWWW[[#This Row],['# People with access to Sanity Pads]])</f>
        <v>0</v>
      </c>
      <c r="CJ27" s="826">
        <f>IF(WWWW[[#This Row],['# people reached by regular dedicated hygiene promotion_5]]&gt;WWWW[[#This Row],['# People received regular supply of hygiene items_6]],WWWW[[#This Row],['# people reached by regular dedicated hygiene promotion_5]],WWWW[[#This Row],['# People received regular supply of hygiene items_6]])</f>
        <v>0</v>
      </c>
      <c r="CK27" s="829">
        <f>IF(WWWW[[#This Row],[HRP3]]/WWWW[[#This Row],[Total PoP ]]&gt;100%,100%,WWWW[[#This Row],[HRP3]]/WWWW[[#This Row],[Total PoP ]])</f>
        <v>0</v>
      </c>
      <c r="CL27" s="825">
        <f>1-WWWW[[#This Row],[Hygiene Coverage%]]</f>
        <v>1</v>
      </c>
      <c r="CM27" s="821">
        <f>WWWW[[#This Row],['# people reached by regular dedicated hygiene promotion_5]]/WWWW[[#This Row],[Total PoP ]]</f>
        <v>0</v>
      </c>
      <c r="CN27" s="825">
        <f>IF(WWWW[[#This Row],['#_of_affected_households_receiving_a_sufficient_quantity_of_soap]]/WWWW[[#This Row],[Total HH]]&gt;1,1,WWWW[[#This Row],['#_of_affected_households_receiving_a_sufficient_quantity_of_soap]]/WWWW[[#This Row],[Total HH]])</f>
        <v>0</v>
      </c>
      <c r="CO27" s="455" t="str">
        <f>IF(WWWW[[#This Row],['#_students at TLS_CFS]]="","No","Yes")</f>
        <v>No</v>
      </c>
      <c r="CP27" s="452">
        <f>WWWW[[#This Row],[%_of_affected_people_surveyed_who_report_feeling_informed_about_the_different_WASH_services_available_to_them]]</f>
        <v>0</v>
      </c>
      <c r="CQ2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7" s="500">
        <f>IF(WWWW[[#This Row],['#_PPL_accessed_water_in_TLS]]&gt;WWWW[[#This Row],['# students access to functioning school latrines_HRP5]],WWWW[[#This Row],['#_PPL_accessed_water_in_TLS]],WWWW[[#This Row],['# students access to functioning school latrines_HRP5]])</f>
        <v>1050</v>
      </c>
      <c r="CS27" s="500">
        <f>IF(WWWW[[#This Row],['#_PPL_accessed_water_in_THF]]&gt;WWWW[[#This Row],['# people access to functioning latrines in THF_HRP6]],WWWW[[#This Row],['#_PPL_accessed_water_in_THF]],WWWW[[#This Row],['# people access to functioning latrines in THF_HRP6]])</f>
        <v>0</v>
      </c>
      <c r="CT27" s="817" t="str">
        <f>VLOOKUP(WWWW[[#This Row],[Site Name]],SiteDB6[[Site Name]:[CCCM Management]],6,FALSE)</f>
        <v>Yes</v>
      </c>
      <c r="CU27" s="817">
        <f>VLOOKUP(WWWW[[#This Row],[Site Name]],SiteDB6[[Site Name]:[CCCM Focal Agency]],7,FALSE)</f>
        <v>0</v>
      </c>
      <c r="CV27" s="817" t="str">
        <f>VLOOKUP(WWWW[[#This Row],[Site Name]],SiteDB6[[Site Name]:[Location Type 1]],9,FALSE)</f>
        <v>Camp</v>
      </c>
      <c r="CW27" s="817" t="str">
        <f>VLOOKUP(WWWW[[#This Row],[Site Name]],SiteDB6[[Site Name]:[Type of Accommodation]],10,FALSE)</f>
        <v>Planned Camp</v>
      </c>
      <c r="CX27" s="817" t="str">
        <f>VLOOKUP(WWWW[[#This Row],[Site Name]],SiteDB6[[Site Name]:[Ethnic or GCA/NGCA]],11,FALSE)</f>
        <v>Muslim</v>
      </c>
      <c r="CY27" s="817">
        <f>VLOOKUP(WWWW[[#This Row],[Site Name]],SiteDB6[[Site Name]:[Lat]],12,FALSE)</f>
        <v>20.179939999999998</v>
      </c>
      <c r="CZ27" s="817">
        <f>VLOOKUP(WWWW[[#This Row],[Site Name]],SiteDB6[[Site Name]:[Long]],13,FALSE)</f>
        <v>92.831879000000001</v>
      </c>
      <c r="DA27" s="817" t="str">
        <f>VLOOKUP(WWWW[[#This Row],[Site Name]],SiteDB6[[Site Name]:[Pcode]],3,FALSE)</f>
        <v>MMR012CMP048</v>
      </c>
      <c r="DB27" s="830" t="str">
        <f t="shared" si="0"/>
        <v>Covered</v>
      </c>
      <c r="DC27" s="477">
        <f>VLOOKUP(WWWW[[#This Row],[Site Name]],SiteDB6[[Site Name]:[PWD_Total]],22,FALSE)</f>
        <v>250</v>
      </c>
      <c r="DD27" s="477">
        <f>VLOOKUP(WWWW[[#This Row],[Site Name]],SiteDB6[[Site Name]:[PWD_Total]],23,FALSE)</f>
        <v>699</v>
      </c>
      <c r="DE27" s="477">
        <f>WWWW[[#This Row],['# of Male_People with disabilities]]+WWWW[[#This Row],['# of Female_People with disabilities]]</f>
        <v>949</v>
      </c>
      <c r="DF27" s="817"/>
      <c r="DG27" s="830"/>
      <c r="DH27" s="830"/>
      <c r="DI27" s="830"/>
      <c r="DJ27" s="830">
        <f>VLOOKUP(WWWW[[#This Row],[Site Name]],SiteDB6[[Site Name]:[Pop
(CCCM as of Autust 2021)]],16,FALSE)</f>
        <v>1019</v>
      </c>
      <c r="DK27" s="830">
        <f>VLOOKUP(WWWW[[#This Row],[Site Name]],SiteDB6[[Site Name]:[Pop
(CCCM as of Autust 2021)]],17,FALSE)</f>
        <v>6906</v>
      </c>
    </row>
    <row r="28" spans="1:115">
      <c r="A28" s="873" t="s">
        <v>3144</v>
      </c>
      <c r="B28" s="878" t="s">
        <v>265</v>
      </c>
      <c r="C28" s="879" t="s">
        <v>265</v>
      </c>
      <c r="D28" s="879" t="s">
        <v>2983</v>
      </c>
      <c r="E28" s="845" t="s">
        <v>293</v>
      </c>
      <c r="F28" s="879" t="s">
        <v>401</v>
      </c>
      <c r="G28" s="846" t="s">
        <v>43</v>
      </c>
      <c r="H28" s="879" t="s">
        <v>411</v>
      </c>
      <c r="I28" s="881">
        <v>1112</v>
      </c>
      <c r="J28" s="881">
        <v>5133</v>
      </c>
      <c r="K28" s="684">
        <f>WWWW[[#This Row],[Total PoP ]]/WWWW[[#This Row],[Total HH]]</f>
        <v>4.6160071942446042</v>
      </c>
      <c r="L28" s="882" t="s">
        <v>3185</v>
      </c>
      <c r="M28" s="883" t="s">
        <v>3186</v>
      </c>
      <c r="N28" s="881"/>
      <c r="O28" s="500"/>
      <c r="P28" s="881"/>
      <c r="Q28" s="500">
        <v>14</v>
      </c>
      <c r="R28" s="500">
        <v>14</v>
      </c>
      <c r="S28" s="881">
        <v>1612000</v>
      </c>
      <c r="T28" s="881">
        <v>5133</v>
      </c>
      <c r="U28" s="881">
        <v>1</v>
      </c>
      <c r="V28" s="884">
        <v>1</v>
      </c>
      <c r="W28" s="881">
        <v>8</v>
      </c>
      <c r="X28" s="884">
        <v>0.38</v>
      </c>
      <c r="Y28" s="881"/>
      <c r="Z28" s="500"/>
      <c r="AA28" s="500"/>
      <c r="AB28" s="885" t="s">
        <v>3187</v>
      </c>
      <c r="AC28" s="881">
        <v>195</v>
      </c>
      <c r="AD28" s="881">
        <v>198</v>
      </c>
      <c r="AE28" s="881">
        <v>2</v>
      </c>
      <c r="AF28" s="881">
        <v>198</v>
      </c>
      <c r="AG28" s="884">
        <v>0.99</v>
      </c>
      <c r="AH28" s="884">
        <v>1</v>
      </c>
      <c r="AI28" s="884">
        <v>0.98</v>
      </c>
      <c r="AJ28" s="881">
        <v>27</v>
      </c>
      <c r="AK28" s="881">
        <v>76</v>
      </c>
      <c r="AL28" s="881"/>
      <c r="AM28" s="500"/>
      <c r="AN28" s="881" t="s">
        <v>41</v>
      </c>
      <c r="AO28" s="886" t="s">
        <v>3188</v>
      </c>
      <c r="AP28" s="881">
        <v>997</v>
      </c>
      <c r="AQ28" s="881">
        <v>1200</v>
      </c>
      <c r="AR28" s="881">
        <v>1521</v>
      </c>
      <c r="AS28" s="881">
        <v>1415</v>
      </c>
      <c r="AT28" s="881">
        <v>1112</v>
      </c>
      <c r="AU28" s="881">
        <v>1515</v>
      </c>
      <c r="AV28" s="450">
        <v>0.15</v>
      </c>
      <c r="AW28" s="884">
        <v>0.71</v>
      </c>
      <c r="AX28" s="451"/>
      <c r="AY28" s="887"/>
      <c r="AZ28" s="450">
        <v>0.89</v>
      </c>
      <c r="BA28" s="450">
        <v>0.7</v>
      </c>
      <c r="BB28" s="450">
        <v>0.97</v>
      </c>
      <c r="BC28" s="450">
        <v>1</v>
      </c>
      <c r="BD28" s="450">
        <v>1.2699999999999999E-2</v>
      </c>
      <c r="BE28" s="500"/>
      <c r="BF28" s="500"/>
      <c r="BG28" s="500"/>
      <c r="BH28" s="500"/>
      <c r="BI28" s="500"/>
      <c r="BJ28" s="500"/>
      <c r="BK28" s="500"/>
      <c r="BL28" s="888" t="str">
        <f>IF(WWWW[[#This Row],['#_Water samples_Tested_at_water_source]]="","no test","Tested")</f>
        <v>Tested</v>
      </c>
      <c r="BM28" s="888" t="str">
        <f>IF(WWWW[[#This Row],['#_Water samples_Tested_at_HH]]="","no test","Tested")</f>
        <v>Tested</v>
      </c>
      <c r="BN28" s="889" t="str">
        <f>IF(AND(WWWW[[#This Row],[Water_testing_at source]]="no test",WWWW[[#This Row],[Water_testing_at HH]]="no test"),"No Test","Tested")</f>
        <v>Tested</v>
      </c>
      <c r="BO28"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8" s="890">
        <f>WWWW[[#This Row],[% HRP1]]*WWWW[[#This Row],[Total PoP ]]</f>
        <v>5133</v>
      </c>
      <c r="BQ28" s="891">
        <f>WWWW[[#This Row],[HRP1]]/500</f>
        <v>10.266</v>
      </c>
      <c r="BR28" s="892">
        <f>1-WWWW[[#This Row],[% HRP1]]</f>
        <v>0</v>
      </c>
      <c r="BS28" s="891">
        <f>WWWW[[#This Row],[%equitable and continuous access to sufficient quantity of safe drinking and domestic water''s GAP]]*WWWW[[#This Row],[Total PoP ]]</f>
        <v>0</v>
      </c>
      <c r="BT28" s="451">
        <f>ROUND(IF(WWWW[[#This Row],[Total PoP ]]&lt;500,1,WWWW[[#This Row],[Total PoP ]]/500),0)</f>
        <v>10</v>
      </c>
      <c r="BU28" s="889">
        <f>IF(WWWW[[#This Row],[Total required water points]]-WWWW[[#This Row],['#Water points coverage]]&lt;0,0,WWWW[[#This Row],[Total required water points]]-WWWW[[#This Row],['#Water points coverage]])</f>
        <v>0</v>
      </c>
      <c r="BV28" s="895">
        <f>WWWW[[#This Row],[HRP2]]/WWWW[[#This Row],[Total PoP ]]</f>
        <v>0.87979738944087282</v>
      </c>
      <c r="BW28"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4516</v>
      </c>
      <c r="BX28" s="455">
        <f>IF(WWWW[[#This Row],['#_Functional_adult_latrines]]="","",WWWW[[#This Row],[Total PoP ]]/WWWW[[#This Row],['#_Functional_adult_latrines]])</f>
        <v>26.323076923076922</v>
      </c>
      <c r="BY28" s="889">
        <f>WWWW[[#This Row],['#_of_latrines_in_TLS/CFS]]*50</f>
        <v>0</v>
      </c>
      <c r="BZ28" s="451">
        <f>IF(WWWW[[#This Row],['#_of_latrines_in_THF]]="",0,WWWW[[#This Row],['#_of_latrines_in_THF]]*50)</f>
        <v>0</v>
      </c>
      <c r="CA28" s="889">
        <f>ROUND(IF(WWWW[[#This Row],[Location Type 1]]="camp",WWWW[[#This Row],[Total PoP ]]/20),0)</f>
        <v>257</v>
      </c>
      <c r="CB28" s="889">
        <f>IF(WWWW[[#This Row],[Total required Latrines]]-WWWW[[#This Row],['#_Existing_latrines]]&lt;0,0,WWWW[[#This Row],[Total required Latrines]]-WWWW[[#This Row],['#_Existing_latrines]])</f>
        <v>59</v>
      </c>
      <c r="CC28" s="892">
        <f>1-WWWW[[#This Row],[% HRP2]]</f>
        <v>0.12020261055912718</v>
      </c>
      <c r="CD28" s="888">
        <f>IF(WWWW[[#This Row],['#_Existing_latrines]]="","NA",(WWWW[[#This Row],['#_Existing_latrines]]-WWWW[[#This Row],['#_Functional_adult_latrines]])/WWWW[[#This Row],['#_Existing_latrines]])</f>
        <v>1.5151515151515152E-2</v>
      </c>
      <c r="CE28"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28" s="891">
        <f>SUM(WWWW[[#This Row],[_'#_of_Men_receiving_consultation_hygiene_promotion_messages_and_sessions]:[_'#_of_Girls_receiving_consultation_hygiene_promotion_messages_and_sessions]])-WWWW[[#This Row],['# people reached by regular dedicated hygiene promotion_5]]</f>
        <v>0</v>
      </c>
      <c r="CG28"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H28" s="889">
        <f>IF(WWWW[[#This Row],['#_of_affected_women_and_girls_receiving_a_sufficient_quantity_of_sanitary_pads]]&gt;WWWW[[#This Row],[Total PoP ]],WWWW[[#This Row],[Total PoP ]],WWWW[[#This Row],['#_of_affected_women_and_girls_receiving_a_sufficient_quantity_of_sanitary_pads]])</f>
        <v>1515</v>
      </c>
      <c r="CI28" s="889">
        <f>IF(WWWW[[#This Row],['# People with access to soap]]&gt;WWWW[[#This Row],['# People with access to Sanity Pads]],WWWW[[#This Row],['# People with access to soap]],WWWW[[#This Row],['# People with access to Sanity Pads]])</f>
        <v>5133</v>
      </c>
      <c r="CJ28" s="889">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K28" s="892">
        <f>IF(WWWW[[#This Row],[HRP3]]/WWWW[[#This Row],[Total PoP ]]&gt;100%,100%,WWWW[[#This Row],[HRP3]]/WWWW[[#This Row],[Total PoP ]])</f>
        <v>1</v>
      </c>
      <c r="CL28" s="888">
        <f>1-WWWW[[#This Row],[Hygiene Coverage%]]</f>
        <v>0</v>
      </c>
      <c r="CM28" s="884">
        <f>WWWW[[#This Row],['# people reached by regular dedicated hygiene promotion_5]]/WWWW[[#This Row],[Total PoP ]]</f>
        <v>1</v>
      </c>
      <c r="CN28" s="888">
        <f>IF(WWWW[[#This Row],['#_of_affected_households_receiving_a_sufficient_quantity_of_soap]]/WWWW[[#This Row],[Total HH]]&gt;1,1,WWWW[[#This Row],['#_of_affected_households_receiving_a_sufficient_quantity_of_soap]]/WWWW[[#This Row],[Total HH]])</f>
        <v>1</v>
      </c>
      <c r="CO28" s="455" t="str">
        <f>IF(WWWW[[#This Row],['#_students at TLS_CFS]]="","No","Yes")</f>
        <v>No</v>
      </c>
      <c r="CP28" s="452">
        <f>WWWW[[#This Row],[%_of_affected_people_surveyed_who_report_feeling_informed_about_the_different_WASH_services_available_to_them]]</f>
        <v>0.97</v>
      </c>
      <c r="CQ2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28" s="500">
        <f>IF(WWWW[[#This Row],['#_PPL_accessed_water_in_TLS]]&gt;WWWW[[#This Row],['# students access to functioning school latrines_HRP5]],WWWW[[#This Row],['#_PPL_accessed_water_in_TLS]],WWWW[[#This Row],['# students access to functioning school latrines_HRP5]])</f>
        <v>0</v>
      </c>
      <c r="CS28" s="500">
        <f>IF(WWWW[[#This Row],['#_PPL_accessed_water_in_THF]]&gt;WWWW[[#This Row],['# people access to functioning latrines in THF_HRP6]],WWWW[[#This Row],['#_PPL_accessed_water_in_THF]],WWWW[[#This Row],['# people access to functioning latrines in THF_HRP6]])</f>
        <v>0</v>
      </c>
      <c r="CT28" s="880" t="str">
        <f>VLOOKUP(WWWW[[#This Row],[Site Name]],SiteDB6[[Site Name]:[CCCM Management]],6,FALSE)</f>
        <v>Yes</v>
      </c>
      <c r="CU28" s="880" t="str">
        <f>VLOOKUP(WWWW[[#This Row],[Site Name]],SiteDB6[[Site Name]:[CCCM Focal Agency]],7,FALSE)</f>
        <v>LWF</v>
      </c>
      <c r="CV28" s="880" t="str">
        <f>VLOOKUP(WWWW[[#This Row],[Site Name]],SiteDB6[[Site Name]:[Location Type 1]],9,FALSE)</f>
        <v>Camp</v>
      </c>
      <c r="CW28" s="880" t="str">
        <f>VLOOKUP(WWWW[[#This Row],[Site Name]],SiteDB6[[Site Name]:[Type of Accommodation]],10,FALSE)</f>
        <v>Planned Camp</v>
      </c>
      <c r="CX28" s="880" t="str">
        <f>VLOOKUP(WWWW[[#This Row],[Site Name]],SiteDB6[[Site Name]:[Ethnic or GCA/NGCA]],11,FALSE)</f>
        <v>Muslim</v>
      </c>
      <c r="CY28" s="880">
        <f>VLOOKUP(WWWW[[#This Row],[Site Name]],SiteDB6[[Site Name]:[Lat]],12,FALSE)</f>
        <v>20.108101999999999</v>
      </c>
      <c r="CZ28" s="880">
        <f>VLOOKUP(WWWW[[#This Row],[Site Name]],SiteDB6[[Site Name]:[Long]],13,FALSE)</f>
        <v>92.985095000000001</v>
      </c>
      <c r="DA28" s="880" t="str">
        <f>VLOOKUP(WWWW[[#This Row],[Site Name]],SiteDB6[[Site Name]:[Pcode]],3,FALSE)</f>
        <v>MMR012CMP016</v>
      </c>
      <c r="DB28" s="893" t="str">
        <f t="shared" ref="DB28:DB48" si="1">IF(C28="none","Notcovered","Covered")</f>
        <v>Covered</v>
      </c>
      <c r="DC28" s="477">
        <f>VLOOKUP(WWWW[[#This Row],[Site Name]],SiteDB6[[Site Name]:[PWD_Total]],22,FALSE)</f>
        <v>279</v>
      </c>
      <c r="DD28" s="477">
        <f>VLOOKUP(WWWW[[#This Row],[Site Name]],SiteDB6[[Site Name]:[PWD_Total]],23,FALSE)</f>
        <v>636</v>
      </c>
      <c r="DE28" s="477">
        <f>WWWW[[#This Row],['# of Male_People with disabilities]]+WWWW[[#This Row],['# of Female_People with disabilities]]</f>
        <v>915</v>
      </c>
      <c r="DF28" s="880"/>
      <c r="DG28" s="893"/>
      <c r="DH28" s="893"/>
      <c r="DI28" s="893"/>
      <c r="DJ28" s="893">
        <f>VLOOKUP(WWWW[[#This Row],[Site Name]],SiteDB6[[Site Name]:[Pop
(CCCM as of Autust 2021)]],16,FALSE)</f>
        <v>1115</v>
      </c>
      <c r="DK28" s="893">
        <f>VLOOKUP(WWWW[[#This Row],[Site Name]],SiteDB6[[Site Name]:[Pop
(CCCM as of Autust 2021)]],17,FALSE)</f>
        <v>5197</v>
      </c>
    </row>
    <row r="29" spans="1:115">
      <c r="A29" s="873" t="s">
        <v>3144</v>
      </c>
      <c r="B29" s="878" t="s">
        <v>2270</v>
      </c>
      <c r="C29" s="879" t="s">
        <v>2270</v>
      </c>
      <c r="D29" s="879" t="s">
        <v>3184</v>
      </c>
      <c r="E29" s="845" t="s">
        <v>293</v>
      </c>
      <c r="F29" s="879" t="s">
        <v>294</v>
      </c>
      <c r="G29" s="846" t="s">
        <v>43</v>
      </c>
      <c r="H29" s="879" t="s">
        <v>413</v>
      </c>
      <c r="I29" s="881">
        <v>380</v>
      </c>
      <c r="J29" s="881">
        <v>2489</v>
      </c>
      <c r="K29" s="684">
        <f>WWWW[[#This Row],[Total PoP ]]/WWWW[[#This Row],[Total HH]]</f>
        <v>6.55</v>
      </c>
      <c r="L29" s="882">
        <v>44652</v>
      </c>
      <c r="M29" s="883">
        <v>44834</v>
      </c>
      <c r="N29" s="881"/>
      <c r="O29" s="500">
        <v>23</v>
      </c>
      <c r="P29" s="881">
        <v>23</v>
      </c>
      <c r="Q29" s="500"/>
      <c r="R29" s="500"/>
      <c r="S29" s="881"/>
      <c r="T29" s="881"/>
      <c r="U29" s="881">
        <v>21</v>
      </c>
      <c r="V29" s="884">
        <v>0.56999999999999995</v>
      </c>
      <c r="W29" s="881">
        <v>76</v>
      </c>
      <c r="X29" s="884">
        <v>0.14000000000000001</v>
      </c>
      <c r="Y29" s="881"/>
      <c r="Z29" s="500"/>
      <c r="AA29" s="500"/>
      <c r="AB29" s="885"/>
      <c r="AC29" s="881">
        <v>115</v>
      </c>
      <c r="AD29" s="881">
        <v>120</v>
      </c>
      <c r="AE29" s="881">
        <v>15</v>
      </c>
      <c r="AF29" s="881">
        <v>58</v>
      </c>
      <c r="AG29" s="884">
        <v>1</v>
      </c>
      <c r="AH29" s="884">
        <v>0.91</v>
      </c>
      <c r="AI29" s="884">
        <v>0.55000000000000004</v>
      </c>
      <c r="AJ29" s="881"/>
      <c r="AK29" s="881"/>
      <c r="AL29" s="881"/>
      <c r="AM29" s="500"/>
      <c r="AN29" s="881" t="s">
        <v>41</v>
      </c>
      <c r="AO29" s="886"/>
      <c r="AP29" s="881">
        <v>13</v>
      </c>
      <c r="AQ29" s="881">
        <v>127</v>
      </c>
      <c r="AR29" s="881">
        <v>127</v>
      </c>
      <c r="AS29" s="881">
        <v>119</v>
      </c>
      <c r="AT29" s="881">
        <v>380</v>
      </c>
      <c r="AU29" s="881">
        <v>760</v>
      </c>
      <c r="AV29" s="450">
        <v>1</v>
      </c>
      <c r="AW29" s="884">
        <v>1</v>
      </c>
      <c r="AX29" s="451"/>
      <c r="AY29" s="887"/>
      <c r="AZ29" s="450">
        <v>1</v>
      </c>
      <c r="BA29" s="450">
        <v>1</v>
      </c>
      <c r="BB29" s="450">
        <v>1</v>
      </c>
      <c r="BC29" s="450">
        <v>0.88</v>
      </c>
      <c r="BD29" s="450"/>
      <c r="BE29" s="500">
        <v>120</v>
      </c>
      <c r="BF29" s="500"/>
      <c r="BG29" s="500"/>
      <c r="BH29" s="500"/>
      <c r="BI29" s="500"/>
      <c r="BJ29" s="500"/>
      <c r="BK29" s="500"/>
      <c r="BL29" s="888" t="str">
        <f>IF(WWWW[[#This Row],['#_Water samples_Tested_at_water_source]]="","no test","Tested")</f>
        <v>Tested</v>
      </c>
      <c r="BM29" s="888" t="str">
        <f>IF(WWWW[[#This Row],['#_Water samples_Tested_at_HH]]="","no test","Tested")</f>
        <v>Tested</v>
      </c>
      <c r="BN29" s="889" t="str">
        <f>IF(AND(WWWW[[#This Row],[Water_testing_at source]]="no test",WWWW[[#This Row],[Water_testing_at HH]]="no test"),"No Test","Tested")</f>
        <v>Tested</v>
      </c>
      <c r="BO29"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9" s="890">
        <f>WWWW[[#This Row],[% HRP1]]*WWWW[[#This Row],[Total PoP ]]</f>
        <v>2489</v>
      </c>
      <c r="BQ29" s="891">
        <f>WWWW[[#This Row],[HRP1]]/500</f>
        <v>4.9779999999999998</v>
      </c>
      <c r="BR29" s="892">
        <f>1-WWWW[[#This Row],[% HRP1]]</f>
        <v>0</v>
      </c>
      <c r="BS29" s="891">
        <f>WWWW[[#This Row],[%equitable and continuous access to sufficient quantity of safe drinking and domestic water''s GAP]]*WWWW[[#This Row],[Total PoP ]]</f>
        <v>0</v>
      </c>
      <c r="BT29" s="451">
        <f>ROUND(IF(WWWW[[#This Row],[Total PoP ]]&lt;500,1,WWWW[[#This Row],[Total PoP ]]/500),0)</f>
        <v>5</v>
      </c>
      <c r="BU29" s="889">
        <f>IF(WWWW[[#This Row],[Total required water points]]-WWWW[[#This Row],['#Water points coverage]]&lt;0,0,WWWW[[#This Row],[Total required water points]]-WWWW[[#This Row],['#Water points coverage]])</f>
        <v>2.2000000000000242E-2</v>
      </c>
      <c r="BV29" s="452">
        <f>WWWW[[#This Row],[HRP2]]/WWWW[[#This Row],[Total PoP ]]</f>
        <v>0.92406588991562877</v>
      </c>
      <c r="BW29"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2300</v>
      </c>
      <c r="BX29" s="455">
        <f>IF(WWWW[[#This Row],['#_Functional_adult_latrines]]="","",WWWW[[#This Row],[Total PoP ]]/WWWW[[#This Row],['#_Functional_adult_latrines]])</f>
        <v>21.643478260869564</v>
      </c>
      <c r="BY29" s="889">
        <f>WWWW[[#This Row],['#_of_latrines_in_TLS/CFS]]*50</f>
        <v>0</v>
      </c>
      <c r="BZ29" s="451">
        <f>IF(WWWW[[#This Row],['#_of_latrines_in_THF]]="",0,WWWW[[#This Row],['#_of_latrines_in_THF]]*50)</f>
        <v>0</v>
      </c>
      <c r="CA29" s="889">
        <f>ROUND(IF(WWWW[[#This Row],[Location Type 1]]="camp",WWWW[[#This Row],[Total PoP ]]/20),0)</f>
        <v>124</v>
      </c>
      <c r="CB29" s="889">
        <f>IF(WWWW[[#This Row],[Total required Latrines]]-WWWW[[#This Row],['#_Existing_latrines]]&lt;0,0,WWWW[[#This Row],[Total required Latrines]]-WWWW[[#This Row],['#_Existing_latrines]])</f>
        <v>4</v>
      </c>
      <c r="CC29" s="892">
        <f>1-WWWW[[#This Row],[% HRP2]]</f>
        <v>7.5934110084371231E-2</v>
      </c>
      <c r="CD29" s="888">
        <f>IF(WWWW[[#This Row],['#_Existing_latrines]]="","NA",(WWWW[[#This Row],['#_Existing_latrines]]-WWWW[[#This Row],['#_Functional_adult_latrines]])/WWWW[[#This Row],['#_Existing_latrines]])</f>
        <v>4.1666666666666664E-2</v>
      </c>
      <c r="CE29"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386</v>
      </c>
      <c r="CF29" s="891">
        <f>SUM(WWWW[[#This Row],[_'#_of_Men_receiving_consultation_hygiene_promotion_messages_and_sessions]:[_'#_of_Girls_receiving_consultation_hygiene_promotion_messages_and_sessions]])-WWWW[[#This Row],['# people reached by regular dedicated hygiene promotion_5]]</f>
        <v>0</v>
      </c>
      <c r="CG29"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H29" s="889">
        <f>IF(WWWW[[#This Row],['#_of_affected_women_and_girls_receiving_a_sufficient_quantity_of_sanitary_pads]]&gt;WWWW[[#This Row],[Total PoP ]],WWWW[[#This Row],[Total PoP ]],WWWW[[#This Row],['#_of_affected_women_and_girls_receiving_a_sufficient_quantity_of_sanitary_pads]])</f>
        <v>760</v>
      </c>
      <c r="CI29" s="889">
        <f>IF(WWWW[[#This Row],['# People with access to soap]]&gt;WWWW[[#This Row],['# People with access to Sanity Pads]],WWWW[[#This Row],['# People with access to soap]],WWWW[[#This Row],['# People with access to Sanity Pads]])</f>
        <v>2489</v>
      </c>
      <c r="CJ29" s="889">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K29" s="892">
        <f>IF(WWWW[[#This Row],[HRP3]]/WWWW[[#This Row],[Total PoP ]]&gt;100%,100%,WWWW[[#This Row],[HRP3]]/WWWW[[#This Row],[Total PoP ]])</f>
        <v>1</v>
      </c>
      <c r="CL29" s="888">
        <f>1-WWWW[[#This Row],[Hygiene Coverage%]]</f>
        <v>0</v>
      </c>
      <c r="CM29" s="884">
        <f>WWWW[[#This Row],['# people reached by regular dedicated hygiene promotion_5]]/WWWW[[#This Row],[Total PoP ]]</f>
        <v>0.15508236239453596</v>
      </c>
      <c r="CN29" s="888">
        <f>IF(WWWW[[#This Row],['#_of_affected_households_receiving_a_sufficient_quantity_of_soap]]/WWWW[[#This Row],[Total HH]]&gt;1,1,WWWW[[#This Row],['#_of_affected_households_receiving_a_sufficient_quantity_of_soap]]/WWWW[[#This Row],[Total HH]])</f>
        <v>1</v>
      </c>
      <c r="CO29" s="455" t="str">
        <f>IF(WWWW[[#This Row],['#_students at TLS_CFS]]="","No","Yes")</f>
        <v>No</v>
      </c>
      <c r="CP29" s="452">
        <f>WWWW[[#This Row],[%_of_affected_people_surveyed_who_report_feeling_informed_about_the_different_WASH_services_available_to_them]]</f>
        <v>1</v>
      </c>
      <c r="CQ2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R29" s="500">
        <f>IF(WWWW[[#This Row],['#_PPL_accessed_water_in_TLS]]&gt;WWWW[[#This Row],['# students access to functioning school latrines_HRP5]],WWWW[[#This Row],['#_PPL_accessed_water_in_TLS]],WWWW[[#This Row],['# students access to functioning school latrines_HRP5]])</f>
        <v>0</v>
      </c>
      <c r="CS29" s="500">
        <f>IF(WWWW[[#This Row],['#_PPL_accessed_water_in_THF]]&gt;WWWW[[#This Row],['# people access to functioning latrines in THF_HRP6]],WWWW[[#This Row],['#_PPL_accessed_water_in_THF]],WWWW[[#This Row],['# people access to functioning latrines in THF_HRP6]])</f>
        <v>0</v>
      </c>
      <c r="CT29" s="880" t="str">
        <f>VLOOKUP(WWWW[[#This Row],[Site Name]],SiteDB6[[Site Name]:[CCCM Management]],6,FALSE)</f>
        <v>Yes</v>
      </c>
      <c r="CU29" s="880">
        <f>VLOOKUP(WWWW[[#This Row],[Site Name]],SiteDB6[[Site Name]:[CCCM Focal Agency]],7,FALSE)</f>
        <v>0</v>
      </c>
      <c r="CV29" s="880" t="str">
        <f>VLOOKUP(WWWW[[#This Row],[Site Name]],SiteDB6[[Site Name]:[Location Type 1]],9,FALSE)</f>
        <v>Camp</v>
      </c>
      <c r="CW29" s="880" t="str">
        <f>VLOOKUP(WWWW[[#This Row],[Site Name]],SiteDB6[[Site Name]:[Type of Accommodation]],10,FALSE)</f>
        <v>Planned Camp</v>
      </c>
      <c r="CX29" s="880" t="str">
        <f>VLOOKUP(WWWW[[#This Row],[Site Name]],SiteDB6[[Site Name]:[Ethnic or GCA/NGCA]],11,FALSE)</f>
        <v>Muslim</v>
      </c>
      <c r="CY29" s="880">
        <f>VLOOKUP(WWWW[[#This Row],[Site Name]],SiteDB6[[Site Name]:[Lat]],12,FALSE)</f>
        <v>20.128488999999998</v>
      </c>
      <c r="CZ29" s="880">
        <f>VLOOKUP(WWWW[[#This Row],[Site Name]],SiteDB6[[Site Name]:[Long]],13,FALSE)</f>
        <v>92.875814000000005</v>
      </c>
      <c r="DA29" s="880" t="str">
        <f>VLOOKUP(WWWW[[#This Row],[Site Name]],SiteDB6[[Site Name]:[Pcode]],3,FALSE)</f>
        <v>MMR012CMP039</v>
      </c>
      <c r="DB29" s="893" t="str">
        <f t="shared" si="1"/>
        <v>Covered</v>
      </c>
      <c r="DC29" s="477">
        <f>VLOOKUP(WWWW[[#This Row],[Site Name]],SiteDB6[[Site Name]:[PWD_Total]],22,FALSE)</f>
        <v>100</v>
      </c>
      <c r="DD29" s="477">
        <f>VLOOKUP(WWWW[[#This Row],[Site Name]],SiteDB6[[Site Name]:[PWD_Total]],23,FALSE)</f>
        <v>301</v>
      </c>
      <c r="DE29" s="477">
        <f>WWWW[[#This Row],['# of Male_People with disabilities]]+WWWW[[#This Row],['# of Female_People with disabilities]]</f>
        <v>401</v>
      </c>
      <c r="DF29" s="880"/>
      <c r="DG29" s="893"/>
      <c r="DH29" s="893"/>
      <c r="DI29" s="893"/>
      <c r="DJ29" s="893">
        <f>VLOOKUP(WWWW[[#This Row],[Site Name]],SiteDB6[[Site Name]:[Pop
(CCCM as of Autust 2021)]],16,FALSE)</f>
        <v>380</v>
      </c>
      <c r="DK29" s="893">
        <f>VLOOKUP(WWWW[[#This Row],[Site Name]],SiteDB6[[Site Name]:[Pop
(CCCM as of Autust 2021)]],17,FALSE)</f>
        <v>2435</v>
      </c>
    </row>
    <row r="30" spans="1:115">
      <c r="A30" s="873" t="s">
        <v>3144</v>
      </c>
      <c r="B30" s="878" t="s">
        <v>2270</v>
      </c>
      <c r="C30" s="879" t="s">
        <v>2270</v>
      </c>
      <c r="D30" s="879" t="s">
        <v>3184</v>
      </c>
      <c r="E30" s="845" t="s">
        <v>293</v>
      </c>
      <c r="F30" s="879" t="s">
        <v>294</v>
      </c>
      <c r="G30" s="846" t="s">
        <v>43</v>
      </c>
      <c r="H30" s="879" t="s">
        <v>424</v>
      </c>
      <c r="I30" s="881">
        <v>1012</v>
      </c>
      <c r="J30" s="881">
        <v>5101</v>
      </c>
      <c r="K30" s="684">
        <f>WWWW[[#This Row],[Total PoP ]]/WWWW[[#This Row],[Total HH]]</f>
        <v>5.0405138339920947</v>
      </c>
      <c r="L30" s="882">
        <v>44652</v>
      </c>
      <c r="M30" s="883">
        <v>44834</v>
      </c>
      <c r="N30" s="881"/>
      <c r="O30" s="500">
        <v>47</v>
      </c>
      <c r="P30" s="881">
        <v>51</v>
      </c>
      <c r="Q30" s="500"/>
      <c r="R30" s="500"/>
      <c r="S30" s="881"/>
      <c r="T30" s="881"/>
      <c r="U30" s="881">
        <v>66</v>
      </c>
      <c r="V30" s="884">
        <v>0.61</v>
      </c>
      <c r="W30" s="881">
        <v>69</v>
      </c>
      <c r="X30" s="884">
        <v>0.23</v>
      </c>
      <c r="Y30" s="881"/>
      <c r="Z30" s="500"/>
      <c r="AA30" s="500"/>
      <c r="AB30" s="885"/>
      <c r="AC30" s="881">
        <v>225</v>
      </c>
      <c r="AD30" s="881">
        <v>254</v>
      </c>
      <c r="AE30" s="881">
        <v>179</v>
      </c>
      <c r="AF30" s="881">
        <v>331</v>
      </c>
      <c r="AG30" s="884">
        <v>1</v>
      </c>
      <c r="AH30" s="884">
        <v>0.97</v>
      </c>
      <c r="AI30" s="884">
        <v>0.11</v>
      </c>
      <c r="AJ30" s="881"/>
      <c r="AK30" s="881"/>
      <c r="AL30" s="881"/>
      <c r="AM30" s="500"/>
      <c r="AN30" s="881" t="s">
        <v>41</v>
      </c>
      <c r="AO30" s="886"/>
      <c r="AP30" s="881">
        <v>51</v>
      </c>
      <c r="AQ30" s="881">
        <v>373</v>
      </c>
      <c r="AR30" s="881">
        <v>137</v>
      </c>
      <c r="AS30" s="881">
        <v>159</v>
      </c>
      <c r="AT30" s="881">
        <v>1012</v>
      </c>
      <c r="AU30" s="881">
        <v>2024</v>
      </c>
      <c r="AV30" s="450">
        <v>0.86</v>
      </c>
      <c r="AW30" s="884">
        <v>1</v>
      </c>
      <c r="AX30" s="451"/>
      <c r="AY30" s="887"/>
      <c r="AZ30" s="450">
        <v>0.94</v>
      </c>
      <c r="BA30" s="450">
        <v>0.87</v>
      </c>
      <c r="BB30" s="450">
        <v>0.91</v>
      </c>
      <c r="BC30" s="450">
        <v>0.86</v>
      </c>
      <c r="BD30" s="450"/>
      <c r="BE30" s="500">
        <v>254</v>
      </c>
      <c r="BF30" s="500"/>
      <c r="BG30" s="500"/>
      <c r="BH30" s="500"/>
      <c r="BI30" s="500"/>
      <c r="BJ30" s="500"/>
      <c r="BK30" s="500"/>
      <c r="BL30" s="888" t="str">
        <f>IF(WWWW[[#This Row],['#_Water samples_Tested_at_water_source]]="","no test","Tested")</f>
        <v>Tested</v>
      </c>
      <c r="BM30" s="888" t="str">
        <f>IF(WWWW[[#This Row],['#_Water samples_Tested_at_HH]]="","no test","Tested")</f>
        <v>Tested</v>
      </c>
      <c r="BN30" s="889" t="str">
        <f>IF(AND(WWWW[[#This Row],[Water_testing_at source]]="no test",WWWW[[#This Row],[Water_testing_at HH]]="no test"),"No Test","Tested")</f>
        <v>Tested</v>
      </c>
      <c r="BO30"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0" s="890">
        <f>WWWW[[#This Row],[% HRP1]]*WWWW[[#This Row],[Total PoP ]]</f>
        <v>5101</v>
      </c>
      <c r="BQ30" s="891">
        <f>WWWW[[#This Row],[HRP1]]/500</f>
        <v>10.202</v>
      </c>
      <c r="BR30" s="892">
        <f>1-WWWW[[#This Row],[% HRP1]]</f>
        <v>0</v>
      </c>
      <c r="BS30" s="891">
        <f>WWWW[[#This Row],[%equitable and continuous access to sufficient quantity of safe drinking and domestic water''s GAP]]*WWWW[[#This Row],[Total PoP ]]</f>
        <v>0</v>
      </c>
      <c r="BT30" s="451">
        <f>ROUND(IF(WWWW[[#This Row],[Total PoP ]]&lt;500,1,WWWW[[#This Row],[Total PoP ]]/500),0)</f>
        <v>10</v>
      </c>
      <c r="BU30" s="889">
        <f>IF(WWWW[[#This Row],[Total required water points]]-WWWW[[#This Row],['#Water points coverage]]&lt;0,0,WWWW[[#This Row],[Total required water points]]-WWWW[[#This Row],['#Water points coverage]])</f>
        <v>0</v>
      </c>
      <c r="BV30" s="452">
        <f>WWWW[[#This Row],[HRP2]]/WWWW[[#This Row],[Total PoP ]]</f>
        <v>0.88217996471280136</v>
      </c>
      <c r="BW30"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4500</v>
      </c>
      <c r="BX30" s="455">
        <f>IF(WWWW[[#This Row],['#_Functional_adult_latrines]]="","",WWWW[[#This Row],[Total PoP ]]/WWWW[[#This Row],['#_Functional_adult_latrines]])</f>
        <v>22.671111111111109</v>
      </c>
      <c r="BY30" s="889">
        <f>WWWW[[#This Row],['#_of_latrines_in_TLS/CFS]]*50</f>
        <v>0</v>
      </c>
      <c r="BZ30" s="451">
        <f>IF(WWWW[[#This Row],['#_of_latrines_in_THF]]="",0,WWWW[[#This Row],['#_of_latrines_in_THF]]*50)</f>
        <v>0</v>
      </c>
      <c r="CA30" s="889">
        <f>ROUND(IF(WWWW[[#This Row],[Location Type 1]]="camp",WWWW[[#This Row],[Total PoP ]]/20),0)</f>
        <v>255</v>
      </c>
      <c r="CB30" s="889">
        <f>IF(WWWW[[#This Row],[Total required Latrines]]-WWWW[[#This Row],['#_Existing_latrines]]&lt;0,0,WWWW[[#This Row],[Total required Latrines]]-WWWW[[#This Row],['#_Existing_latrines]])</f>
        <v>1</v>
      </c>
      <c r="CC30" s="892">
        <f>1-WWWW[[#This Row],[% HRP2]]</f>
        <v>0.11782003528719864</v>
      </c>
      <c r="CD30" s="888">
        <f>IF(WWWW[[#This Row],['#_Existing_latrines]]="","NA",(WWWW[[#This Row],['#_Existing_latrines]]-WWWW[[#This Row],['#_Functional_adult_latrines]])/WWWW[[#This Row],['#_Existing_latrines]])</f>
        <v>0.1141732283464567</v>
      </c>
      <c r="CE30"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720</v>
      </c>
      <c r="CF30" s="891">
        <f>SUM(WWWW[[#This Row],[_'#_of_Men_receiving_consultation_hygiene_promotion_messages_and_sessions]:[_'#_of_Girls_receiving_consultation_hygiene_promotion_messages_and_sessions]])-WWWW[[#This Row],['# people reached by regular dedicated hygiene promotion_5]]</f>
        <v>0</v>
      </c>
      <c r="CG30"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H30" s="889">
        <f>IF(WWWW[[#This Row],['#_of_affected_women_and_girls_receiving_a_sufficient_quantity_of_sanitary_pads]]&gt;WWWW[[#This Row],[Total PoP ]],WWWW[[#This Row],[Total PoP ]],WWWW[[#This Row],['#_of_affected_women_and_girls_receiving_a_sufficient_quantity_of_sanitary_pads]])</f>
        <v>2024</v>
      </c>
      <c r="CI30" s="889">
        <f>IF(WWWW[[#This Row],['# People with access to soap]]&gt;WWWW[[#This Row],['# People with access to Sanity Pads]],WWWW[[#This Row],['# People with access to soap]],WWWW[[#This Row],['# People with access to Sanity Pads]])</f>
        <v>5101</v>
      </c>
      <c r="CJ30" s="889">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K30" s="892">
        <f>IF(WWWW[[#This Row],[HRP3]]/WWWW[[#This Row],[Total PoP ]]&gt;100%,100%,WWWW[[#This Row],[HRP3]]/WWWW[[#This Row],[Total PoP ]])</f>
        <v>1</v>
      </c>
      <c r="CL30" s="888">
        <f>1-WWWW[[#This Row],[Hygiene Coverage%]]</f>
        <v>0</v>
      </c>
      <c r="CM30" s="884">
        <f>WWWW[[#This Row],['# people reached by regular dedicated hygiene promotion_5]]/WWWW[[#This Row],[Total PoP ]]</f>
        <v>0.14114879435404823</v>
      </c>
      <c r="CN30" s="888">
        <f>IF(WWWW[[#This Row],['#_of_affected_households_receiving_a_sufficient_quantity_of_soap]]/WWWW[[#This Row],[Total HH]]&gt;1,1,WWWW[[#This Row],['#_of_affected_households_receiving_a_sufficient_quantity_of_soap]]/WWWW[[#This Row],[Total HH]])</f>
        <v>1</v>
      </c>
      <c r="CO30" s="455" t="str">
        <f>IF(WWWW[[#This Row],['#_students at TLS_CFS]]="","No","Yes")</f>
        <v>No</v>
      </c>
      <c r="CP30" s="452">
        <f>WWWW[[#This Row],[%_of_affected_people_surveyed_who_report_feeling_informed_about_the_different_WASH_services_available_to_them]]</f>
        <v>0.91</v>
      </c>
      <c r="CQ3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R30" s="500">
        <f>IF(WWWW[[#This Row],['#_PPL_accessed_water_in_TLS]]&gt;WWWW[[#This Row],['# students access to functioning school latrines_HRP5]],WWWW[[#This Row],['#_PPL_accessed_water_in_TLS]],WWWW[[#This Row],['# students access to functioning school latrines_HRP5]])</f>
        <v>0</v>
      </c>
      <c r="CS30" s="500">
        <f>IF(WWWW[[#This Row],['#_PPL_accessed_water_in_THF]]&gt;WWWW[[#This Row],['# people access to functioning latrines in THF_HRP6]],WWWW[[#This Row],['#_PPL_accessed_water_in_THF]],WWWW[[#This Row],['# people access to functioning latrines in THF_HRP6]])</f>
        <v>0</v>
      </c>
      <c r="CT30" s="880" t="str">
        <f>VLOOKUP(WWWW[[#This Row],[Site Name]],SiteDB6[[Site Name]:[CCCM Management]],6,FALSE)</f>
        <v>Yes</v>
      </c>
      <c r="CU30" s="880">
        <f>VLOOKUP(WWWW[[#This Row],[Site Name]],SiteDB6[[Site Name]:[CCCM Focal Agency]],7,FALSE)</f>
        <v>0</v>
      </c>
      <c r="CV30" s="880" t="str">
        <f>VLOOKUP(WWWW[[#This Row],[Site Name]],SiteDB6[[Site Name]:[Location Type 1]],9,FALSE)</f>
        <v>Camp</v>
      </c>
      <c r="CW30" s="880" t="str">
        <f>VLOOKUP(WWWW[[#This Row],[Site Name]],SiteDB6[[Site Name]:[Type of Accommodation]],10,FALSE)</f>
        <v>Planned Camp</v>
      </c>
      <c r="CX30" s="880" t="str">
        <f>VLOOKUP(WWWW[[#This Row],[Site Name]],SiteDB6[[Site Name]:[Ethnic or GCA/NGCA]],11,FALSE)</f>
        <v>Muslim</v>
      </c>
      <c r="CY30" s="880">
        <f>VLOOKUP(WWWW[[#This Row],[Site Name]],SiteDB6[[Site Name]:[Lat]],12,FALSE)</f>
        <v>20.179417000000001</v>
      </c>
      <c r="CZ30" s="880">
        <f>VLOOKUP(WWWW[[#This Row],[Site Name]],SiteDB6[[Site Name]:[Long]],13,FALSE)</f>
        <v>92.813028000000003</v>
      </c>
      <c r="DA30" s="880" t="str">
        <f>VLOOKUP(WWWW[[#This Row],[Site Name]],SiteDB6[[Site Name]:[Pcode]],3,FALSE)</f>
        <v>MMR012CMP113</v>
      </c>
      <c r="DB30" s="893" t="str">
        <f t="shared" si="1"/>
        <v>Covered</v>
      </c>
      <c r="DC30" s="477">
        <f>VLOOKUP(WWWW[[#This Row],[Site Name]],SiteDB6[[Site Name]:[PWD_Total]],22,FALSE)</f>
        <v>46</v>
      </c>
      <c r="DD30" s="477">
        <f>VLOOKUP(WWWW[[#This Row],[Site Name]],SiteDB6[[Site Name]:[PWD_Total]],23,FALSE)</f>
        <v>436</v>
      </c>
      <c r="DE30" s="477">
        <f>WWWW[[#This Row],['# of Male_People with disabilities]]+WWWW[[#This Row],['# of Female_People with disabilities]]</f>
        <v>482</v>
      </c>
      <c r="DF30" s="880"/>
      <c r="DG30" s="893"/>
      <c r="DH30" s="893"/>
      <c r="DI30" s="893"/>
      <c r="DJ30" s="893">
        <f>VLOOKUP(WWWW[[#This Row],[Site Name]],SiteDB6[[Site Name]:[Pop
(CCCM as of Autust 2021)]],16,FALSE)</f>
        <v>1012</v>
      </c>
      <c r="DK30" s="893">
        <f>VLOOKUP(WWWW[[#This Row],[Site Name]],SiteDB6[[Site Name]:[Pop
(CCCM as of Autust 2021)]],17,FALSE)</f>
        <v>5066</v>
      </c>
    </row>
    <row r="31" spans="1:115">
      <c r="A31" s="873" t="s">
        <v>3144</v>
      </c>
      <c r="B31" s="878" t="s">
        <v>2270</v>
      </c>
      <c r="C31" s="879" t="s">
        <v>2270</v>
      </c>
      <c r="D31" s="879" t="s">
        <v>3184</v>
      </c>
      <c r="E31" s="845" t="s">
        <v>293</v>
      </c>
      <c r="F31" s="879" t="s">
        <v>294</v>
      </c>
      <c r="G31" s="846" t="s">
        <v>43</v>
      </c>
      <c r="H31" s="879" t="s">
        <v>426</v>
      </c>
      <c r="I31" s="881">
        <v>1346</v>
      </c>
      <c r="J31" s="881">
        <v>8728</v>
      </c>
      <c r="K31" s="684">
        <f>WWWW[[#This Row],[Total PoP ]]/WWWW[[#This Row],[Total HH]]</f>
        <v>6.4843982169390788</v>
      </c>
      <c r="L31" s="882">
        <v>44652</v>
      </c>
      <c r="M31" s="883">
        <v>44834</v>
      </c>
      <c r="N31" s="881"/>
      <c r="O31" s="500">
        <v>76</v>
      </c>
      <c r="P31" s="881">
        <v>80</v>
      </c>
      <c r="Q31" s="500"/>
      <c r="R31" s="500"/>
      <c r="S31" s="881"/>
      <c r="T31" s="881"/>
      <c r="U31" s="881">
        <v>91</v>
      </c>
      <c r="V31" s="884">
        <v>0.63</v>
      </c>
      <c r="W31" s="881">
        <v>20</v>
      </c>
      <c r="X31" s="884">
        <v>0.25</v>
      </c>
      <c r="Y31" s="881"/>
      <c r="Z31" s="500"/>
      <c r="AA31" s="500"/>
      <c r="AB31" s="885"/>
      <c r="AC31" s="881">
        <v>240</v>
      </c>
      <c r="AD31" s="881">
        <v>328</v>
      </c>
      <c r="AE31" s="881"/>
      <c r="AF31" s="881"/>
      <c r="AG31" s="884"/>
      <c r="AH31" s="884"/>
      <c r="AI31" s="884"/>
      <c r="AJ31" s="881"/>
      <c r="AK31" s="881"/>
      <c r="AL31" s="881"/>
      <c r="AM31" s="500"/>
      <c r="AN31" s="881" t="s">
        <v>41</v>
      </c>
      <c r="AO31" s="886"/>
      <c r="AP31" s="881"/>
      <c r="AQ31" s="881"/>
      <c r="AR31" s="881"/>
      <c r="AS31" s="881"/>
      <c r="AT31" s="881">
        <v>1331</v>
      </c>
      <c r="AU31" s="881">
        <v>2662</v>
      </c>
      <c r="AV31" s="450"/>
      <c r="AW31" s="884"/>
      <c r="AX31" s="451"/>
      <c r="AY31" s="887"/>
      <c r="AZ31" s="450"/>
      <c r="BA31" s="450"/>
      <c r="BB31" s="450"/>
      <c r="BC31" s="450"/>
      <c r="BD31" s="450"/>
      <c r="BE31" s="500">
        <v>382</v>
      </c>
      <c r="BF31" s="500"/>
      <c r="BG31" s="500"/>
      <c r="BH31" s="500"/>
      <c r="BI31" s="500"/>
      <c r="BJ31" s="500"/>
      <c r="BK31" s="500"/>
      <c r="BL31" s="888" t="str">
        <f>IF(WWWW[[#This Row],['#_Water samples_Tested_at_water_source]]="","no test","Tested")</f>
        <v>Tested</v>
      </c>
      <c r="BM31" s="888" t="str">
        <f>IF(WWWW[[#This Row],['#_Water samples_Tested_at_HH]]="","no test","Tested")</f>
        <v>Tested</v>
      </c>
      <c r="BN31" s="889" t="str">
        <f>IF(AND(WWWW[[#This Row],[Water_testing_at source]]="no test",WWWW[[#This Row],[Water_testing_at HH]]="no test"),"No Test","Tested")</f>
        <v>Tested</v>
      </c>
      <c r="BO31"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1" s="890">
        <f>WWWW[[#This Row],[% HRP1]]*WWWW[[#This Row],[Total PoP ]]</f>
        <v>8728</v>
      </c>
      <c r="BQ31" s="891">
        <f>WWWW[[#This Row],[HRP1]]/500</f>
        <v>17.456</v>
      </c>
      <c r="BR31" s="892">
        <f>1-WWWW[[#This Row],[% HRP1]]</f>
        <v>0</v>
      </c>
      <c r="BS31" s="891">
        <f>WWWW[[#This Row],[%equitable and continuous access to sufficient quantity of safe drinking and domestic water''s GAP]]*WWWW[[#This Row],[Total PoP ]]</f>
        <v>0</v>
      </c>
      <c r="BT31" s="451">
        <f>ROUND(IF(WWWW[[#This Row],[Total PoP ]]&lt;500,1,WWWW[[#This Row],[Total PoP ]]/500),0)</f>
        <v>17</v>
      </c>
      <c r="BU31" s="889">
        <f>IF(WWWW[[#This Row],[Total required water points]]-WWWW[[#This Row],['#Water points coverage]]&lt;0,0,WWWW[[#This Row],[Total required water points]]-WWWW[[#This Row],['#Water points coverage]])</f>
        <v>0</v>
      </c>
      <c r="BV31" s="452">
        <f>WWWW[[#This Row],[HRP2]]/WWWW[[#This Row],[Total PoP ]]</f>
        <v>0.54995417048579287</v>
      </c>
      <c r="BW31"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4800</v>
      </c>
      <c r="BX31" s="455">
        <f>IF(WWWW[[#This Row],['#_Functional_adult_latrines]]="","",WWWW[[#This Row],[Total PoP ]]/WWWW[[#This Row],['#_Functional_adult_latrines]])</f>
        <v>36.366666666666667</v>
      </c>
      <c r="BY31" s="889">
        <f>WWWW[[#This Row],['#_of_latrines_in_TLS/CFS]]*50</f>
        <v>0</v>
      </c>
      <c r="BZ31" s="451">
        <f>IF(WWWW[[#This Row],['#_of_latrines_in_THF]]="",0,WWWW[[#This Row],['#_of_latrines_in_THF]]*50)</f>
        <v>0</v>
      </c>
      <c r="CA31" s="889">
        <f>ROUND(IF(WWWW[[#This Row],[Location Type 1]]="camp",WWWW[[#This Row],[Total PoP ]]/20),0)</f>
        <v>436</v>
      </c>
      <c r="CB31" s="889">
        <f>IF(WWWW[[#This Row],[Total required Latrines]]-WWWW[[#This Row],['#_Existing_latrines]]&lt;0,0,WWWW[[#This Row],[Total required Latrines]]-WWWW[[#This Row],['#_Existing_latrines]])</f>
        <v>108</v>
      </c>
      <c r="CC31" s="892">
        <f>1-WWWW[[#This Row],[% HRP2]]</f>
        <v>0.45004582951420713</v>
      </c>
      <c r="CD31" s="888">
        <f>IF(WWWW[[#This Row],['#_Existing_latrines]]="","NA",(WWWW[[#This Row],['#_Existing_latrines]]-WWWW[[#This Row],['#_Functional_adult_latrines]])/WWWW[[#This Row],['#_Existing_latrines]])</f>
        <v>0.26829268292682928</v>
      </c>
      <c r="CE31"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31" s="891">
        <f>SUM(WWWW[[#This Row],[_'#_of_Men_receiving_consultation_hygiene_promotion_messages_and_sessions]:[_'#_of_Girls_receiving_consultation_hygiene_promotion_messages_and_sessions]])-WWWW[[#This Row],['# people reached by regular dedicated hygiene promotion_5]]</f>
        <v>0</v>
      </c>
      <c r="CG31"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H31" s="889">
        <f>IF(WWWW[[#This Row],['#_of_affected_women_and_girls_receiving_a_sufficient_quantity_of_sanitary_pads]]&gt;WWWW[[#This Row],[Total PoP ]],WWWW[[#This Row],[Total PoP ]],WWWW[[#This Row],['#_of_affected_women_and_girls_receiving_a_sufficient_quantity_of_sanitary_pads]])</f>
        <v>2662</v>
      </c>
      <c r="CI31" s="889">
        <f>IF(WWWW[[#This Row],['# People with access to soap]]&gt;WWWW[[#This Row],['# People with access to Sanity Pads]],WWWW[[#This Row],['# People with access to soap]],WWWW[[#This Row],['# People with access to Sanity Pads]])</f>
        <v>8630.7340267459131</v>
      </c>
      <c r="CJ31" s="889">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K31" s="892">
        <f>IF(WWWW[[#This Row],[HRP3]]/WWWW[[#This Row],[Total PoP ]]&gt;100%,100%,WWWW[[#This Row],[HRP3]]/WWWW[[#This Row],[Total PoP ]])</f>
        <v>0.98885586924219904</v>
      </c>
      <c r="CL31" s="888">
        <f>1-WWWW[[#This Row],[Hygiene Coverage%]]</f>
        <v>1.1144130757800963E-2</v>
      </c>
      <c r="CM31" s="884">
        <f>WWWW[[#This Row],['# people reached by regular dedicated hygiene promotion_5]]/WWWW[[#This Row],[Total PoP ]]</f>
        <v>0</v>
      </c>
      <c r="CN31" s="888">
        <f>IF(WWWW[[#This Row],['#_of_affected_households_receiving_a_sufficient_quantity_of_soap]]/WWWW[[#This Row],[Total HH]]&gt;1,1,WWWW[[#This Row],['#_of_affected_households_receiving_a_sufficient_quantity_of_soap]]/WWWW[[#This Row],[Total HH]])</f>
        <v>0.98885586924219915</v>
      </c>
      <c r="CO31" s="455" t="str">
        <f>IF(WWWW[[#This Row],['#_students at TLS_CFS]]="","No","Yes")</f>
        <v>No</v>
      </c>
      <c r="CP31" s="452">
        <f>WWWW[[#This Row],[%_of_affected_people_surveyed_who_report_feeling_informed_about_the_different_WASH_services_available_to_them]]</f>
        <v>0</v>
      </c>
      <c r="CQ3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382</v>
      </c>
      <c r="CR31" s="500">
        <f>IF(WWWW[[#This Row],['#_PPL_accessed_water_in_TLS]]&gt;WWWW[[#This Row],['# students access to functioning school latrines_HRP5]],WWWW[[#This Row],['#_PPL_accessed_water_in_TLS]],WWWW[[#This Row],['# students access to functioning school latrines_HRP5]])</f>
        <v>0</v>
      </c>
      <c r="CS31" s="500">
        <f>IF(WWWW[[#This Row],['#_PPL_accessed_water_in_THF]]&gt;WWWW[[#This Row],['# people access to functioning latrines in THF_HRP6]],WWWW[[#This Row],['#_PPL_accessed_water_in_THF]],WWWW[[#This Row],['# people access to functioning latrines in THF_HRP6]])</f>
        <v>0</v>
      </c>
      <c r="CT31" s="880" t="str">
        <f>VLOOKUP(WWWW[[#This Row],[Site Name]],SiteDB6[[Site Name]:[CCCM Management]],6,FALSE)</f>
        <v>Yes</v>
      </c>
      <c r="CU31" s="880">
        <f>VLOOKUP(WWWW[[#This Row],[Site Name]],SiteDB6[[Site Name]:[CCCM Focal Agency]],7,FALSE)</f>
        <v>0</v>
      </c>
      <c r="CV31" s="880" t="str">
        <f>VLOOKUP(WWWW[[#This Row],[Site Name]],SiteDB6[[Site Name]:[Location Type 1]],9,FALSE)</f>
        <v>Camp</v>
      </c>
      <c r="CW31" s="880" t="str">
        <f>VLOOKUP(WWWW[[#This Row],[Site Name]],SiteDB6[[Site Name]:[Type of Accommodation]],10,FALSE)</f>
        <v>Planned Camp</v>
      </c>
      <c r="CX31" s="880" t="str">
        <f>VLOOKUP(WWWW[[#This Row],[Site Name]],SiteDB6[[Site Name]:[Ethnic or GCA/NGCA]],11,FALSE)</f>
        <v>Muslim</v>
      </c>
      <c r="CY31" s="880">
        <f>VLOOKUP(WWWW[[#This Row],[Site Name]],SiteDB6[[Site Name]:[Lat]],12,FALSE)</f>
        <v>20.181405999999999</v>
      </c>
      <c r="CZ31" s="880">
        <f>VLOOKUP(WWWW[[#This Row],[Site Name]],SiteDB6[[Site Name]:[Long]],13,FALSE)</f>
        <v>92.807552000000001</v>
      </c>
      <c r="DA31" s="880" t="str">
        <f>VLOOKUP(WWWW[[#This Row],[Site Name]],SiteDB6[[Site Name]:[Pcode]],3,FALSE)</f>
        <v>MMR012CMP114</v>
      </c>
      <c r="DB31" s="893" t="str">
        <f t="shared" si="1"/>
        <v>Covered</v>
      </c>
      <c r="DC31" s="477">
        <f>VLOOKUP(WWWW[[#This Row],[Site Name]],SiteDB6[[Site Name]:[PWD_Total]],22,FALSE)</f>
        <v>242</v>
      </c>
      <c r="DD31" s="477">
        <f>VLOOKUP(WWWW[[#This Row],[Site Name]],SiteDB6[[Site Name]:[PWD_Total]],23,FALSE)</f>
        <v>822</v>
      </c>
      <c r="DE31" s="477">
        <f>WWWW[[#This Row],['# of Male_People with disabilities]]+WWWW[[#This Row],['# of Female_People with disabilities]]</f>
        <v>1064</v>
      </c>
      <c r="DF31" s="880"/>
      <c r="DG31" s="893"/>
      <c r="DH31" s="893"/>
      <c r="DI31" s="893"/>
      <c r="DJ31" s="893">
        <f>VLOOKUP(WWWW[[#This Row],[Site Name]],SiteDB6[[Site Name]:[Pop
(CCCM as of Autust 2021)]],16,FALSE)</f>
        <v>1346</v>
      </c>
      <c r="DK31" s="893">
        <f>VLOOKUP(WWWW[[#This Row],[Site Name]],SiteDB6[[Site Name]:[Pop
(CCCM as of Autust 2021)]],17,FALSE)</f>
        <v>8414</v>
      </c>
    </row>
    <row r="32" spans="1:115">
      <c r="A32" s="873" t="s">
        <v>3144</v>
      </c>
      <c r="B32" s="878" t="s">
        <v>2270</v>
      </c>
      <c r="C32" s="879" t="s">
        <v>2270</v>
      </c>
      <c r="D32" s="879" t="s">
        <v>3184</v>
      </c>
      <c r="E32" s="845" t="s">
        <v>293</v>
      </c>
      <c r="F32" s="879" t="s">
        <v>294</v>
      </c>
      <c r="G32" s="846" t="s">
        <v>43</v>
      </c>
      <c r="H32" s="879" t="s">
        <v>423</v>
      </c>
      <c r="I32" s="881">
        <v>1753</v>
      </c>
      <c r="J32" s="881">
        <v>11715</v>
      </c>
      <c r="K32" s="684">
        <f>WWWW[[#This Row],[Total PoP ]]/WWWW[[#This Row],[Total HH]]</f>
        <v>6.6828294352538506</v>
      </c>
      <c r="L32" s="882">
        <v>44652</v>
      </c>
      <c r="M32" s="883">
        <v>44834</v>
      </c>
      <c r="N32" s="881"/>
      <c r="O32" s="500">
        <v>80</v>
      </c>
      <c r="P32" s="881">
        <v>86</v>
      </c>
      <c r="Q32" s="500"/>
      <c r="R32" s="500"/>
      <c r="S32" s="881"/>
      <c r="T32" s="881"/>
      <c r="U32" s="881">
        <v>68</v>
      </c>
      <c r="V32" s="884">
        <v>0.34</v>
      </c>
      <c r="W32" s="881">
        <v>90</v>
      </c>
      <c r="X32" s="884">
        <v>0.13</v>
      </c>
      <c r="Y32" s="881"/>
      <c r="Z32" s="500"/>
      <c r="AA32" s="500"/>
      <c r="AB32" s="885"/>
      <c r="AC32" s="881">
        <v>446</v>
      </c>
      <c r="AD32" s="881">
        <v>554</v>
      </c>
      <c r="AE32" s="881">
        <v>237</v>
      </c>
      <c r="AF32" s="881">
        <v>241</v>
      </c>
      <c r="AG32" s="884">
        <v>1</v>
      </c>
      <c r="AH32" s="884">
        <v>0.94</v>
      </c>
      <c r="AI32" s="884">
        <v>0.77</v>
      </c>
      <c r="AJ32" s="881"/>
      <c r="AK32" s="881"/>
      <c r="AL32" s="881"/>
      <c r="AM32" s="500"/>
      <c r="AN32" s="881" t="s">
        <v>41</v>
      </c>
      <c r="AO32" s="886"/>
      <c r="AP32" s="881">
        <v>12</v>
      </c>
      <c r="AQ32" s="881">
        <v>212</v>
      </c>
      <c r="AR32" s="881">
        <v>183</v>
      </c>
      <c r="AS32" s="881">
        <v>96</v>
      </c>
      <c r="AT32" s="881">
        <v>1850</v>
      </c>
      <c r="AU32" s="881">
        <v>3700</v>
      </c>
      <c r="AV32" s="450">
        <v>0.96</v>
      </c>
      <c r="AW32" s="884">
        <v>1</v>
      </c>
      <c r="AX32" s="451"/>
      <c r="AY32" s="887"/>
      <c r="AZ32" s="450">
        <v>1</v>
      </c>
      <c r="BA32" s="450">
        <v>1</v>
      </c>
      <c r="BB32" s="450">
        <v>1</v>
      </c>
      <c r="BC32" s="450">
        <v>0.79</v>
      </c>
      <c r="BD32" s="450"/>
      <c r="BE32" s="500">
        <v>554</v>
      </c>
      <c r="BF32" s="500"/>
      <c r="BG32" s="500"/>
      <c r="BH32" s="500"/>
      <c r="BI32" s="500"/>
      <c r="BJ32" s="500"/>
      <c r="BK32" s="500"/>
      <c r="BL32" s="888" t="str">
        <f>IF(WWWW[[#This Row],['#_Water samples_Tested_at_water_source]]="","no test","Tested")</f>
        <v>Tested</v>
      </c>
      <c r="BM32" s="888" t="str">
        <f>IF(WWWW[[#This Row],['#_Water samples_Tested_at_HH]]="","no test","Tested")</f>
        <v>Tested</v>
      </c>
      <c r="BN32" s="889" t="str">
        <f>IF(AND(WWWW[[#This Row],[Water_testing_at source]]="no test",WWWW[[#This Row],[Water_testing_at HH]]="no test"),"No Test","Tested")</f>
        <v>Tested</v>
      </c>
      <c r="BO32"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2" s="890">
        <f>WWWW[[#This Row],[% HRP1]]*WWWW[[#This Row],[Total PoP ]]</f>
        <v>11715</v>
      </c>
      <c r="BQ32" s="891">
        <f>WWWW[[#This Row],[HRP1]]/500</f>
        <v>23.43</v>
      </c>
      <c r="BR32" s="892">
        <f>1-WWWW[[#This Row],[% HRP1]]</f>
        <v>0</v>
      </c>
      <c r="BS32" s="891">
        <f>WWWW[[#This Row],[%equitable and continuous access to sufficient quantity of safe drinking and domestic water''s GAP]]*WWWW[[#This Row],[Total PoP ]]</f>
        <v>0</v>
      </c>
      <c r="BT32" s="451">
        <f>ROUND(IF(WWWW[[#This Row],[Total PoP ]]&lt;500,1,WWWW[[#This Row],[Total PoP ]]/500),0)</f>
        <v>23</v>
      </c>
      <c r="BU32" s="889">
        <f>IF(WWWW[[#This Row],[Total required water points]]-WWWW[[#This Row],['#Water points coverage]]&lt;0,0,WWWW[[#This Row],[Total required water points]]-WWWW[[#This Row],['#Water points coverage]])</f>
        <v>0</v>
      </c>
      <c r="BV32" s="452">
        <f>WWWW[[#This Row],[HRP2]]/WWWW[[#This Row],[Total PoP ]]</f>
        <v>0.76141698676909941</v>
      </c>
      <c r="BW32"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8920</v>
      </c>
      <c r="BX32" s="455">
        <f>IF(WWWW[[#This Row],['#_Functional_adult_latrines]]="","",WWWW[[#This Row],[Total PoP ]]/WWWW[[#This Row],['#_Functional_adult_latrines]])</f>
        <v>26.266816143497756</v>
      </c>
      <c r="BY32" s="889">
        <f>WWWW[[#This Row],['#_of_latrines_in_TLS/CFS]]*50</f>
        <v>0</v>
      </c>
      <c r="BZ32" s="451">
        <f>IF(WWWW[[#This Row],['#_of_latrines_in_THF]]="",0,WWWW[[#This Row],['#_of_latrines_in_THF]]*50)</f>
        <v>0</v>
      </c>
      <c r="CA32" s="889">
        <f>ROUND(IF(WWWW[[#This Row],[Location Type 1]]="camp",WWWW[[#This Row],[Total PoP ]]/20),0)</f>
        <v>586</v>
      </c>
      <c r="CB32" s="889">
        <f>IF(WWWW[[#This Row],[Total required Latrines]]-WWWW[[#This Row],['#_Existing_latrines]]&lt;0,0,WWWW[[#This Row],[Total required Latrines]]-WWWW[[#This Row],['#_Existing_latrines]])</f>
        <v>32</v>
      </c>
      <c r="CC32" s="892">
        <f>1-WWWW[[#This Row],[% HRP2]]</f>
        <v>0.23858301323090059</v>
      </c>
      <c r="CD32" s="888">
        <f>IF(WWWW[[#This Row],['#_Existing_latrines]]="","NA",(WWWW[[#This Row],['#_Existing_latrines]]-WWWW[[#This Row],['#_Functional_adult_latrines]])/WWWW[[#This Row],['#_Existing_latrines]])</f>
        <v>0.19494584837545126</v>
      </c>
      <c r="CE32"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503</v>
      </c>
      <c r="CF32" s="891">
        <f>SUM(WWWW[[#This Row],[_'#_of_Men_receiving_consultation_hygiene_promotion_messages_and_sessions]:[_'#_of_Girls_receiving_consultation_hygiene_promotion_messages_and_sessions]])-WWWW[[#This Row],['# people reached by regular dedicated hygiene promotion_5]]</f>
        <v>0</v>
      </c>
      <c r="CG32"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H32" s="889">
        <f>IF(WWWW[[#This Row],['#_of_affected_women_and_girls_receiving_a_sufficient_quantity_of_sanitary_pads]]&gt;WWWW[[#This Row],[Total PoP ]],WWWW[[#This Row],[Total PoP ]],WWWW[[#This Row],['#_of_affected_women_and_girls_receiving_a_sufficient_quantity_of_sanitary_pads]])</f>
        <v>3700</v>
      </c>
      <c r="CI32" s="889">
        <f>IF(WWWW[[#This Row],['# People with access to soap]]&gt;WWWW[[#This Row],['# People with access to Sanity Pads]],WWWW[[#This Row],['# People with access to soap]],WWWW[[#This Row],['# People with access to Sanity Pads]])</f>
        <v>11715</v>
      </c>
      <c r="CJ32" s="889">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K32" s="892">
        <f>IF(WWWW[[#This Row],[HRP3]]/WWWW[[#This Row],[Total PoP ]]&gt;100%,100%,WWWW[[#This Row],[HRP3]]/WWWW[[#This Row],[Total PoP ]])</f>
        <v>1</v>
      </c>
      <c r="CL32" s="888">
        <f>1-WWWW[[#This Row],[Hygiene Coverage%]]</f>
        <v>0</v>
      </c>
      <c r="CM32" s="884">
        <f>WWWW[[#This Row],['# people reached by regular dedicated hygiene promotion_5]]/WWWW[[#This Row],[Total PoP ]]</f>
        <v>4.2936406316688006E-2</v>
      </c>
      <c r="CN32" s="888">
        <f>IF(WWWW[[#This Row],['#_of_affected_households_receiving_a_sufficient_quantity_of_soap]]/WWWW[[#This Row],[Total HH]]&gt;1,1,WWWW[[#This Row],['#_of_affected_households_receiving_a_sufficient_quantity_of_soap]]/WWWW[[#This Row],[Total HH]])</f>
        <v>1</v>
      </c>
      <c r="CO32" s="455" t="str">
        <f>IF(WWWW[[#This Row],['#_students at TLS_CFS]]="","No","Yes")</f>
        <v>No</v>
      </c>
      <c r="CP32" s="452">
        <f>WWWW[[#This Row],[%_of_affected_people_surveyed_who_report_feeling_informed_about_the_different_WASH_services_available_to_them]]</f>
        <v>1</v>
      </c>
      <c r="CQ3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554</v>
      </c>
      <c r="CR32" s="500">
        <f>IF(WWWW[[#This Row],['#_PPL_accessed_water_in_TLS]]&gt;WWWW[[#This Row],['# students access to functioning school latrines_HRP5]],WWWW[[#This Row],['#_PPL_accessed_water_in_TLS]],WWWW[[#This Row],['# students access to functioning school latrines_HRP5]])</f>
        <v>0</v>
      </c>
      <c r="CS32" s="500">
        <f>IF(WWWW[[#This Row],['#_PPL_accessed_water_in_THF]]&gt;WWWW[[#This Row],['# people access to functioning latrines in THF_HRP6]],WWWW[[#This Row],['#_PPL_accessed_water_in_THF]],WWWW[[#This Row],['# people access to functioning latrines in THF_HRP6]])</f>
        <v>0</v>
      </c>
      <c r="CT32" s="880" t="str">
        <f>VLOOKUP(WWWW[[#This Row],[Site Name]],SiteDB6[[Site Name]:[CCCM Management]],6,FALSE)</f>
        <v>Yes</v>
      </c>
      <c r="CU32" s="880">
        <f>VLOOKUP(WWWW[[#This Row],[Site Name]],SiteDB6[[Site Name]:[CCCM Focal Agency]],7,FALSE)</f>
        <v>0</v>
      </c>
      <c r="CV32" s="880" t="str">
        <f>VLOOKUP(WWWW[[#This Row],[Site Name]],SiteDB6[[Site Name]:[Location Type 1]],9,FALSE)</f>
        <v>Camp</v>
      </c>
      <c r="CW32" s="880" t="str">
        <f>VLOOKUP(WWWW[[#This Row],[Site Name]],SiteDB6[[Site Name]:[Type of Accommodation]],10,FALSE)</f>
        <v>Planned Camp</v>
      </c>
      <c r="CX32" s="880" t="str">
        <f>VLOOKUP(WWWW[[#This Row],[Site Name]],SiteDB6[[Site Name]:[Ethnic or GCA/NGCA]],11,FALSE)</f>
        <v>Muslim</v>
      </c>
      <c r="CY32" s="880">
        <f>VLOOKUP(WWWW[[#This Row],[Site Name]],SiteDB6[[Site Name]:[Lat]],12,FALSE)</f>
        <v>20.16846</v>
      </c>
      <c r="CZ32" s="880">
        <f>VLOOKUP(WWWW[[#This Row],[Site Name]],SiteDB6[[Site Name]:[Long]],13,FALSE)</f>
        <v>92.827427</v>
      </c>
      <c r="DA32" s="880" t="str">
        <f>VLOOKUP(WWWW[[#This Row],[Site Name]],SiteDB6[[Site Name]:[Pcode]],3,FALSE)</f>
        <v>MMR012CMP041</v>
      </c>
      <c r="DB32" s="893" t="str">
        <f t="shared" si="1"/>
        <v>Covered</v>
      </c>
      <c r="DC32" s="477">
        <f>VLOOKUP(WWWW[[#This Row],[Site Name]],SiteDB6[[Site Name]:[PWD_Total]],22,FALSE)</f>
        <v>104</v>
      </c>
      <c r="DD32" s="477">
        <f>VLOOKUP(WWWW[[#This Row],[Site Name]],SiteDB6[[Site Name]:[PWD_Total]],23,FALSE)</f>
        <v>810</v>
      </c>
      <c r="DE32" s="477">
        <f>WWWW[[#This Row],['# of Male_People with disabilities]]+WWWW[[#This Row],['# of Female_People with disabilities]]</f>
        <v>914</v>
      </c>
      <c r="DF32" s="880"/>
      <c r="DG32" s="893"/>
      <c r="DH32" s="893"/>
      <c r="DI32" s="893"/>
      <c r="DJ32" s="893">
        <f>VLOOKUP(WWWW[[#This Row],[Site Name]],SiteDB6[[Site Name]:[Pop
(CCCM as of Autust 2021)]],16,FALSE)</f>
        <v>1713</v>
      </c>
      <c r="DK32" s="893">
        <f>VLOOKUP(WWWW[[#This Row],[Site Name]],SiteDB6[[Site Name]:[Pop
(CCCM as of Autust 2021)]],17,FALSE)</f>
        <v>11460</v>
      </c>
    </row>
    <row r="33" spans="1:115">
      <c r="A33" s="873" t="s">
        <v>3144</v>
      </c>
      <c r="B33" s="878" t="s">
        <v>2269</v>
      </c>
      <c r="C33" s="879" t="s">
        <v>2620</v>
      </c>
      <c r="D33" s="879" t="s">
        <v>3184</v>
      </c>
      <c r="E33" s="845" t="s">
        <v>293</v>
      </c>
      <c r="F33" s="879" t="s">
        <v>294</v>
      </c>
      <c r="G33" s="846" t="s">
        <v>43</v>
      </c>
      <c r="H33" s="879" t="s">
        <v>2271</v>
      </c>
      <c r="I33" s="881">
        <v>400</v>
      </c>
      <c r="J33" s="881">
        <v>2248</v>
      </c>
      <c r="K33" s="684">
        <f>WWWW[[#This Row],[Total PoP ]]/WWWW[[#This Row],[Total HH]]</f>
        <v>5.62</v>
      </c>
      <c r="L33" s="882">
        <v>44652</v>
      </c>
      <c r="M33" s="883">
        <v>44834</v>
      </c>
      <c r="N33" s="881"/>
      <c r="O33" s="500">
        <v>43</v>
      </c>
      <c r="P33" s="881">
        <v>53</v>
      </c>
      <c r="Q33" s="500"/>
      <c r="R33" s="500"/>
      <c r="S33" s="881"/>
      <c r="T33" s="881"/>
      <c r="U33" s="881">
        <v>10</v>
      </c>
      <c r="V33" s="884">
        <v>0.4</v>
      </c>
      <c r="W33" s="881"/>
      <c r="X33" s="884"/>
      <c r="Y33" s="881"/>
      <c r="Z33" s="500"/>
      <c r="AA33" s="500"/>
      <c r="AB33" s="885"/>
      <c r="AC33" s="881">
        <v>86</v>
      </c>
      <c r="AD33" s="881">
        <v>116</v>
      </c>
      <c r="AE33" s="881">
        <v>56</v>
      </c>
      <c r="AF33" s="881">
        <v>57</v>
      </c>
      <c r="AG33" s="884">
        <v>1</v>
      </c>
      <c r="AH33" s="884">
        <v>0.64</v>
      </c>
      <c r="AI33" s="884">
        <v>0.73</v>
      </c>
      <c r="AJ33" s="881">
        <v>12</v>
      </c>
      <c r="AK33" s="881">
        <v>29</v>
      </c>
      <c r="AL33" s="881">
        <v>4</v>
      </c>
      <c r="AM33" s="500"/>
      <c r="AN33" s="881" t="s">
        <v>41</v>
      </c>
      <c r="AO33" s="886"/>
      <c r="AP33" s="881">
        <v>501</v>
      </c>
      <c r="AQ33" s="881">
        <v>661</v>
      </c>
      <c r="AR33" s="881"/>
      <c r="AS33" s="881"/>
      <c r="AT33" s="881">
        <v>392</v>
      </c>
      <c r="AU33" s="881">
        <v>784</v>
      </c>
      <c r="AV33" s="450">
        <v>1</v>
      </c>
      <c r="AW33" s="884">
        <v>1</v>
      </c>
      <c r="AX33" s="451">
        <v>5</v>
      </c>
      <c r="AY33" s="887"/>
      <c r="AZ33" s="450">
        <v>1</v>
      </c>
      <c r="BA33" s="450">
        <v>1</v>
      </c>
      <c r="BB33" s="450">
        <v>1</v>
      </c>
      <c r="BC33" s="450">
        <v>1</v>
      </c>
      <c r="BD33" s="450"/>
      <c r="BE33" s="500"/>
      <c r="BF33" s="500"/>
      <c r="BG33" s="500"/>
      <c r="BH33" s="500"/>
      <c r="BI33" s="500"/>
      <c r="BJ33" s="500"/>
      <c r="BK33" s="500"/>
      <c r="BL33" s="888" t="str">
        <f>IF(WWWW[[#This Row],['#_Water samples_Tested_at_water_source]]="","no test","Tested")</f>
        <v>Tested</v>
      </c>
      <c r="BM33" s="888" t="str">
        <f>IF(WWWW[[#This Row],['#_Water samples_Tested_at_HH]]="","no test","Tested")</f>
        <v>no test</v>
      </c>
      <c r="BN33" s="889" t="str">
        <f>IF(AND(WWWW[[#This Row],[Water_testing_at source]]="no test",WWWW[[#This Row],[Water_testing_at HH]]="no test"),"No Test","Tested")</f>
        <v>Tested</v>
      </c>
      <c r="BO33"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3" s="890">
        <f>WWWW[[#This Row],[% HRP1]]*WWWW[[#This Row],[Total PoP ]]</f>
        <v>2248</v>
      </c>
      <c r="BQ33" s="891">
        <f>WWWW[[#This Row],[HRP1]]/500</f>
        <v>4.4960000000000004</v>
      </c>
      <c r="BR33" s="892">
        <f>1-WWWW[[#This Row],[% HRP1]]</f>
        <v>0</v>
      </c>
      <c r="BS33" s="891">
        <f>WWWW[[#This Row],[%equitable and continuous access to sufficient quantity of safe drinking and domestic water''s GAP]]*WWWW[[#This Row],[Total PoP ]]</f>
        <v>0</v>
      </c>
      <c r="BT33" s="451">
        <f>ROUND(IF(WWWW[[#This Row],[Total PoP ]]&lt;500,1,WWWW[[#This Row],[Total PoP ]]/500),0)</f>
        <v>4</v>
      </c>
      <c r="BU33" s="889">
        <f>IF(WWWW[[#This Row],[Total required water points]]-WWWW[[#This Row],['#Water points coverage]]&lt;0,0,WWWW[[#This Row],[Total required water points]]-WWWW[[#This Row],['#Water points coverage]])</f>
        <v>0</v>
      </c>
      <c r="BV33" s="452">
        <f>WWWW[[#This Row],[HRP2]]/WWWW[[#This Row],[Total PoP ]]</f>
        <v>0.88478647686832745</v>
      </c>
      <c r="BW33"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1989</v>
      </c>
      <c r="BX33" s="455">
        <f>IF(WWWW[[#This Row],['#_Functional_adult_latrines]]="","",WWWW[[#This Row],[Total PoP ]]/WWWW[[#This Row],['#_Functional_adult_latrines]])</f>
        <v>26.13953488372093</v>
      </c>
      <c r="BY33" s="889">
        <f>WWWW[[#This Row],['#_of_latrines_in_TLS/CFS]]*50</f>
        <v>200</v>
      </c>
      <c r="BZ33" s="451">
        <f>IF(WWWW[[#This Row],['#_of_latrines_in_THF]]="",0,WWWW[[#This Row],['#_of_latrines_in_THF]]*50)</f>
        <v>0</v>
      </c>
      <c r="CA33" s="889">
        <f>ROUND(IF(WWWW[[#This Row],[Location Type 1]]="camp",WWWW[[#This Row],[Total PoP ]]/20),0)</f>
        <v>112</v>
      </c>
      <c r="CB33" s="889">
        <f>IF(WWWW[[#This Row],[Total required Latrines]]-WWWW[[#This Row],['#_Existing_latrines]]&lt;0,0,WWWW[[#This Row],[Total required Latrines]]-WWWW[[#This Row],['#_Existing_latrines]])</f>
        <v>0</v>
      </c>
      <c r="CC33" s="892">
        <f>1-WWWW[[#This Row],[% HRP2]]</f>
        <v>0.11521352313167255</v>
      </c>
      <c r="CD33" s="888">
        <f>IF(WWWW[[#This Row],['#_Existing_latrines]]="","NA",(WWWW[[#This Row],['#_Existing_latrines]]-WWWW[[#This Row],['#_Functional_adult_latrines]])/WWWW[[#This Row],['#_Existing_latrines]])</f>
        <v>0.25862068965517243</v>
      </c>
      <c r="CE33"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1162</v>
      </c>
      <c r="CF33" s="891">
        <f>SUM(WWWW[[#This Row],[_'#_of_Men_receiving_consultation_hygiene_promotion_messages_and_sessions]:[_'#_of_Girls_receiving_consultation_hygiene_promotion_messages_and_sessions]])-WWWW[[#This Row],['# people reached by regular dedicated hygiene promotion_5]]</f>
        <v>0</v>
      </c>
      <c r="CG33"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H33" s="889">
        <f>IF(WWWW[[#This Row],['#_of_affected_women_and_girls_receiving_a_sufficient_quantity_of_sanitary_pads]]&gt;WWWW[[#This Row],[Total PoP ]],WWWW[[#This Row],[Total PoP ]],WWWW[[#This Row],['#_of_affected_women_and_girls_receiving_a_sufficient_quantity_of_sanitary_pads]])</f>
        <v>784</v>
      </c>
      <c r="CI33" s="889">
        <f>IF(WWWW[[#This Row],['# People with access to soap]]&gt;WWWW[[#This Row],['# People with access to Sanity Pads]],WWWW[[#This Row],['# People with access to soap]],WWWW[[#This Row],['# People with access to Sanity Pads]])</f>
        <v>2203.04</v>
      </c>
      <c r="CJ33" s="889">
        <f>IF(WWWW[[#This Row],['# people reached by regular dedicated hygiene promotion_5]]&gt;WWWW[[#This Row],['# People received regular supply of hygiene items_6]],WWWW[[#This Row],['# people reached by regular dedicated hygiene promotion_5]],WWWW[[#This Row],['# People received regular supply of hygiene items_6]])</f>
        <v>2203.04</v>
      </c>
      <c r="CK33" s="892">
        <f>IF(WWWW[[#This Row],[HRP3]]/WWWW[[#This Row],[Total PoP ]]&gt;100%,100%,WWWW[[#This Row],[HRP3]]/WWWW[[#This Row],[Total PoP ]])</f>
        <v>0.98</v>
      </c>
      <c r="CL33" s="888">
        <f>1-WWWW[[#This Row],[Hygiene Coverage%]]</f>
        <v>2.0000000000000018E-2</v>
      </c>
      <c r="CM33" s="884">
        <f>WWWW[[#This Row],['# people reached by regular dedicated hygiene promotion_5]]/WWWW[[#This Row],[Total PoP ]]</f>
        <v>0.51690391459074736</v>
      </c>
      <c r="CN33" s="888">
        <f>IF(WWWW[[#This Row],['#_of_affected_households_receiving_a_sufficient_quantity_of_soap]]/WWWW[[#This Row],[Total HH]]&gt;1,1,WWWW[[#This Row],['#_of_affected_households_receiving_a_sufficient_quantity_of_soap]]/WWWW[[#This Row],[Total HH]])</f>
        <v>0.98</v>
      </c>
      <c r="CO33" s="455" t="str">
        <f>IF(WWWW[[#This Row],['#_students at TLS_CFS]]="","No","Yes")</f>
        <v>No</v>
      </c>
      <c r="CP33" s="452">
        <f>WWWW[[#This Row],[%_of_affected_people_surveyed_who_report_feeling_informed_about_the_different_WASH_services_available_to_them]]</f>
        <v>1</v>
      </c>
      <c r="CQ3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33" s="500">
        <f>IF(WWWW[[#This Row],['#_PPL_accessed_water_in_TLS]]&gt;WWWW[[#This Row],['# students access to functioning school latrines_HRP5]],WWWW[[#This Row],['#_PPL_accessed_water_in_TLS]],WWWW[[#This Row],['# students access to functioning school latrines_HRP5]])</f>
        <v>200</v>
      </c>
      <c r="CS33" s="500">
        <f>IF(WWWW[[#This Row],['#_PPL_accessed_water_in_THF]]&gt;WWWW[[#This Row],['# people access to functioning latrines in THF_HRP6]],WWWW[[#This Row],['#_PPL_accessed_water_in_THF]],WWWW[[#This Row],['# people access to functioning latrines in THF_HRP6]])</f>
        <v>0</v>
      </c>
      <c r="CT33" s="880" t="str">
        <f>VLOOKUP(WWWW[[#This Row],[Site Name]],SiteDB6[[Site Name]:[CCCM Management]],6,FALSE)</f>
        <v>Yes</v>
      </c>
      <c r="CU33" s="880">
        <f>VLOOKUP(WWWW[[#This Row],[Site Name]],SiteDB6[[Site Name]:[CCCM Focal Agency]],7,FALSE)</f>
        <v>0</v>
      </c>
      <c r="CV33" s="880" t="str">
        <f>VLOOKUP(WWWW[[#This Row],[Site Name]],SiteDB6[[Site Name]:[Location Type 1]],9,FALSE)</f>
        <v>Camp</v>
      </c>
      <c r="CW33" s="880" t="str">
        <f>VLOOKUP(WWWW[[#This Row],[Site Name]],SiteDB6[[Site Name]:[Type of Accommodation]],10,FALSE)</f>
        <v>Planned Camp</v>
      </c>
      <c r="CX33" s="880" t="str">
        <f>VLOOKUP(WWWW[[#This Row],[Site Name]],SiteDB6[[Site Name]:[Ethnic or GCA/NGCA]],11,FALSE)</f>
        <v>Muslim</v>
      </c>
      <c r="CY33" s="880">
        <f>VLOOKUP(WWWW[[#This Row],[Site Name]],SiteDB6[[Site Name]:[Lat]],12,FALSE)</f>
        <v>20.181778000000001</v>
      </c>
      <c r="CZ33" s="880">
        <f>VLOOKUP(WWWW[[#This Row],[Site Name]],SiteDB6[[Site Name]:[Long]],13,FALSE)</f>
        <v>92.823166999999998</v>
      </c>
      <c r="DA33" s="880" t="str">
        <f>VLOOKUP(WWWW[[#This Row],[Site Name]],SiteDB6[[Site Name]:[Pcode]],3,FALSE)</f>
        <v>MMR012CMP042</v>
      </c>
      <c r="DB33" s="893" t="str">
        <f t="shared" si="1"/>
        <v>Covered</v>
      </c>
      <c r="DC33" s="477">
        <f>VLOOKUP(WWWW[[#This Row],[Site Name]],SiteDB6[[Site Name]:[PWD_Total]],22,FALSE)</f>
        <v>47</v>
      </c>
      <c r="DD33" s="477">
        <f>VLOOKUP(WWWW[[#This Row],[Site Name]],SiteDB6[[Site Name]:[PWD_Total]],23,FALSE)</f>
        <v>306</v>
      </c>
      <c r="DE33" s="477">
        <f>WWWW[[#This Row],['# of Male_People with disabilities]]+WWWW[[#This Row],['# of Female_People with disabilities]]</f>
        <v>353</v>
      </c>
      <c r="DF33" s="880"/>
      <c r="DG33" s="893"/>
      <c r="DH33" s="893"/>
      <c r="DI33" s="893"/>
      <c r="DJ33" s="893">
        <f>VLOOKUP(WWWW[[#This Row],[Site Name]],SiteDB6[[Site Name]:[Pop
(CCCM as of Autust 2021)]],16,FALSE)</f>
        <v>392</v>
      </c>
      <c r="DK33" s="893">
        <f>VLOOKUP(WWWW[[#This Row],[Site Name]],SiteDB6[[Site Name]:[Pop
(CCCM as of Autust 2021)]],17,FALSE)</f>
        <v>2455</v>
      </c>
    </row>
    <row r="34" spans="1:115">
      <c r="A34" s="873" t="s">
        <v>3144</v>
      </c>
      <c r="B34" s="878" t="s">
        <v>2270</v>
      </c>
      <c r="C34" s="879" t="s">
        <v>2270</v>
      </c>
      <c r="D34" s="879" t="s">
        <v>3184</v>
      </c>
      <c r="E34" s="845" t="s">
        <v>293</v>
      </c>
      <c r="F34" s="879" t="s">
        <v>294</v>
      </c>
      <c r="G34" s="846" t="s">
        <v>43</v>
      </c>
      <c r="H34" s="879" t="s">
        <v>2272</v>
      </c>
      <c r="I34" s="881">
        <v>400</v>
      </c>
      <c r="J34" s="881">
        <v>2262</v>
      </c>
      <c r="K34" s="684">
        <f>WWWW[[#This Row],[Total PoP ]]/WWWW[[#This Row],[Total HH]]</f>
        <v>5.6550000000000002</v>
      </c>
      <c r="L34" s="882">
        <v>44652</v>
      </c>
      <c r="M34" s="883">
        <v>44834</v>
      </c>
      <c r="N34" s="881"/>
      <c r="O34" s="500">
        <v>22</v>
      </c>
      <c r="P34" s="881">
        <v>25</v>
      </c>
      <c r="Q34" s="500"/>
      <c r="R34" s="500"/>
      <c r="S34" s="881"/>
      <c r="T34" s="881"/>
      <c r="U34" s="881">
        <v>4</v>
      </c>
      <c r="V34" s="884">
        <v>0.5</v>
      </c>
      <c r="W34" s="881"/>
      <c r="X34" s="884"/>
      <c r="Y34" s="881"/>
      <c r="Z34" s="500"/>
      <c r="AA34" s="500"/>
      <c r="AB34" s="885"/>
      <c r="AC34" s="881">
        <v>91</v>
      </c>
      <c r="AD34" s="881">
        <v>104</v>
      </c>
      <c r="AE34" s="881">
        <v>56</v>
      </c>
      <c r="AF34" s="881">
        <v>46</v>
      </c>
      <c r="AG34" s="884">
        <v>1</v>
      </c>
      <c r="AH34" s="884">
        <v>1</v>
      </c>
      <c r="AI34" s="884">
        <v>0.36</v>
      </c>
      <c r="AJ34" s="881"/>
      <c r="AK34" s="881"/>
      <c r="AL34" s="881"/>
      <c r="AM34" s="500"/>
      <c r="AN34" s="881" t="s">
        <v>41</v>
      </c>
      <c r="AO34" s="886"/>
      <c r="AP34" s="881">
        <v>11</v>
      </c>
      <c r="AQ34" s="881">
        <v>105</v>
      </c>
      <c r="AR34" s="881">
        <v>30</v>
      </c>
      <c r="AS34" s="881">
        <v>44</v>
      </c>
      <c r="AT34" s="881">
        <v>400</v>
      </c>
      <c r="AU34" s="881">
        <v>800</v>
      </c>
      <c r="AV34" s="450">
        <v>0.88</v>
      </c>
      <c r="AW34" s="884">
        <v>1</v>
      </c>
      <c r="AX34" s="451"/>
      <c r="AY34" s="887"/>
      <c r="AZ34" s="450">
        <v>0.91</v>
      </c>
      <c r="BA34" s="450">
        <v>1</v>
      </c>
      <c r="BB34" s="450">
        <v>0.91</v>
      </c>
      <c r="BC34" s="450">
        <v>0.86</v>
      </c>
      <c r="BD34" s="450"/>
      <c r="BE34" s="500">
        <v>104</v>
      </c>
      <c r="BF34" s="500"/>
      <c r="BG34" s="500"/>
      <c r="BH34" s="500"/>
      <c r="BI34" s="500"/>
      <c r="BJ34" s="500"/>
      <c r="BK34" s="500"/>
      <c r="BL34" s="888" t="str">
        <f>IF(WWWW[[#This Row],['#_Water samples_Tested_at_water_source]]="","no test","Tested")</f>
        <v>Tested</v>
      </c>
      <c r="BM34" s="888" t="str">
        <f>IF(WWWW[[#This Row],['#_Water samples_Tested_at_HH]]="","no test","Tested")</f>
        <v>no test</v>
      </c>
      <c r="BN34" s="889" t="str">
        <f>IF(AND(WWWW[[#This Row],[Water_testing_at source]]="no test",WWWW[[#This Row],[Water_testing_at HH]]="no test"),"No Test","Tested")</f>
        <v>Tested</v>
      </c>
      <c r="BO34"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4" s="890">
        <f>WWWW[[#This Row],[% HRP1]]*WWWW[[#This Row],[Total PoP ]]</f>
        <v>2262</v>
      </c>
      <c r="BQ34" s="891">
        <f>WWWW[[#This Row],[HRP1]]/500</f>
        <v>4.524</v>
      </c>
      <c r="BR34" s="892">
        <f>1-WWWW[[#This Row],[% HRP1]]</f>
        <v>0</v>
      </c>
      <c r="BS34" s="891">
        <f>WWWW[[#This Row],[%equitable and continuous access to sufficient quantity of safe drinking and domestic water''s GAP]]*WWWW[[#This Row],[Total PoP ]]</f>
        <v>0</v>
      </c>
      <c r="BT34" s="451">
        <f>ROUND(IF(WWWW[[#This Row],[Total PoP ]]&lt;500,1,WWWW[[#This Row],[Total PoP ]]/500),0)</f>
        <v>5</v>
      </c>
      <c r="BU34" s="889">
        <f>IF(WWWW[[#This Row],[Total required water points]]-WWWW[[#This Row],['#Water points coverage]]&lt;0,0,WWWW[[#This Row],[Total required water points]]-WWWW[[#This Row],['#Water points coverage]])</f>
        <v>0.47599999999999998</v>
      </c>
      <c r="BV34" s="452">
        <f>WWWW[[#This Row],[HRP2]]/WWWW[[#This Row],[Total PoP ]]</f>
        <v>0.8045977011494253</v>
      </c>
      <c r="BW34"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1820</v>
      </c>
      <c r="BX34" s="455">
        <f>IF(WWWW[[#This Row],['#_Functional_adult_latrines]]="","",WWWW[[#This Row],[Total PoP ]]/WWWW[[#This Row],['#_Functional_adult_latrines]])</f>
        <v>24.857142857142858</v>
      </c>
      <c r="BY34" s="889">
        <f>WWWW[[#This Row],['#_of_latrines_in_TLS/CFS]]*50</f>
        <v>0</v>
      </c>
      <c r="BZ34" s="451">
        <f>IF(WWWW[[#This Row],['#_of_latrines_in_THF]]="",0,WWWW[[#This Row],['#_of_latrines_in_THF]]*50)</f>
        <v>0</v>
      </c>
      <c r="CA34" s="889">
        <f>ROUND(IF(WWWW[[#This Row],[Location Type 1]]="camp",WWWW[[#This Row],[Total PoP ]]/20),0)</f>
        <v>113</v>
      </c>
      <c r="CB34" s="889">
        <f>IF(WWWW[[#This Row],[Total required Latrines]]-WWWW[[#This Row],['#_Existing_latrines]]&lt;0,0,WWWW[[#This Row],[Total required Latrines]]-WWWW[[#This Row],['#_Existing_latrines]])</f>
        <v>9</v>
      </c>
      <c r="CC34" s="892">
        <f>1-WWWW[[#This Row],[% HRP2]]</f>
        <v>0.1954022988505747</v>
      </c>
      <c r="CD34" s="888">
        <f>IF(WWWW[[#This Row],['#_Existing_latrines]]="","NA",(WWWW[[#This Row],['#_Existing_latrines]]-WWWW[[#This Row],['#_Functional_adult_latrines]])/WWWW[[#This Row],['#_Existing_latrines]])</f>
        <v>0.125</v>
      </c>
      <c r="CE34"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190</v>
      </c>
      <c r="CF34" s="891">
        <f>SUM(WWWW[[#This Row],[_'#_of_Men_receiving_consultation_hygiene_promotion_messages_and_sessions]:[_'#_of_Girls_receiving_consultation_hygiene_promotion_messages_and_sessions]])-WWWW[[#This Row],['# people reached by regular dedicated hygiene promotion_5]]</f>
        <v>0</v>
      </c>
      <c r="CG34"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H34" s="889">
        <f>IF(WWWW[[#This Row],['#_of_affected_women_and_girls_receiving_a_sufficient_quantity_of_sanitary_pads]]&gt;WWWW[[#This Row],[Total PoP ]],WWWW[[#This Row],[Total PoP ]],WWWW[[#This Row],['#_of_affected_women_and_girls_receiving_a_sufficient_quantity_of_sanitary_pads]])</f>
        <v>800</v>
      </c>
      <c r="CI34" s="889">
        <f>IF(WWWW[[#This Row],['# People with access to soap]]&gt;WWWW[[#This Row],['# People with access to Sanity Pads]],WWWW[[#This Row],['# People with access to soap]],WWWW[[#This Row],['# People with access to Sanity Pads]])</f>
        <v>2262</v>
      </c>
      <c r="CJ34" s="889">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K34" s="892">
        <f>IF(WWWW[[#This Row],[HRP3]]/WWWW[[#This Row],[Total PoP ]]&gt;100%,100%,WWWW[[#This Row],[HRP3]]/WWWW[[#This Row],[Total PoP ]])</f>
        <v>1</v>
      </c>
      <c r="CL34" s="888">
        <f>1-WWWW[[#This Row],[Hygiene Coverage%]]</f>
        <v>0</v>
      </c>
      <c r="CM34" s="884">
        <f>WWWW[[#This Row],['# people reached by regular dedicated hygiene promotion_5]]/WWWW[[#This Row],[Total PoP ]]</f>
        <v>8.3996463306808128E-2</v>
      </c>
      <c r="CN34" s="888">
        <f>IF(WWWW[[#This Row],['#_of_affected_households_receiving_a_sufficient_quantity_of_soap]]/WWWW[[#This Row],[Total HH]]&gt;1,1,WWWW[[#This Row],['#_of_affected_households_receiving_a_sufficient_quantity_of_soap]]/WWWW[[#This Row],[Total HH]])</f>
        <v>1</v>
      </c>
      <c r="CO34" s="455" t="str">
        <f>IF(WWWW[[#This Row],['#_students at TLS_CFS]]="","No","Yes")</f>
        <v>No</v>
      </c>
      <c r="CP34" s="452">
        <f>WWWW[[#This Row],[%_of_affected_people_surveyed_who_report_feeling_informed_about_the_different_WASH_services_available_to_them]]</f>
        <v>0.91</v>
      </c>
      <c r="CQ3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104</v>
      </c>
      <c r="CR34" s="500">
        <f>IF(WWWW[[#This Row],['#_PPL_accessed_water_in_TLS]]&gt;WWWW[[#This Row],['# students access to functioning school latrines_HRP5]],WWWW[[#This Row],['#_PPL_accessed_water_in_TLS]],WWWW[[#This Row],['# students access to functioning school latrines_HRP5]])</f>
        <v>0</v>
      </c>
      <c r="CS34" s="500">
        <f>IF(WWWW[[#This Row],['#_PPL_accessed_water_in_THF]]&gt;WWWW[[#This Row],['# people access to functioning latrines in THF_HRP6]],WWWW[[#This Row],['#_PPL_accessed_water_in_THF]],WWWW[[#This Row],['# people access to functioning latrines in THF_HRP6]])</f>
        <v>0</v>
      </c>
      <c r="CT34" s="880">
        <f>VLOOKUP(WWWW[[#This Row],[Site Name]],SiteDB6[[Site Name]:[CCCM Management]],6,FALSE)</f>
        <v>0</v>
      </c>
      <c r="CU34" s="880">
        <f>VLOOKUP(WWWW[[#This Row],[Site Name]],SiteDB6[[Site Name]:[CCCM Focal Agency]],7,FALSE)</f>
        <v>0</v>
      </c>
      <c r="CV34" s="880" t="str">
        <f>VLOOKUP(WWWW[[#This Row],[Site Name]],SiteDB6[[Site Name]:[Location Type 1]],9,FALSE)</f>
        <v>Camp</v>
      </c>
      <c r="CW34" s="880" t="str">
        <f>VLOOKUP(WWWW[[#This Row],[Site Name]],SiteDB6[[Site Name]:[Type of Accommodation]],10,FALSE)</f>
        <v>Planned Camp</v>
      </c>
      <c r="CX34" s="880" t="str">
        <f>VLOOKUP(WWWW[[#This Row],[Site Name]],SiteDB6[[Site Name]:[Ethnic or GCA/NGCA]],11,FALSE)</f>
        <v>Muslim</v>
      </c>
      <c r="CY34" s="880">
        <f>VLOOKUP(WWWW[[#This Row],[Site Name]],SiteDB6[[Site Name]:[Lat]],12,FALSE)</f>
        <v>20.180194</v>
      </c>
      <c r="CZ34" s="880">
        <f>VLOOKUP(WWWW[[#This Row],[Site Name]],SiteDB6[[Site Name]:[Long]],13,FALSE)</f>
        <v>92.816638999999995</v>
      </c>
      <c r="DA34" s="880" t="str">
        <f>VLOOKUP(WWWW[[#This Row],[Site Name]],SiteDB6[[Site Name]:[Pcode]],3,FALSE)</f>
        <v>MMR012CMP042</v>
      </c>
      <c r="DB34" s="893" t="str">
        <f t="shared" si="1"/>
        <v>Covered</v>
      </c>
      <c r="DC34" s="477">
        <f>VLOOKUP(WWWW[[#This Row],[Site Name]],SiteDB6[[Site Name]:[PWD_Total]],22,FALSE)</f>
        <v>70</v>
      </c>
      <c r="DD34" s="477">
        <f>VLOOKUP(WWWW[[#This Row],[Site Name]],SiteDB6[[Site Name]:[PWD_Total]],23,FALSE)</f>
        <v>241</v>
      </c>
      <c r="DE34" s="477">
        <f>WWWW[[#This Row],['# of Male_People with disabilities]]+WWWW[[#This Row],['# of Female_People with disabilities]]</f>
        <v>311</v>
      </c>
      <c r="DF34" s="880"/>
      <c r="DG34" s="893"/>
      <c r="DH34" s="893"/>
      <c r="DI34" s="893"/>
      <c r="DJ34" s="893">
        <f>VLOOKUP(WWWW[[#This Row],[Site Name]],SiteDB6[[Site Name]:[Pop
(CCCM as of Autust 2021)]],16,FALSE)</f>
        <v>400</v>
      </c>
      <c r="DK34" s="893">
        <f>VLOOKUP(WWWW[[#This Row],[Site Name]],SiteDB6[[Site Name]:[Pop
(CCCM as of Autust 2021)]],17,FALSE)</f>
        <v>2228</v>
      </c>
    </row>
    <row r="35" spans="1:115">
      <c r="A35" s="873" t="s">
        <v>3144</v>
      </c>
      <c r="B35" s="878" t="s">
        <v>2256</v>
      </c>
      <c r="C35" s="879" t="s">
        <v>2256</v>
      </c>
      <c r="D35" s="879" t="s">
        <v>230</v>
      </c>
      <c r="E35" s="845" t="s">
        <v>293</v>
      </c>
      <c r="F35" s="879" t="s">
        <v>356</v>
      </c>
      <c r="G35" s="846" t="s">
        <v>43</v>
      </c>
      <c r="H35" s="879" t="s">
        <v>367</v>
      </c>
      <c r="I35" s="881">
        <v>384</v>
      </c>
      <c r="J35" s="881">
        <v>1084</v>
      </c>
      <c r="K35" s="684">
        <f>WWWW[[#This Row],[Total PoP ]]/WWWW[[#This Row],[Total HH]]</f>
        <v>2.8229166666666665</v>
      </c>
      <c r="L35" s="882">
        <v>44378</v>
      </c>
      <c r="M35" s="883">
        <v>44742</v>
      </c>
      <c r="N35" s="881"/>
      <c r="O35" s="500"/>
      <c r="P35" s="881"/>
      <c r="Q35" s="500">
        <v>14</v>
      </c>
      <c r="R35" s="500">
        <v>19</v>
      </c>
      <c r="S35" s="881"/>
      <c r="T35" s="881">
        <v>1084</v>
      </c>
      <c r="U35" s="881">
        <v>46</v>
      </c>
      <c r="V35" s="884">
        <v>1</v>
      </c>
      <c r="W35" s="881">
        <v>114</v>
      </c>
      <c r="X35" s="884">
        <v>0.96</v>
      </c>
      <c r="Y35" s="881"/>
      <c r="Z35" s="500">
        <v>196</v>
      </c>
      <c r="AA35" s="500"/>
      <c r="AB35" s="885"/>
      <c r="AC35" s="881">
        <v>94</v>
      </c>
      <c r="AD35" s="881">
        <v>94</v>
      </c>
      <c r="AE35" s="881">
        <v>15</v>
      </c>
      <c r="AF35" s="881">
        <v>94</v>
      </c>
      <c r="AG35" s="884">
        <v>1</v>
      </c>
      <c r="AH35" s="884">
        <v>1</v>
      </c>
      <c r="AI35" s="884">
        <v>1</v>
      </c>
      <c r="AJ35" s="881"/>
      <c r="AK35" s="881"/>
      <c r="AL35" s="881">
        <v>8</v>
      </c>
      <c r="AM35" s="500"/>
      <c r="AN35" s="881" t="s">
        <v>41</v>
      </c>
      <c r="AO35" s="886"/>
      <c r="AP35" s="881">
        <v>126</v>
      </c>
      <c r="AQ35" s="881">
        <v>195</v>
      </c>
      <c r="AR35" s="881">
        <v>37</v>
      </c>
      <c r="AS35" s="881">
        <v>43</v>
      </c>
      <c r="AT35" s="881">
        <v>384</v>
      </c>
      <c r="AU35" s="881">
        <v>510</v>
      </c>
      <c r="AV35" s="450">
        <v>0.02</v>
      </c>
      <c r="AW35" s="884">
        <v>0.98</v>
      </c>
      <c r="AX35" s="451">
        <v>8</v>
      </c>
      <c r="AY35" s="887"/>
      <c r="AZ35" s="450">
        <v>0.98</v>
      </c>
      <c r="BA35" s="450">
        <v>0.98</v>
      </c>
      <c r="BB35" s="450"/>
      <c r="BC35" s="450">
        <v>0</v>
      </c>
      <c r="BD35" s="450"/>
      <c r="BE35" s="500"/>
      <c r="BF35" s="500">
        <v>3</v>
      </c>
      <c r="BG35" s="500"/>
      <c r="BH35" s="500"/>
      <c r="BI35" s="500"/>
      <c r="BJ35" s="500"/>
      <c r="BK35" s="500"/>
      <c r="BL35" s="888" t="str">
        <f>IF(WWWW[[#This Row],['#_Water samples_Tested_at_water_source]]="","no test","Tested")</f>
        <v>Tested</v>
      </c>
      <c r="BM35" s="888" t="str">
        <f>IF(WWWW[[#This Row],['#_Water samples_Tested_at_HH]]="","no test","Tested")</f>
        <v>Tested</v>
      </c>
      <c r="BN35" s="889" t="str">
        <f>IF(AND(WWWW[[#This Row],[Water_testing_at source]]="no test",WWWW[[#This Row],[Water_testing_at HH]]="no test"),"No Test","Tested")</f>
        <v>Tested</v>
      </c>
      <c r="BO35"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5" s="890">
        <f>WWWW[[#This Row],[% HRP1]]*WWWW[[#This Row],[Total PoP ]]</f>
        <v>1084</v>
      </c>
      <c r="BQ35" s="891">
        <f>WWWW[[#This Row],[HRP1]]/500</f>
        <v>2.1680000000000001</v>
      </c>
      <c r="BR35" s="892">
        <f>1-WWWW[[#This Row],[% HRP1]]</f>
        <v>0</v>
      </c>
      <c r="BS35" s="891">
        <f>WWWW[[#This Row],[%equitable and continuous access to sufficient quantity of safe drinking and domestic water''s GAP]]*WWWW[[#This Row],[Total PoP ]]</f>
        <v>0</v>
      </c>
      <c r="BT35" s="451">
        <f>ROUND(IF(WWWW[[#This Row],[Total PoP ]]&lt;500,1,WWWW[[#This Row],[Total PoP ]]/500),0)</f>
        <v>2</v>
      </c>
      <c r="BU35" s="889">
        <f>IF(WWWW[[#This Row],[Total required water points]]-WWWW[[#This Row],['#Water points coverage]]&lt;0,0,WWWW[[#This Row],[Total required water points]]-WWWW[[#This Row],['#Water points coverage]])</f>
        <v>0</v>
      </c>
      <c r="BV35" s="452">
        <f>WWWW[[#This Row],[HRP2]]/WWWW[[#This Row],[Total PoP ]]</f>
        <v>1</v>
      </c>
      <c r="BW35"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1084</v>
      </c>
      <c r="BX35" s="455">
        <f>IF(WWWW[[#This Row],['#_Functional_adult_latrines]]="","",WWWW[[#This Row],[Total PoP ]]/WWWW[[#This Row],['#_Functional_adult_latrines]])</f>
        <v>11.531914893617021</v>
      </c>
      <c r="BY35" s="889">
        <f>WWWW[[#This Row],['#_of_latrines_in_TLS/CFS]]*50</f>
        <v>400</v>
      </c>
      <c r="BZ35" s="451">
        <f>IF(WWWW[[#This Row],['#_of_latrines_in_THF]]="",0,WWWW[[#This Row],['#_of_latrines_in_THF]]*50)</f>
        <v>0</v>
      </c>
      <c r="CA35" s="889">
        <f>ROUND(IF(WWWW[[#This Row],[Location Type 1]]="camp",WWWW[[#This Row],[Total PoP ]]/20),0)</f>
        <v>54</v>
      </c>
      <c r="CB35" s="889">
        <f>IF(WWWW[[#This Row],[Total required Latrines]]-WWWW[[#This Row],['#_Existing_latrines]]&lt;0,0,WWWW[[#This Row],[Total required Latrines]]-WWWW[[#This Row],['#_Existing_latrines]])</f>
        <v>0</v>
      </c>
      <c r="CC35" s="892">
        <f>1-WWWW[[#This Row],[% HRP2]]</f>
        <v>0</v>
      </c>
      <c r="CD35" s="888">
        <f>IF(WWWW[[#This Row],['#_Existing_latrines]]="","NA",(WWWW[[#This Row],['#_Existing_latrines]]-WWWW[[#This Row],['#_Functional_adult_latrines]])/WWWW[[#This Row],['#_Existing_latrines]])</f>
        <v>0</v>
      </c>
      <c r="CE35"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401</v>
      </c>
      <c r="CF35" s="891">
        <f>SUM(WWWW[[#This Row],[_'#_of_Men_receiving_consultation_hygiene_promotion_messages_and_sessions]:[_'#_of_Girls_receiving_consultation_hygiene_promotion_messages_and_sessions]])-WWWW[[#This Row],['# people reached by regular dedicated hygiene promotion_5]]</f>
        <v>0</v>
      </c>
      <c r="CG35"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1084</v>
      </c>
      <c r="CH35" s="889">
        <f>IF(WWWW[[#This Row],['#_of_affected_women_and_girls_receiving_a_sufficient_quantity_of_sanitary_pads]]&gt;WWWW[[#This Row],[Total PoP ]],WWWW[[#This Row],[Total PoP ]],WWWW[[#This Row],['#_of_affected_women_and_girls_receiving_a_sufficient_quantity_of_sanitary_pads]])</f>
        <v>510</v>
      </c>
      <c r="CI35" s="889">
        <f>IF(WWWW[[#This Row],['# People with access to soap]]&gt;WWWW[[#This Row],['# People with access to Sanity Pads]],WWWW[[#This Row],['# People with access to soap]],WWWW[[#This Row],['# People with access to Sanity Pads]])</f>
        <v>1084</v>
      </c>
      <c r="CJ35" s="889">
        <f>IF(WWWW[[#This Row],['# people reached by regular dedicated hygiene promotion_5]]&gt;WWWW[[#This Row],['# People received regular supply of hygiene items_6]],WWWW[[#This Row],['# people reached by regular dedicated hygiene promotion_5]],WWWW[[#This Row],['# People received regular supply of hygiene items_6]])</f>
        <v>1084</v>
      </c>
      <c r="CK35" s="892">
        <f>IF(WWWW[[#This Row],[HRP3]]/WWWW[[#This Row],[Total PoP ]]&gt;100%,100%,WWWW[[#This Row],[HRP3]]/WWWW[[#This Row],[Total PoP ]])</f>
        <v>1</v>
      </c>
      <c r="CL35" s="888">
        <f>1-WWWW[[#This Row],[Hygiene Coverage%]]</f>
        <v>0</v>
      </c>
      <c r="CM35" s="884">
        <f>WWWW[[#This Row],['# people reached by regular dedicated hygiene promotion_5]]/WWWW[[#This Row],[Total PoP ]]</f>
        <v>0.36992619926199261</v>
      </c>
      <c r="CN35" s="888">
        <f>IF(WWWW[[#This Row],['#_of_affected_households_receiving_a_sufficient_quantity_of_soap]]/WWWW[[#This Row],[Total HH]]&gt;1,1,WWWW[[#This Row],['#_of_affected_households_receiving_a_sufficient_quantity_of_soap]]/WWWW[[#This Row],[Total HH]])</f>
        <v>1</v>
      </c>
      <c r="CO35" s="455" t="str">
        <f>IF(WWWW[[#This Row],['#_students at TLS_CFS]]="","No","Yes")</f>
        <v>No</v>
      </c>
      <c r="CP35" s="452">
        <f>WWWW[[#This Row],[%_of_affected_people_surveyed_who_report_feeling_informed_about_the_different_WASH_services_available_to_them]]</f>
        <v>0</v>
      </c>
      <c r="CQ3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CR35" s="500">
        <f>IF(WWWW[[#This Row],['#_PPL_accessed_water_in_TLS]]&gt;WWWW[[#This Row],['# students access to functioning school latrines_HRP5]],WWWW[[#This Row],['#_PPL_accessed_water_in_TLS]],WWWW[[#This Row],['# students access to functioning school latrines_HRP5]])</f>
        <v>400</v>
      </c>
      <c r="CS35" s="500">
        <f>IF(WWWW[[#This Row],['#_PPL_accessed_water_in_THF]]&gt;WWWW[[#This Row],['# people access to functioning latrines in THF_HRP6]],WWWW[[#This Row],['#_PPL_accessed_water_in_THF]],WWWW[[#This Row],['# people access to functioning latrines in THF_HRP6]])</f>
        <v>0</v>
      </c>
      <c r="CT35" s="880" t="str">
        <f>VLOOKUP(WWWW[[#This Row],[Site Name]],SiteDB6[[Site Name]:[CCCM Management]],6,FALSE)</f>
        <v>Yes</v>
      </c>
      <c r="CU35" s="880" t="str">
        <f>VLOOKUP(WWWW[[#This Row],[Site Name]],SiteDB6[[Site Name]:[CCCM Focal Agency]],7,FALSE)</f>
        <v>UNHCR</v>
      </c>
      <c r="CV35" s="880" t="str">
        <f>VLOOKUP(WWWW[[#This Row],[Site Name]],SiteDB6[[Site Name]:[Location Type 1]],9,FALSE)</f>
        <v>Camp</v>
      </c>
      <c r="CW35" s="880" t="str">
        <f>VLOOKUP(WWWW[[#This Row],[Site Name]],SiteDB6[[Site Name]:[Type of Accommodation]],10,FALSE)</f>
        <v>Planned Camp</v>
      </c>
      <c r="CX35" s="880" t="str">
        <f>VLOOKUP(WWWW[[#This Row],[Site Name]],SiteDB6[[Site Name]:[Ethnic or GCA/NGCA]],11,FALSE)</f>
        <v>Muslim</v>
      </c>
      <c r="CY35" s="880">
        <f>VLOOKUP(WWWW[[#This Row],[Site Name]],SiteDB6[[Site Name]:[Lat]],12,FALSE)</f>
        <v>19.424576999999999</v>
      </c>
      <c r="CZ35" s="880">
        <f>VLOOKUP(WWWW[[#This Row],[Site Name]],SiteDB6[[Site Name]:[Long]],13,FALSE)</f>
        <v>93.512326000000002</v>
      </c>
      <c r="DA35" s="880" t="str">
        <f>VLOOKUP(WWWW[[#This Row],[Site Name]],SiteDB6[[Site Name]:[Pcode]],3,FALSE)</f>
        <v>MMR012CMP035</v>
      </c>
      <c r="DB35" s="893" t="str">
        <f t="shared" si="1"/>
        <v>Covered</v>
      </c>
      <c r="DC35" s="477">
        <f>VLOOKUP(WWWW[[#This Row],[Site Name]],SiteDB6[[Site Name]:[PWD_Total]],22,FALSE)</f>
        <v>0</v>
      </c>
      <c r="DD35" s="477">
        <f>VLOOKUP(WWWW[[#This Row],[Site Name]],SiteDB6[[Site Name]:[PWD_Total]],23,FALSE)</f>
        <v>0</v>
      </c>
      <c r="DE35" s="477">
        <f>WWWW[[#This Row],['# of Male_People with disabilities]]+WWWW[[#This Row],['# of Female_People with disabilities]]</f>
        <v>0</v>
      </c>
      <c r="DF35" s="880"/>
      <c r="DG35" s="893"/>
      <c r="DH35" s="893"/>
      <c r="DI35" s="893"/>
      <c r="DJ35" s="893">
        <f>VLOOKUP(WWWW[[#This Row],[Site Name]],SiteDB6[[Site Name]:[Pop
(CCCM as of Autust 2021)]],16,FALSE)</f>
        <v>334</v>
      </c>
      <c r="DK35" s="893">
        <f>VLOOKUP(WWWW[[#This Row],[Site Name]],SiteDB6[[Site Name]:[Pop
(CCCM as of Autust 2021)]],17,FALSE)</f>
        <v>1001</v>
      </c>
    </row>
    <row r="36" spans="1:115">
      <c r="A36" s="873" t="s">
        <v>3144</v>
      </c>
      <c r="B36" s="878" t="s">
        <v>265</v>
      </c>
      <c r="C36" s="879" t="s">
        <v>265</v>
      </c>
      <c r="D36" s="879" t="s">
        <v>2952</v>
      </c>
      <c r="E36" s="845" t="s">
        <v>293</v>
      </c>
      <c r="F36" s="879" t="s">
        <v>401</v>
      </c>
      <c r="G36" s="846" t="s">
        <v>43</v>
      </c>
      <c r="H36" s="879" t="s">
        <v>409</v>
      </c>
      <c r="I36" s="881">
        <v>1389</v>
      </c>
      <c r="J36" s="881">
        <v>6680</v>
      </c>
      <c r="K36" s="684">
        <f>WWWW[[#This Row],[Total PoP ]]/WWWW[[#This Row],[Total HH]]</f>
        <v>4.8092152627789773</v>
      </c>
      <c r="L36" s="882" t="s">
        <v>3185</v>
      </c>
      <c r="M36" s="883" t="s">
        <v>3186</v>
      </c>
      <c r="N36" s="881"/>
      <c r="O36" s="500"/>
      <c r="P36" s="881"/>
      <c r="Q36" s="500">
        <v>36</v>
      </c>
      <c r="R36" s="500">
        <v>36</v>
      </c>
      <c r="S36" s="881">
        <v>3766000</v>
      </c>
      <c r="T36" s="881">
        <v>6680</v>
      </c>
      <c r="U36" s="881">
        <v>4</v>
      </c>
      <c r="V36" s="884">
        <v>0.75</v>
      </c>
      <c r="W36" s="881">
        <v>6</v>
      </c>
      <c r="X36" s="884">
        <v>0.5</v>
      </c>
      <c r="Y36" s="881">
        <v>78</v>
      </c>
      <c r="Z36" s="500"/>
      <c r="AA36" s="500"/>
      <c r="AB36" s="885" t="s">
        <v>3189</v>
      </c>
      <c r="AC36" s="881">
        <v>230</v>
      </c>
      <c r="AD36" s="881">
        <v>238</v>
      </c>
      <c r="AE36" s="881">
        <v>8</v>
      </c>
      <c r="AF36" s="881">
        <v>138</v>
      </c>
      <c r="AG36" s="884">
        <v>0.99</v>
      </c>
      <c r="AH36" s="884">
        <v>0.99</v>
      </c>
      <c r="AI36" s="884">
        <v>0.99</v>
      </c>
      <c r="AJ36" s="881">
        <v>18</v>
      </c>
      <c r="AK36" s="881">
        <v>114</v>
      </c>
      <c r="AL36" s="881"/>
      <c r="AM36" s="500"/>
      <c r="AN36" s="881" t="s">
        <v>41</v>
      </c>
      <c r="AO36" s="886" t="s">
        <v>3188</v>
      </c>
      <c r="AP36" s="881">
        <v>1376</v>
      </c>
      <c r="AQ36" s="881">
        <v>1499</v>
      </c>
      <c r="AR36" s="881">
        <v>1955</v>
      </c>
      <c r="AS36" s="881">
        <v>1850</v>
      </c>
      <c r="AT36" s="881">
        <v>1389</v>
      </c>
      <c r="AU36" s="881">
        <v>1763</v>
      </c>
      <c r="AV36" s="450">
        <v>0.24</v>
      </c>
      <c r="AW36" s="884">
        <v>0.38</v>
      </c>
      <c r="AX36" s="451">
        <v>0</v>
      </c>
      <c r="AY36" s="887"/>
      <c r="AZ36" s="450">
        <v>1</v>
      </c>
      <c r="BA36" s="450">
        <v>0.49</v>
      </c>
      <c r="BB36" s="450">
        <v>0.95</v>
      </c>
      <c r="BC36" s="450">
        <v>1</v>
      </c>
      <c r="BD36" s="450">
        <v>5.1000000000000004E-3</v>
      </c>
      <c r="BE36" s="500"/>
      <c r="BF36" s="500"/>
      <c r="BG36" s="500"/>
      <c r="BH36" s="500"/>
      <c r="BI36" s="500"/>
      <c r="BJ36" s="500"/>
      <c r="BK36" s="500"/>
      <c r="BL36" s="888" t="str">
        <f>IF(WWWW[[#This Row],['#_Water samples_Tested_at_water_source]]="","no test","Tested")</f>
        <v>Tested</v>
      </c>
      <c r="BM36" s="888" t="str">
        <f>IF(WWWW[[#This Row],['#_Water samples_Tested_at_HH]]="","no test","Tested")</f>
        <v>Tested</v>
      </c>
      <c r="BN36" s="889" t="str">
        <f>IF(AND(WWWW[[#This Row],[Water_testing_at source]]="no test",WWWW[[#This Row],[Water_testing_at HH]]="no test"),"No Test","Tested")</f>
        <v>Tested</v>
      </c>
      <c r="BO36"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6" s="890">
        <f>WWWW[[#This Row],[% HRP1]]*WWWW[[#This Row],[Total PoP ]]</f>
        <v>6680</v>
      </c>
      <c r="BQ36" s="891">
        <f>WWWW[[#This Row],[HRP1]]/500</f>
        <v>13.36</v>
      </c>
      <c r="BR36" s="892">
        <f>1-WWWW[[#This Row],[% HRP1]]</f>
        <v>0</v>
      </c>
      <c r="BS36" s="891">
        <f>WWWW[[#This Row],[%equitable and continuous access to sufficient quantity of safe drinking and domestic water''s GAP]]*WWWW[[#This Row],[Total PoP ]]</f>
        <v>0</v>
      </c>
      <c r="BT36" s="451">
        <f>ROUND(IF(WWWW[[#This Row],[Total PoP ]]&lt;500,1,WWWW[[#This Row],[Total PoP ]]/500),0)</f>
        <v>13</v>
      </c>
      <c r="BU36" s="889">
        <f>IF(WWWW[[#This Row],[Total required water points]]-WWWW[[#This Row],['#Water points coverage]]&lt;0,0,WWWW[[#This Row],[Total required water points]]-WWWW[[#This Row],['#Water points coverage]])</f>
        <v>0</v>
      </c>
      <c r="BV36" s="452">
        <f>WWWW[[#This Row],[HRP2]]/WWWW[[#This Row],[Total PoP ]]</f>
        <v>0.75958083832335332</v>
      </c>
      <c r="BW36"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36" s="455">
        <f>IF(WWWW[[#This Row],['#_Functional_adult_latrines]]="","",WWWW[[#This Row],[Total PoP ]]/WWWW[[#This Row],['#_Functional_adult_latrines]])</f>
        <v>29.043478260869566</v>
      </c>
      <c r="BY36" s="889">
        <f>WWWW[[#This Row],['#_of_latrines_in_TLS/CFS]]*50</f>
        <v>0</v>
      </c>
      <c r="BZ36" s="451">
        <f>IF(WWWW[[#This Row],['#_of_latrines_in_THF]]="",0,WWWW[[#This Row],['#_of_latrines_in_THF]]*50)</f>
        <v>0</v>
      </c>
      <c r="CA36" s="889">
        <f>ROUND(IF(WWWW[[#This Row],[Location Type 1]]="camp",WWWW[[#This Row],[Total PoP ]]/20),0)</f>
        <v>334</v>
      </c>
      <c r="CB36" s="889">
        <f>IF(WWWW[[#This Row],[Total required Latrines]]-WWWW[[#This Row],['#_Existing_latrines]]&lt;0,0,WWWW[[#This Row],[Total required Latrines]]-WWWW[[#This Row],['#_Existing_latrines]])</f>
        <v>96</v>
      </c>
      <c r="CC36" s="892">
        <f>1-WWWW[[#This Row],[% HRP2]]</f>
        <v>0.24041916167664668</v>
      </c>
      <c r="CD36" s="888">
        <f>IF(WWWW[[#This Row],['#_Existing_latrines]]="","NA",(WWWW[[#This Row],['#_Existing_latrines]]-WWWW[[#This Row],['#_Functional_adult_latrines]])/WWWW[[#This Row],['#_Existing_latrines]])</f>
        <v>3.3613445378151259E-2</v>
      </c>
      <c r="CE36"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6680</v>
      </c>
      <c r="CF36" s="891">
        <f>SUM(WWWW[[#This Row],[_'#_of_Men_receiving_consultation_hygiene_promotion_messages_and_sessions]:[_'#_of_Girls_receiving_consultation_hygiene_promotion_messages_and_sessions]])-WWWW[[#This Row],['# people reached by regular dedicated hygiene promotion_5]]</f>
        <v>0</v>
      </c>
      <c r="CG36"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H36" s="889">
        <f>IF(WWWW[[#This Row],['#_of_affected_women_and_girls_receiving_a_sufficient_quantity_of_sanitary_pads]]&gt;WWWW[[#This Row],[Total PoP ]],WWWW[[#This Row],[Total PoP ]],WWWW[[#This Row],['#_of_affected_women_and_girls_receiving_a_sufficient_quantity_of_sanitary_pads]])</f>
        <v>1763</v>
      </c>
      <c r="CI36" s="889">
        <f>IF(WWWW[[#This Row],['# People with access to soap]]&gt;WWWW[[#This Row],['# People with access to Sanity Pads]],WWWW[[#This Row],['# People with access to soap]],WWWW[[#This Row],['# People with access to Sanity Pads]])</f>
        <v>6680</v>
      </c>
      <c r="CJ36" s="889">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K36" s="892">
        <f>IF(WWWW[[#This Row],[HRP3]]/WWWW[[#This Row],[Total PoP ]]&gt;100%,100%,WWWW[[#This Row],[HRP3]]/WWWW[[#This Row],[Total PoP ]])</f>
        <v>1</v>
      </c>
      <c r="CL36" s="888">
        <f>1-WWWW[[#This Row],[Hygiene Coverage%]]</f>
        <v>0</v>
      </c>
      <c r="CM36" s="884">
        <f>WWWW[[#This Row],['# people reached by regular dedicated hygiene promotion_5]]/WWWW[[#This Row],[Total PoP ]]</f>
        <v>1</v>
      </c>
      <c r="CN36" s="888">
        <f>IF(WWWW[[#This Row],['#_of_affected_households_receiving_a_sufficient_quantity_of_soap]]/WWWW[[#This Row],[Total HH]]&gt;1,1,WWWW[[#This Row],['#_of_affected_households_receiving_a_sufficient_quantity_of_soap]]/WWWW[[#This Row],[Total HH]])</f>
        <v>1</v>
      </c>
      <c r="CO36" s="455" t="str">
        <f>IF(WWWW[[#This Row],['#_students at TLS_CFS]]="","No","Yes")</f>
        <v>No</v>
      </c>
      <c r="CP36" s="452">
        <f>WWWW[[#This Row],[%_of_affected_people_surveyed_who_report_feeling_informed_about_the_different_WASH_services_available_to_them]]</f>
        <v>0.95</v>
      </c>
      <c r="CQ3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36" s="500">
        <f>IF(WWWW[[#This Row],['#_PPL_accessed_water_in_TLS]]&gt;WWWW[[#This Row],['# students access to functioning school latrines_HRP5]],WWWW[[#This Row],['#_PPL_accessed_water_in_TLS]],WWWW[[#This Row],['# students access to functioning school latrines_HRP5]])</f>
        <v>0</v>
      </c>
      <c r="CS36" s="500">
        <f>IF(WWWW[[#This Row],['#_PPL_accessed_water_in_THF]]&gt;WWWW[[#This Row],['# people access to functioning latrines in THF_HRP6]],WWWW[[#This Row],['#_PPL_accessed_water_in_THF]],WWWW[[#This Row],['# people access to functioning latrines in THF_HRP6]])</f>
        <v>0</v>
      </c>
      <c r="CT36" s="880" t="str">
        <f>VLOOKUP(WWWW[[#This Row],[Site Name]],SiteDB6[[Site Name]:[CCCM Management]],6,FALSE)</f>
        <v>Yes</v>
      </c>
      <c r="CU36" s="880" t="str">
        <f>VLOOKUP(WWWW[[#This Row],[Site Name]],SiteDB6[[Site Name]:[CCCM Focal Agency]],7,FALSE)</f>
        <v>DRC</v>
      </c>
      <c r="CV36" s="880" t="str">
        <f>VLOOKUP(WWWW[[#This Row],[Site Name]],SiteDB6[[Site Name]:[Location Type 1]],9,FALSE)</f>
        <v>Camp</v>
      </c>
      <c r="CW36" s="880" t="str">
        <f>VLOOKUP(WWWW[[#This Row],[Site Name]],SiteDB6[[Site Name]:[Type of Accommodation]],10,FALSE)</f>
        <v>Planned Camp</v>
      </c>
      <c r="CX36" s="880" t="str">
        <f>VLOOKUP(WWWW[[#This Row],[Site Name]],SiteDB6[[Site Name]:[Ethnic or GCA/NGCA]],11,FALSE)</f>
        <v>Muslim</v>
      </c>
      <c r="CY36" s="880">
        <f>VLOOKUP(WWWW[[#This Row],[Site Name]],SiteDB6[[Site Name]:[Lat]],12,FALSE)</f>
        <v>20.090183</v>
      </c>
      <c r="CZ36" s="880">
        <f>VLOOKUP(WWWW[[#This Row],[Site Name]],SiteDB6[[Site Name]:[Long]],13,FALSE)</f>
        <v>93.010368999999997</v>
      </c>
      <c r="DA36" s="880" t="str">
        <f>VLOOKUP(WWWW[[#This Row],[Site Name]],SiteDB6[[Site Name]:[Pcode]],3,FALSE)</f>
        <v>MMR012CMP018</v>
      </c>
      <c r="DB36" s="893" t="str">
        <f t="shared" si="1"/>
        <v>Covered</v>
      </c>
      <c r="DC36" s="477">
        <f>VLOOKUP(WWWW[[#This Row],[Site Name]],SiteDB6[[Site Name]:[PWD_Total]],22,FALSE)</f>
        <v>95</v>
      </c>
      <c r="DD36" s="477">
        <f>VLOOKUP(WWWW[[#This Row],[Site Name]],SiteDB6[[Site Name]:[PWD_Total]],23,FALSE)</f>
        <v>1102</v>
      </c>
      <c r="DE36" s="477">
        <f>WWWW[[#This Row],['# of Male_People with disabilities]]+WWWW[[#This Row],['# of Female_People with disabilities]]</f>
        <v>1197</v>
      </c>
      <c r="DF36" s="880"/>
      <c r="DG36" s="893"/>
      <c r="DH36" s="893"/>
      <c r="DI36" s="893"/>
      <c r="DJ36" s="893">
        <f>VLOOKUP(WWWW[[#This Row],[Site Name]],SiteDB6[[Site Name]:[Pop
(CCCM as of Autust 2021)]],16,FALSE)</f>
        <v>1387</v>
      </c>
      <c r="DK36" s="893">
        <f>VLOOKUP(WWWW[[#This Row],[Site Name]],SiteDB6[[Site Name]:[Pop
(CCCM as of Autust 2021)]],17,FALSE)</f>
        <v>6674</v>
      </c>
    </row>
    <row r="37" spans="1:115">
      <c r="A37" s="873" t="s">
        <v>3144</v>
      </c>
      <c r="B37" s="878" t="s">
        <v>2620</v>
      </c>
      <c r="C37" s="879" t="s">
        <v>2269</v>
      </c>
      <c r="D37" s="879" t="s">
        <v>3184</v>
      </c>
      <c r="E37" s="845" t="s">
        <v>293</v>
      </c>
      <c r="F37" s="879" t="s">
        <v>294</v>
      </c>
      <c r="G37" s="846" t="s">
        <v>43</v>
      </c>
      <c r="H37" s="879" t="s">
        <v>430</v>
      </c>
      <c r="I37" s="881">
        <v>656</v>
      </c>
      <c r="J37" s="881">
        <v>3486</v>
      </c>
      <c r="K37" s="684">
        <f>WWWW[[#This Row],[Total PoP ]]/WWWW[[#This Row],[Total HH]]</f>
        <v>5.3140243902439028</v>
      </c>
      <c r="L37" s="882">
        <v>44652</v>
      </c>
      <c r="M37" s="883">
        <v>44834</v>
      </c>
      <c r="N37" s="881"/>
      <c r="O37" s="500">
        <v>35</v>
      </c>
      <c r="P37" s="881">
        <v>39</v>
      </c>
      <c r="Q37" s="500"/>
      <c r="R37" s="500"/>
      <c r="S37" s="881"/>
      <c r="T37" s="881"/>
      <c r="U37" s="881">
        <v>8</v>
      </c>
      <c r="V37" s="884">
        <v>0.13</v>
      </c>
      <c r="W37" s="881"/>
      <c r="X37" s="884"/>
      <c r="Y37" s="881"/>
      <c r="Z37" s="500"/>
      <c r="AA37" s="500"/>
      <c r="AB37" s="885"/>
      <c r="AC37" s="881">
        <v>142</v>
      </c>
      <c r="AD37" s="881">
        <v>228</v>
      </c>
      <c r="AE37" s="881">
        <v>105</v>
      </c>
      <c r="AF37" s="881">
        <v>96</v>
      </c>
      <c r="AG37" s="884">
        <v>1</v>
      </c>
      <c r="AH37" s="884">
        <v>0.88</v>
      </c>
      <c r="AI37" s="884">
        <v>0.53</v>
      </c>
      <c r="AJ37" s="881">
        <v>2</v>
      </c>
      <c r="AK37" s="881">
        <v>42</v>
      </c>
      <c r="AL37" s="881">
        <v>8</v>
      </c>
      <c r="AM37" s="500"/>
      <c r="AN37" s="881" t="s">
        <v>41</v>
      </c>
      <c r="AO37" s="886"/>
      <c r="AP37" s="881">
        <v>667</v>
      </c>
      <c r="AQ37" s="881">
        <v>1100</v>
      </c>
      <c r="AR37" s="881"/>
      <c r="AS37" s="881"/>
      <c r="AT37" s="881">
        <v>656</v>
      </c>
      <c r="AU37" s="881">
        <v>1312</v>
      </c>
      <c r="AV37" s="450">
        <v>1</v>
      </c>
      <c r="AW37" s="884">
        <v>1</v>
      </c>
      <c r="AX37" s="451">
        <v>3</v>
      </c>
      <c r="AY37" s="887"/>
      <c r="AZ37" s="450">
        <v>1</v>
      </c>
      <c r="BA37" s="450">
        <v>1</v>
      </c>
      <c r="BB37" s="450">
        <v>1</v>
      </c>
      <c r="BC37" s="450">
        <v>0.67</v>
      </c>
      <c r="BD37" s="450"/>
      <c r="BE37" s="500"/>
      <c r="BF37" s="500"/>
      <c r="BG37" s="500"/>
      <c r="BH37" s="500"/>
      <c r="BI37" s="500"/>
      <c r="BJ37" s="500"/>
      <c r="BK37" s="500"/>
      <c r="BL37" s="888" t="str">
        <f>IF(WWWW[[#This Row],['#_Water samples_Tested_at_water_source]]="","no test","Tested")</f>
        <v>Tested</v>
      </c>
      <c r="BM37" s="888" t="str">
        <f>IF(WWWW[[#This Row],['#_Water samples_Tested_at_HH]]="","no test","Tested")</f>
        <v>no test</v>
      </c>
      <c r="BN37" s="889" t="str">
        <f>IF(AND(WWWW[[#This Row],[Water_testing_at source]]="no test",WWWW[[#This Row],[Water_testing_at HH]]="no test"),"No Test","Tested")</f>
        <v>Tested</v>
      </c>
      <c r="BO37"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7" s="890">
        <f>WWWW[[#This Row],[% HRP1]]*WWWW[[#This Row],[Total PoP ]]</f>
        <v>3486</v>
      </c>
      <c r="BQ37" s="891">
        <f>WWWW[[#This Row],[HRP1]]/500</f>
        <v>6.9720000000000004</v>
      </c>
      <c r="BR37" s="892">
        <f>1-WWWW[[#This Row],[% HRP1]]</f>
        <v>0</v>
      </c>
      <c r="BS37" s="891">
        <f>WWWW[[#This Row],[%equitable and continuous access to sufficient quantity of safe drinking and domestic water''s GAP]]*WWWW[[#This Row],[Total PoP ]]</f>
        <v>0</v>
      </c>
      <c r="BT37" s="451">
        <f>ROUND(IF(WWWW[[#This Row],[Total PoP ]]&lt;500,1,WWWW[[#This Row],[Total PoP ]]/500),0)</f>
        <v>7</v>
      </c>
      <c r="BU37" s="889">
        <f>IF(WWWW[[#This Row],[Total required water points]]-WWWW[[#This Row],['#Water points coverage]]&lt;0,0,WWWW[[#This Row],[Total required water points]]-WWWW[[#This Row],['#Water points coverage]])</f>
        <v>2.7999999999999581E-2</v>
      </c>
      <c r="BV37" s="452">
        <f>WWWW[[#This Row],[HRP2]]/WWWW[[#This Row],[Total PoP ]]</f>
        <v>0.83820998278829606</v>
      </c>
      <c r="BW37"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2922</v>
      </c>
      <c r="BX37" s="455">
        <f>IF(WWWW[[#This Row],['#_Functional_adult_latrines]]="","",WWWW[[#This Row],[Total PoP ]]/WWWW[[#This Row],['#_Functional_adult_latrines]])</f>
        <v>24.549295774647888</v>
      </c>
      <c r="BY37" s="889">
        <f>WWWW[[#This Row],['#_of_latrines_in_TLS/CFS]]*50</f>
        <v>400</v>
      </c>
      <c r="BZ37" s="451">
        <f>IF(WWWW[[#This Row],['#_of_latrines_in_THF]]="",0,WWWW[[#This Row],['#_of_latrines_in_THF]]*50)</f>
        <v>0</v>
      </c>
      <c r="CA37" s="889">
        <f>ROUND(IF(WWWW[[#This Row],[Location Type 1]]="camp",WWWW[[#This Row],[Total PoP ]]/20),0)</f>
        <v>174</v>
      </c>
      <c r="CB37" s="889">
        <f>IF(WWWW[[#This Row],[Total required Latrines]]-WWWW[[#This Row],['#_Existing_latrines]]&lt;0,0,WWWW[[#This Row],[Total required Latrines]]-WWWW[[#This Row],['#_Existing_latrines]])</f>
        <v>0</v>
      </c>
      <c r="CC37" s="892">
        <f>1-WWWW[[#This Row],[% HRP2]]</f>
        <v>0.16179001721170394</v>
      </c>
      <c r="CD37" s="888">
        <f>IF(WWWW[[#This Row],['#_Existing_latrines]]="","NA",(WWWW[[#This Row],['#_Existing_latrines]]-WWWW[[#This Row],['#_Functional_adult_latrines]])/WWWW[[#This Row],['#_Existing_latrines]])</f>
        <v>0.37719298245614036</v>
      </c>
      <c r="CE37"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1767</v>
      </c>
      <c r="CF37" s="891">
        <f>SUM(WWWW[[#This Row],[_'#_of_Men_receiving_consultation_hygiene_promotion_messages_and_sessions]:[_'#_of_Girls_receiving_consultation_hygiene_promotion_messages_and_sessions]])-WWWW[[#This Row],['# people reached by regular dedicated hygiene promotion_5]]</f>
        <v>0</v>
      </c>
      <c r="CG37"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H37" s="889">
        <f>IF(WWWW[[#This Row],['#_of_affected_women_and_girls_receiving_a_sufficient_quantity_of_sanitary_pads]]&gt;WWWW[[#This Row],[Total PoP ]],WWWW[[#This Row],[Total PoP ]],WWWW[[#This Row],['#_of_affected_women_and_girls_receiving_a_sufficient_quantity_of_sanitary_pads]])</f>
        <v>1312</v>
      </c>
      <c r="CI37" s="889">
        <f>IF(WWWW[[#This Row],['# People with access to soap]]&gt;WWWW[[#This Row],['# People with access to Sanity Pads]],WWWW[[#This Row],['# People with access to soap]],WWWW[[#This Row],['# People with access to Sanity Pads]])</f>
        <v>3486</v>
      </c>
      <c r="CJ37" s="889">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K37" s="892">
        <f>IF(WWWW[[#This Row],[HRP3]]/WWWW[[#This Row],[Total PoP ]]&gt;100%,100%,WWWW[[#This Row],[HRP3]]/WWWW[[#This Row],[Total PoP ]])</f>
        <v>1</v>
      </c>
      <c r="CL37" s="888">
        <f>1-WWWW[[#This Row],[Hygiene Coverage%]]</f>
        <v>0</v>
      </c>
      <c r="CM37" s="884">
        <f>WWWW[[#This Row],['# people reached by regular dedicated hygiene promotion_5]]/WWWW[[#This Row],[Total PoP ]]</f>
        <v>0.50688468158347677</v>
      </c>
      <c r="CN37" s="888">
        <f>IF(WWWW[[#This Row],['#_of_affected_households_receiving_a_sufficient_quantity_of_soap]]/WWWW[[#This Row],[Total HH]]&gt;1,1,WWWW[[#This Row],['#_of_affected_households_receiving_a_sufficient_quantity_of_soap]]/WWWW[[#This Row],[Total HH]])</f>
        <v>1</v>
      </c>
      <c r="CO37" s="455" t="str">
        <f>IF(WWWW[[#This Row],['#_students at TLS_CFS]]="","No","Yes")</f>
        <v>No</v>
      </c>
      <c r="CP37" s="452">
        <f>WWWW[[#This Row],[%_of_affected_people_surveyed_who_report_feeling_informed_about_the_different_WASH_services_available_to_them]]</f>
        <v>1</v>
      </c>
      <c r="CQ3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37" s="500">
        <f>IF(WWWW[[#This Row],['#_PPL_accessed_water_in_TLS]]&gt;WWWW[[#This Row],['# students access to functioning school latrines_HRP5]],WWWW[[#This Row],['#_PPL_accessed_water_in_TLS]],WWWW[[#This Row],['# students access to functioning school latrines_HRP5]])</f>
        <v>400</v>
      </c>
      <c r="CS37" s="500">
        <f>IF(WWWW[[#This Row],['#_PPL_accessed_water_in_THF]]&gt;WWWW[[#This Row],['# people access to functioning latrines in THF_HRP6]],WWWW[[#This Row],['#_PPL_accessed_water_in_THF]],WWWW[[#This Row],['# people access to functioning latrines in THF_HRP6]])</f>
        <v>0</v>
      </c>
      <c r="CT37" s="880" t="str">
        <f>VLOOKUP(WWWW[[#This Row],[Site Name]],SiteDB6[[Site Name]:[CCCM Management]],6,FALSE)</f>
        <v>Yes</v>
      </c>
      <c r="CU37" s="880">
        <f>VLOOKUP(WWWW[[#This Row],[Site Name]],SiteDB6[[Site Name]:[CCCM Focal Agency]],7,FALSE)</f>
        <v>0</v>
      </c>
      <c r="CV37" s="880" t="str">
        <f>VLOOKUP(WWWW[[#This Row],[Site Name]],SiteDB6[[Site Name]:[Location Type 1]],9,FALSE)</f>
        <v>Camp</v>
      </c>
      <c r="CW37" s="880" t="str">
        <f>VLOOKUP(WWWW[[#This Row],[Site Name]],SiteDB6[[Site Name]:[Type of Accommodation]],10,FALSE)</f>
        <v>Planned Camp</v>
      </c>
      <c r="CX37" s="880" t="str">
        <f>VLOOKUP(WWWW[[#This Row],[Site Name]],SiteDB6[[Site Name]:[Ethnic or GCA/NGCA]],11,FALSE)</f>
        <v>Muslim</v>
      </c>
      <c r="CY37" s="880">
        <f>VLOOKUP(WWWW[[#This Row],[Site Name]],SiteDB6[[Site Name]:[Lat]],12,FALSE)</f>
        <v>20.185917</v>
      </c>
      <c r="CZ37" s="880">
        <f>VLOOKUP(WWWW[[#This Row],[Site Name]],SiteDB6[[Site Name]:[Long]],13,FALSE)</f>
        <v>92.831000000000003</v>
      </c>
      <c r="DA37" s="880" t="str">
        <f>VLOOKUP(WWWW[[#This Row],[Site Name]],SiteDB6[[Site Name]:[Pcode]],3,FALSE)</f>
        <v>MMR012CMP092</v>
      </c>
      <c r="DB37" s="893" t="str">
        <f t="shared" si="1"/>
        <v>Covered</v>
      </c>
      <c r="DC37" s="477">
        <f>VLOOKUP(WWWW[[#This Row],[Site Name]],SiteDB6[[Site Name]:[PWD_Total]],22,FALSE)</f>
        <v>88</v>
      </c>
      <c r="DD37" s="477">
        <f>VLOOKUP(WWWW[[#This Row],[Site Name]],SiteDB6[[Site Name]:[PWD_Total]],23,FALSE)</f>
        <v>397</v>
      </c>
      <c r="DE37" s="477">
        <f>WWWW[[#This Row],['# of Male_People with disabilities]]+WWWW[[#This Row],['# of Female_People with disabilities]]</f>
        <v>485</v>
      </c>
      <c r="DF37" s="880"/>
      <c r="DG37" s="893"/>
      <c r="DH37" s="893"/>
      <c r="DI37" s="893"/>
      <c r="DJ37" s="893">
        <f>VLOOKUP(WWWW[[#This Row],[Site Name]],SiteDB6[[Site Name]:[Pop
(CCCM as of Autust 2021)]],16,FALSE)</f>
        <v>657</v>
      </c>
      <c r="DK37" s="893">
        <f>VLOOKUP(WWWW[[#This Row],[Site Name]],SiteDB6[[Site Name]:[Pop
(CCCM as of Autust 2021)]],17,FALSE)</f>
        <v>3906</v>
      </c>
    </row>
    <row r="38" spans="1:115">
      <c r="A38" s="873" t="s">
        <v>3144</v>
      </c>
      <c r="B38" s="878" t="s">
        <v>265</v>
      </c>
      <c r="C38" s="879" t="s">
        <v>265</v>
      </c>
      <c r="D38" s="879" t="s">
        <v>2983</v>
      </c>
      <c r="E38" s="845" t="s">
        <v>293</v>
      </c>
      <c r="F38" s="879" t="s">
        <v>401</v>
      </c>
      <c r="G38" s="846" t="s">
        <v>43</v>
      </c>
      <c r="H38" s="879" t="s">
        <v>405</v>
      </c>
      <c r="I38" s="881">
        <v>1076</v>
      </c>
      <c r="J38" s="881">
        <v>5024</v>
      </c>
      <c r="K38" s="684">
        <f>WWWW[[#This Row],[Total PoP ]]/WWWW[[#This Row],[Total HH]]</f>
        <v>4.6691449814126393</v>
      </c>
      <c r="L38" s="882" t="s">
        <v>3185</v>
      </c>
      <c r="M38" s="883" t="s">
        <v>3186</v>
      </c>
      <c r="N38" s="881"/>
      <c r="O38" s="500"/>
      <c r="P38" s="881"/>
      <c r="Q38" s="500"/>
      <c r="R38" s="500"/>
      <c r="S38" s="881">
        <v>1768448</v>
      </c>
      <c r="T38" s="881">
        <v>5024</v>
      </c>
      <c r="U38" s="881">
        <v>2</v>
      </c>
      <c r="V38" s="884">
        <v>0.5</v>
      </c>
      <c r="W38" s="881">
        <v>5</v>
      </c>
      <c r="X38" s="884">
        <v>1</v>
      </c>
      <c r="Y38" s="881">
        <v>17</v>
      </c>
      <c r="Z38" s="500"/>
      <c r="AA38" s="500"/>
      <c r="AB38" s="885" t="s">
        <v>3189</v>
      </c>
      <c r="AC38" s="881">
        <v>152</v>
      </c>
      <c r="AD38" s="881">
        <v>158</v>
      </c>
      <c r="AE38" s="881">
        <v>6</v>
      </c>
      <c r="AF38" s="881">
        <v>158</v>
      </c>
      <c r="AG38" s="884">
        <v>0.99</v>
      </c>
      <c r="AH38" s="884">
        <v>1</v>
      </c>
      <c r="AI38" s="884">
        <v>0.99</v>
      </c>
      <c r="AJ38" s="881">
        <v>26</v>
      </c>
      <c r="AK38" s="881">
        <v>127</v>
      </c>
      <c r="AL38" s="881"/>
      <c r="AM38" s="500"/>
      <c r="AN38" s="881" t="s">
        <v>41</v>
      </c>
      <c r="AO38" s="886" t="s">
        <v>3188</v>
      </c>
      <c r="AP38" s="881">
        <v>974</v>
      </c>
      <c r="AQ38" s="881">
        <v>1090</v>
      </c>
      <c r="AR38" s="881">
        <v>1516</v>
      </c>
      <c r="AS38" s="881">
        <v>1444</v>
      </c>
      <c r="AT38" s="881">
        <v>1076</v>
      </c>
      <c r="AU38" s="881">
        <v>1294</v>
      </c>
      <c r="AV38" s="450">
        <v>0.94</v>
      </c>
      <c r="AW38" s="884">
        <v>0.56999999999999995</v>
      </c>
      <c r="AX38" s="451">
        <v>1</v>
      </c>
      <c r="AY38" s="887"/>
      <c r="AZ38" s="450">
        <v>1</v>
      </c>
      <c r="BA38" s="450"/>
      <c r="BB38" s="450">
        <v>1</v>
      </c>
      <c r="BC38" s="450">
        <v>1</v>
      </c>
      <c r="BD38" s="450">
        <v>1.0699999999999999E-2</v>
      </c>
      <c r="BE38" s="500">
        <v>4</v>
      </c>
      <c r="BF38" s="500"/>
      <c r="BG38" s="500"/>
      <c r="BH38" s="500"/>
      <c r="BI38" s="500"/>
      <c r="BJ38" s="500"/>
      <c r="BK38" s="500"/>
      <c r="BL38" s="888" t="str">
        <f>IF(WWWW[[#This Row],['#_Water samples_Tested_at_water_source]]="","no test","Tested")</f>
        <v>Tested</v>
      </c>
      <c r="BM38" s="888" t="str">
        <f>IF(WWWW[[#This Row],['#_Water samples_Tested_at_HH]]="","no test","Tested")</f>
        <v>Tested</v>
      </c>
      <c r="BN38" s="889" t="str">
        <f>IF(AND(WWWW[[#This Row],[Water_testing_at source]]="no test",WWWW[[#This Row],[Water_testing_at HH]]="no test"),"No Test","Tested")</f>
        <v>Tested</v>
      </c>
      <c r="BO38"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8" s="890">
        <f>WWWW[[#This Row],[% HRP1]]*WWWW[[#This Row],[Total PoP ]]</f>
        <v>5024</v>
      </c>
      <c r="BQ38" s="891">
        <f>WWWW[[#This Row],[HRP1]]/500</f>
        <v>10.048</v>
      </c>
      <c r="BR38" s="892">
        <f>1-WWWW[[#This Row],[% HRP1]]</f>
        <v>0</v>
      </c>
      <c r="BS38" s="891">
        <f>WWWW[[#This Row],[%equitable and continuous access to sufficient quantity of safe drinking and domestic water''s GAP]]*WWWW[[#This Row],[Total PoP ]]</f>
        <v>0</v>
      </c>
      <c r="BT38" s="451">
        <f>ROUND(IF(WWWW[[#This Row],[Total PoP ]]&lt;500,1,WWWW[[#This Row],[Total PoP ]]/500),0)</f>
        <v>10</v>
      </c>
      <c r="BU38" s="889">
        <f>IF(WWWW[[#This Row],[Total required water points]]-WWWW[[#This Row],['#Water points coverage]]&lt;0,0,WWWW[[#This Row],[Total required water points]]-WWWW[[#This Row],['#Water points coverage]])</f>
        <v>0</v>
      </c>
      <c r="BV38" s="452">
        <f>WWWW[[#This Row],[HRP2]]/WWWW[[#This Row],[Total PoP ]]</f>
        <v>0.73387738853503182</v>
      </c>
      <c r="BW38"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3687</v>
      </c>
      <c r="BX38" s="455">
        <f>IF(WWWW[[#This Row],['#_Functional_adult_latrines]]="","",WWWW[[#This Row],[Total PoP ]]/WWWW[[#This Row],['#_Functional_adult_latrines]])</f>
        <v>33.05263157894737</v>
      </c>
      <c r="BY38" s="889">
        <f>WWWW[[#This Row],['#_of_latrines_in_TLS/CFS]]*50</f>
        <v>0</v>
      </c>
      <c r="BZ38" s="451">
        <f>IF(WWWW[[#This Row],['#_of_latrines_in_THF]]="",0,WWWW[[#This Row],['#_of_latrines_in_THF]]*50)</f>
        <v>0</v>
      </c>
      <c r="CA38" s="889">
        <f>ROUND(IF(WWWW[[#This Row],[Location Type 1]]="camp",WWWW[[#This Row],[Total PoP ]]/20),0)</f>
        <v>251</v>
      </c>
      <c r="CB38" s="889">
        <f>IF(WWWW[[#This Row],[Total required Latrines]]-WWWW[[#This Row],['#_Existing_latrines]]&lt;0,0,WWWW[[#This Row],[Total required Latrines]]-WWWW[[#This Row],['#_Existing_latrines]])</f>
        <v>93</v>
      </c>
      <c r="CC38" s="892">
        <f>1-WWWW[[#This Row],[% HRP2]]</f>
        <v>0.26612261146496818</v>
      </c>
      <c r="CD38" s="888">
        <f>IF(WWWW[[#This Row],['#_Existing_latrines]]="","NA",(WWWW[[#This Row],['#_Existing_latrines]]-WWWW[[#This Row],['#_Functional_adult_latrines]])/WWWW[[#This Row],['#_Existing_latrines]])</f>
        <v>3.7974683544303799E-2</v>
      </c>
      <c r="CE38"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38" s="891">
        <f>SUM(WWWW[[#This Row],[_'#_of_Men_receiving_consultation_hygiene_promotion_messages_and_sessions]:[_'#_of_Girls_receiving_consultation_hygiene_promotion_messages_and_sessions]])-WWWW[[#This Row],['# people reached by regular dedicated hygiene promotion_5]]</f>
        <v>0</v>
      </c>
      <c r="CG38"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H38" s="889">
        <f>IF(WWWW[[#This Row],['#_of_affected_women_and_girls_receiving_a_sufficient_quantity_of_sanitary_pads]]&gt;WWWW[[#This Row],[Total PoP ]],WWWW[[#This Row],[Total PoP ]],WWWW[[#This Row],['#_of_affected_women_and_girls_receiving_a_sufficient_quantity_of_sanitary_pads]])</f>
        <v>1294</v>
      </c>
      <c r="CI38" s="889">
        <f>IF(WWWW[[#This Row],['# People with access to soap]]&gt;WWWW[[#This Row],['# People with access to Sanity Pads]],WWWW[[#This Row],['# People with access to soap]],WWWW[[#This Row],['# People with access to Sanity Pads]])</f>
        <v>5024</v>
      </c>
      <c r="CJ38" s="889">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K38" s="892">
        <f>IF(WWWW[[#This Row],[HRP3]]/WWWW[[#This Row],[Total PoP ]]&gt;100%,100%,WWWW[[#This Row],[HRP3]]/WWWW[[#This Row],[Total PoP ]])</f>
        <v>1</v>
      </c>
      <c r="CL38" s="888">
        <f>1-WWWW[[#This Row],[Hygiene Coverage%]]</f>
        <v>0</v>
      </c>
      <c r="CM38" s="884">
        <f>WWWW[[#This Row],['# people reached by regular dedicated hygiene promotion_5]]/WWWW[[#This Row],[Total PoP ]]</f>
        <v>1</v>
      </c>
      <c r="CN38" s="888">
        <f>IF(WWWW[[#This Row],['#_of_affected_households_receiving_a_sufficient_quantity_of_soap]]/WWWW[[#This Row],[Total HH]]&gt;1,1,WWWW[[#This Row],['#_of_affected_households_receiving_a_sufficient_quantity_of_soap]]/WWWW[[#This Row],[Total HH]])</f>
        <v>1</v>
      </c>
      <c r="CO38" s="455" t="str">
        <f>IF(WWWW[[#This Row],['#_students at TLS_CFS]]="","No","Yes")</f>
        <v>No</v>
      </c>
      <c r="CP38" s="452">
        <f>WWWW[[#This Row],[%_of_affected_people_surveyed_who_report_feeling_informed_about_the_different_WASH_services_available_to_them]]</f>
        <v>1</v>
      </c>
      <c r="CQ3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v>
      </c>
      <c r="CR38" s="500">
        <f>IF(WWWW[[#This Row],['#_PPL_accessed_water_in_TLS]]&gt;WWWW[[#This Row],['# students access to functioning school latrines_HRP5]],WWWW[[#This Row],['#_PPL_accessed_water_in_TLS]],WWWW[[#This Row],['# students access to functioning school latrines_HRP5]])</f>
        <v>0</v>
      </c>
      <c r="CS38" s="500">
        <f>IF(WWWW[[#This Row],['#_PPL_accessed_water_in_THF]]&gt;WWWW[[#This Row],['# people access to functioning latrines in THF_HRP6]],WWWW[[#This Row],['#_PPL_accessed_water_in_THF]],WWWW[[#This Row],['# people access to functioning latrines in THF_HRP6]])</f>
        <v>0</v>
      </c>
      <c r="CT38" s="880" t="str">
        <f>VLOOKUP(WWWW[[#This Row],[Site Name]],SiteDB6[[Site Name]:[CCCM Management]],6,FALSE)</f>
        <v>Yes</v>
      </c>
      <c r="CU38" s="880" t="str">
        <f>VLOOKUP(WWWW[[#This Row],[Site Name]],SiteDB6[[Site Name]:[CCCM Focal Agency]],7,FALSE)</f>
        <v>LWF</v>
      </c>
      <c r="CV38" s="880" t="str">
        <f>VLOOKUP(WWWW[[#This Row],[Site Name]],SiteDB6[[Site Name]:[Location Type 1]],9,FALSE)</f>
        <v>Camp</v>
      </c>
      <c r="CW38" s="880" t="str">
        <f>VLOOKUP(WWWW[[#This Row],[Site Name]],SiteDB6[[Site Name]:[Type of Accommodation]],10,FALSE)</f>
        <v>Individual House</v>
      </c>
      <c r="CX38" s="880" t="str">
        <f>VLOOKUP(WWWW[[#This Row],[Site Name]],SiteDB6[[Site Name]:[Ethnic or GCA/NGCA]],11,FALSE)</f>
        <v>Muslim</v>
      </c>
      <c r="CY38" s="880">
        <f>VLOOKUP(WWWW[[#This Row],[Site Name]],SiteDB6[[Site Name]:[Lat]],12,FALSE)</f>
        <v>20.073437999999999</v>
      </c>
      <c r="CZ38" s="880">
        <f>VLOOKUP(WWWW[[#This Row],[Site Name]],SiteDB6[[Site Name]:[Long]],13,FALSE)</f>
        <v>93.154551999999995</v>
      </c>
      <c r="DA38" s="880" t="str">
        <f>VLOOKUP(WWWW[[#This Row],[Site Name]],SiteDB6[[Site Name]:[Pcode]],3,FALSE)</f>
        <v>MMR012CMP017</v>
      </c>
      <c r="DB38" s="893" t="str">
        <f t="shared" si="1"/>
        <v>Covered</v>
      </c>
      <c r="DC38" s="477">
        <f>VLOOKUP(WWWW[[#This Row],[Site Name]],SiteDB6[[Site Name]:[PWD_Total]],22,FALSE)</f>
        <v>159</v>
      </c>
      <c r="DD38" s="477">
        <f>VLOOKUP(WWWW[[#This Row],[Site Name]],SiteDB6[[Site Name]:[PWD_Total]],23,FALSE)</f>
        <v>923</v>
      </c>
      <c r="DE38" s="477">
        <f>WWWW[[#This Row],['# of Male_People with disabilities]]+WWWW[[#This Row],['# of Female_People with disabilities]]</f>
        <v>1082</v>
      </c>
      <c r="DF38" s="880"/>
      <c r="DG38" s="893"/>
      <c r="DH38" s="893"/>
      <c r="DI38" s="893"/>
      <c r="DJ38" s="893">
        <f>VLOOKUP(WWWW[[#This Row],[Site Name]],SiteDB6[[Site Name]:[Pop
(CCCM as of Autust 2021)]],16,FALSE)</f>
        <v>1059</v>
      </c>
      <c r="DK38" s="893">
        <f>VLOOKUP(WWWW[[#This Row],[Site Name]],SiteDB6[[Site Name]:[Pop
(CCCM as of Autust 2021)]],17,FALSE)</f>
        <v>5004</v>
      </c>
    </row>
    <row r="39" spans="1:115">
      <c r="A39" s="873" t="s">
        <v>3144</v>
      </c>
      <c r="B39" s="878" t="s">
        <v>265</v>
      </c>
      <c r="C39" s="879" t="s">
        <v>265</v>
      </c>
      <c r="D39" s="879" t="s">
        <v>2983</v>
      </c>
      <c r="E39" s="845" t="s">
        <v>293</v>
      </c>
      <c r="F39" s="879" t="s">
        <v>401</v>
      </c>
      <c r="G39" s="846" t="s">
        <v>43</v>
      </c>
      <c r="H39" s="879" t="s">
        <v>406</v>
      </c>
      <c r="I39" s="881">
        <v>1064</v>
      </c>
      <c r="J39" s="881">
        <v>5137</v>
      </c>
      <c r="K39" s="684">
        <f>WWWW[[#This Row],[Total PoP ]]/WWWW[[#This Row],[Total HH]]</f>
        <v>4.8280075187969924</v>
      </c>
      <c r="L39" s="882" t="s">
        <v>3185</v>
      </c>
      <c r="M39" s="883" t="s">
        <v>3186</v>
      </c>
      <c r="N39" s="881"/>
      <c r="O39" s="500"/>
      <c r="P39" s="881"/>
      <c r="Q39" s="500"/>
      <c r="R39" s="500"/>
      <c r="S39" s="881">
        <v>1797950</v>
      </c>
      <c r="T39" s="881">
        <v>5137</v>
      </c>
      <c r="U39" s="881"/>
      <c r="V39" s="884"/>
      <c r="W39" s="881"/>
      <c r="X39" s="884"/>
      <c r="Y39" s="881">
        <v>82</v>
      </c>
      <c r="Z39" s="500"/>
      <c r="AA39" s="500"/>
      <c r="AB39" s="885" t="s">
        <v>3189</v>
      </c>
      <c r="AC39" s="881">
        <v>161</v>
      </c>
      <c r="AD39" s="881">
        <v>197</v>
      </c>
      <c r="AE39" s="881"/>
      <c r="AF39" s="881">
        <v>197</v>
      </c>
      <c r="AG39" s="884">
        <v>0.99</v>
      </c>
      <c r="AH39" s="884">
        <v>0.99</v>
      </c>
      <c r="AI39" s="884">
        <v>0.99</v>
      </c>
      <c r="AJ39" s="881">
        <v>36</v>
      </c>
      <c r="AK39" s="881">
        <v>91</v>
      </c>
      <c r="AL39" s="881"/>
      <c r="AM39" s="500"/>
      <c r="AN39" s="881" t="s">
        <v>41</v>
      </c>
      <c r="AO39" s="886" t="s">
        <v>3188</v>
      </c>
      <c r="AP39" s="881">
        <v>1051</v>
      </c>
      <c r="AQ39" s="881">
        <v>1120</v>
      </c>
      <c r="AR39" s="881">
        <v>1582</v>
      </c>
      <c r="AS39" s="881">
        <v>1384</v>
      </c>
      <c r="AT39" s="881">
        <v>1064</v>
      </c>
      <c r="AU39" s="881">
        <v>1366</v>
      </c>
      <c r="AV39" s="450">
        <v>0.45</v>
      </c>
      <c r="AW39" s="884">
        <v>0.37</v>
      </c>
      <c r="AX39" s="451">
        <v>0</v>
      </c>
      <c r="AY39" s="887"/>
      <c r="AZ39" s="450">
        <v>0.92</v>
      </c>
      <c r="BA39" s="450"/>
      <c r="BB39" s="450">
        <v>0.99</v>
      </c>
      <c r="BC39" s="450">
        <v>1</v>
      </c>
      <c r="BD39" s="450"/>
      <c r="BE39" s="500">
        <v>8</v>
      </c>
      <c r="BF39" s="500"/>
      <c r="BG39" s="500"/>
      <c r="BH39" s="500"/>
      <c r="BI39" s="500"/>
      <c r="BJ39" s="500"/>
      <c r="BK39" s="500"/>
      <c r="BL39" s="888" t="str">
        <f>IF(WWWW[[#This Row],['#_Water samples_Tested_at_water_source]]="","no test","Tested")</f>
        <v>no test</v>
      </c>
      <c r="BM39" s="888" t="str">
        <f>IF(WWWW[[#This Row],['#_Water samples_Tested_at_HH]]="","no test","Tested")</f>
        <v>no test</v>
      </c>
      <c r="BN39" s="889" t="str">
        <f>IF(AND(WWWW[[#This Row],[Water_testing_at source]]="no test",WWWW[[#This Row],[Water_testing_at HH]]="no test"),"No Test","Tested")</f>
        <v>No Test</v>
      </c>
      <c r="BO39"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9" s="890">
        <f>WWWW[[#This Row],[% HRP1]]*WWWW[[#This Row],[Total PoP ]]</f>
        <v>5137</v>
      </c>
      <c r="BQ39" s="891">
        <f>WWWW[[#This Row],[HRP1]]/500</f>
        <v>10.273999999999999</v>
      </c>
      <c r="BR39" s="892">
        <f>1-WWWW[[#This Row],[% HRP1]]</f>
        <v>0</v>
      </c>
      <c r="BS39" s="891">
        <f>WWWW[[#This Row],[%equitable and continuous access to sufficient quantity of safe drinking and domestic water''s GAP]]*WWWW[[#This Row],[Total PoP ]]</f>
        <v>0</v>
      </c>
      <c r="BT39" s="451">
        <f>ROUND(IF(WWWW[[#This Row],[Total PoP ]]&lt;500,1,WWWW[[#This Row],[Total PoP ]]/500),0)</f>
        <v>10</v>
      </c>
      <c r="BU39" s="889">
        <f>IF(WWWW[[#This Row],[Total required water points]]-WWWW[[#This Row],['#Water points coverage]]&lt;0,0,WWWW[[#This Row],[Total required water points]]-WWWW[[#This Row],['#Water points coverage]])</f>
        <v>0</v>
      </c>
      <c r="BV39" s="452">
        <f>WWWW[[#This Row],[HRP2]]/WWWW[[#This Row],[Total PoP ]]</f>
        <v>0.78469924080202458</v>
      </c>
      <c r="BW39"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4031</v>
      </c>
      <c r="BX39" s="455">
        <f>IF(WWWW[[#This Row],['#_Functional_adult_latrines]]="","",WWWW[[#This Row],[Total PoP ]]/WWWW[[#This Row],['#_Functional_adult_latrines]])</f>
        <v>31.906832298136646</v>
      </c>
      <c r="BY39" s="889">
        <f>WWWW[[#This Row],['#_of_latrines_in_TLS/CFS]]*50</f>
        <v>0</v>
      </c>
      <c r="BZ39" s="451">
        <f>IF(WWWW[[#This Row],['#_of_latrines_in_THF]]="",0,WWWW[[#This Row],['#_of_latrines_in_THF]]*50)</f>
        <v>0</v>
      </c>
      <c r="CA39" s="889">
        <f>ROUND(IF(WWWW[[#This Row],[Location Type 1]]="camp",WWWW[[#This Row],[Total PoP ]]/20),0)</f>
        <v>257</v>
      </c>
      <c r="CB39" s="889">
        <f>IF(WWWW[[#This Row],[Total required Latrines]]-WWWW[[#This Row],['#_Existing_latrines]]&lt;0,0,WWWW[[#This Row],[Total required Latrines]]-WWWW[[#This Row],['#_Existing_latrines]])</f>
        <v>60</v>
      </c>
      <c r="CC39" s="892">
        <f>1-WWWW[[#This Row],[% HRP2]]</f>
        <v>0.21530075919797542</v>
      </c>
      <c r="CD39" s="888">
        <f>IF(WWWW[[#This Row],['#_Existing_latrines]]="","NA",(WWWW[[#This Row],['#_Existing_latrines]]-WWWW[[#This Row],['#_Functional_adult_latrines]])/WWWW[[#This Row],['#_Existing_latrines]])</f>
        <v>0.18274111675126903</v>
      </c>
      <c r="CE39"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39" s="891">
        <f>SUM(WWWW[[#This Row],[_'#_of_Men_receiving_consultation_hygiene_promotion_messages_and_sessions]:[_'#_of_Girls_receiving_consultation_hygiene_promotion_messages_and_sessions]])-WWWW[[#This Row],['# people reached by regular dedicated hygiene promotion_5]]</f>
        <v>0</v>
      </c>
      <c r="CG39"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H39" s="889">
        <f>IF(WWWW[[#This Row],['#_of_affected_women_and_girls_receiving_a_sufficient_quantity_of_sanitary_pads]]&gt;WWWW[[#This Row],[Total PoP ]],WWWW[[#This Row],[Total PoP ]],WWWW[[#This Row],['#_of_affected_women_and_girls_receiving_a_sufficient_quantity_of_sanitary_pads]])</f>
        <v>1366</v>
      </c>
      <c r="CI39" s="889">
        <f>IF(WWWW[[#This Row],['# People with access to soap]]&gt;WWWW[[#This Row],['# People with access to Sanity Pads]],WWWW[[#This Row],['# People with access to soap]],WWWW[[#This Row],['# People with access to Sanity Pads]])</f>
        <v>5137</v>
      </c>
      <c r="CJ39" s="889">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K39" s="892">
        <f>IF(WWWW[[#This Row],[HRP3]]/WWWW[[#This Row],[Total PoP ]]&gt;100%,100%,WWWW[[#This Row],[HRP3]]/WWWW[[#This Row],[Total PoP ]])</f>
        <v>1</v>
      </c>
      <c r="CL39" s="888">
        <f>1-WWWW[[#This Row],[Hygiene Coverage%]]</f>
        <v>0</v>
      </c>
      <c r="CM39" s="884">
        <f>WWWW[[#This Row],['# people reached by regular dedicated hygiene promotion_5]]/WWWW[[#This Row],[Total PoP ]]</f>
        <v>1</v>
      </c>
      <c r="CN39" s="888">
        <f>IF(WWWW[[#This Row],['#_of_affected_households_receiving_a_sufficient_quantity_of_soap]]/WWWW[[#This Row],[Total HH]]&gt;1,1,WWWW[[#This Row],['#_of_affected_households_receiving_a_sufficient_quantity_of_soap]]/WWWW[[#This Row],[Total HH]])</f>
        <v>1</v>
      </c>
      <c r="CO39" s="455" t="str">
        <f>IF(WWWW[[#This Row],['#_students at TLS_CFS]]="","No","Yes")</f>
        <v>No</v>
      </c>
      <c r="CP39" s="452">
        <f>WWWW[[#This Row],[%_of_affected_people_surveyed_who_report_feeling_informed_about_the_different_WASH_services_available_to_them]]</f>
        <v>0.99</v>
      </c>
      <c r="CQ3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v>
      </c>
      <c r="CR39" s="500">
        <f>IF(WWWW[[#This Row],['#_PPL_accessed_water_in_TLS]]&gt;WWWW[[#This Row],['# students access to functioning school latrines_HRP5]],WWWW[[#This Row],['#_PPL_accessed_water_in_TLS]],WWWW[[#This Row],['# students access to functioning school latrines_HRP5]])</f>
        <v>0</v>
      </c>
      <c r="CS39" s="500">
        <f>IF(WWWW[[#This Row],['#_PPL_accessed_water_in_THF]]&gt;WWWW[[#This Row],['# people access to functioning latrines in THF_HRP6]],WWWW[[#This Row],['#_PPL_accessed_water_in_THF]],WWWW[[#This Row],['# people access to functioning latrines in THF_HRP6]])</f>
        <v>0</v>
      </c>
      <c r="CT39" s="880" t="str">
        <f>VLOOKUP(WWWW[[#This Row],[Site Name]],SiteDB6[[Site Name]:[CCCM Management]],6,FALSE)</f>
        <v>Yes</v>
      </c>
      <c r="CU39" s="880" t="str">
        <f>VLOOKUP(WWWW[[#This Row],[Site Name]],SiteDB6[[Site Name]:[CCCM Focal Agency]],7,FALSE)</f>
        <v>LWF</v>
      </c>
      <c r="CV39" s="880" t="str">
        <f>VLOOKUP(WWWW[[#This Row],[Site Name]],SiteDB6[[Site Name]:[Location Type 1]],9,FALSE)</f>
        <v>Camp</v>
      </c>
      <c r="CW39" s="880" t="str">
        <f>VLOOKUP(WWWW[[#This Row],[Site Name]],SiteDB6[[Site Name]:[Type of Accommodation]],10,FALSE)</f>
        <v>Planned Camp</v>
      </c>
      <c r="CX39" s="880" t="str">
        <f>VLOOKUP(WWWW[[#This Row],[Site Name]],SiteDB6[[Site Name]:[Ethnic or GCA/NGCA]],11,FALSE)</f>
        <v>Muslim</v>
      </c>
      <c r="CY39" s="880">
        <f>VLOOKUP(WWWW[[#This Row],[Site Name]],SiteDB6[[Site Name]:[Lat]],12,FALSE)</f>
        <v>20.073437999999999</v>
      </c>
      <c r="CZ39" s="880">
        <f>VLOOKUP(WWWW[[#This Row],[Site Name]],SiteDB6[[Site Name]:[Long]],13,FALSE)</f>
        <v>93.154551999999995</v>
      </c>
      <c r="DA39" s="880" t="str">
        <f>VLOOKUP(WWWW[[#This Row],[Site Name]],SiteDB6[[Site Name]:[Pcode]],3,FALSE)</f>
        <v>MMR012CMP017</v>
      </c>
      <c r="DB39" s="893" t="str">
        <f t="shared" si="1"/>
        <v>Covered</v>
      </c>
      <c r="DC39" s="477">
        <f>VLOOKUP(WWWW[[#This Row],[Site Name]],SiteDB6[[Site Name]:[PWD_Total]],22,FALSE)</f>
        <v>116</v>
      </c>
      <c r="DD39" s="477">
        <f>VLOOKUP(WWWW[[#This Row],[Site Name]],SiteDB6[[Site Name]:[PWD_Total]],23,FALSE)</f>
        <v>693</v>
      </c>
      <c r="DE39" s="477">
        <f>WWWW[[#This Row],['# of Male_People with disabilities]]+WWWW[[#This Row],['# of Female_People with disabilities]]</f>
        <v>809</v>
      </c>
      <c r="DF39" s="880"/>
      <c r="DG39" s="893"/>
      <c r="DH39" s="893"/>
      <c r="DI39" s="893"/>
      <c r="DJ39" s="893">
        <f>VLOOKUP(WWWW[[#This Row],[Site Name]],SiteDB6[[Site Name]:[Pop
(CCCM as of Autust 2021)]],16,FALSE)</f>
        <v>982</v>
      </c>
      <c r="DK39" s="893">
        <f>VLOOKUP(WWWW[[#This Row],[Site Name]],SiteDB6[[Site Name]:[Pop
(CCCM as of Autust 2021)]],17,FALSE)</f>
        <v>4828</v>
      </c>
    </row>
    <row r="40" spans="1:115">
      <c r="A40" s="873" t="s">
        <v>3144</v>
      </c>
      <c r="B40" s="878" t="s">
        <v>2269</v>
      </c>
      <c r="C40" s="879" t="s">
        <v>2269</v>
      </c>
      <c r="D40" s="879" t="s">
        <v>3184</v>
      </c>
      <c r="E40" s="845" t="s">
        <v>293</v>
      </c>
      <c r="F40" s="879" t="s">
        <v>294</v>
      </c>
      <c r="G40" s="846" t="s">
        <v>43</v>
      </c>
      <c r="H40" s="879" t="s">
        <v>440</v>
      </c>
      <c r="I40" s="881">
        <v>774</v>
      </c>
      <c r="J40" s="881">
        <v>3095</v>
      </c>
      <c r="K40" s="684">
        <f>WWWW[[#This Row],[Total PoP ]]/WWWW[[#This Row],[Total HH]]</f>
        <v>3.9987080103359172</v>
      </c>
      <c r="L40" s="882">
        <v>44652</v>
      </c>
      <c r="M40" s="883">
        <v>44834</v>
      </c>
      <c r="N40" s="881"/>
      <c r="O40" s="500">
        <v>72</v>
      </c>
      <c r="P40" s="881">
        <v>80</v>
      </c>
      <c r="Q40" s="500"/>
      <c r="R40" s="500"/>
      <c r="S40" s="881"/>
      <c r="T40" s="881"/>
      <c r="U40" s="881">
        <v>14</v>
      </c>
      <c r="V40" s="884">
        <v>0.71</v>
      </c>
      <c r="W40" s="881"/>
      <c r="X40" s="884"/>
      <c r="Y40" s="881"/>
      <c r="Z40" s="500"/>
      <c r="AA40" s="500"/>
      <c r="AB40" s="885"/>
      <c r="AC40" s="881">
        <v>164</v>
      </c>
      <c r="AD40" s="881">
        <v>187</v>
      </c>
      <c r="AE40" s="881">
        <v>74</v>
      </c>
      <c r="AF40" s="881">
        <v>83</v>
      </c>
      <c r="AG40" s="884">
        <v>1</v>
      </c>
      <c r="AH40" s="884">
        <v>1</v>
      </c>
      <c r="AI40" s="884">
        <v>0.1</v>
      </c>
      <c r="AJ40" s="881"/>
      <c r="AK40" s="881">
        <v>19</v>
      </c>
      <c r="AL40" s="881">
        <v>2</v>
      </c>
      <c r="AM40" s="500"/>
      <c r="AN40" s="881" t="s">
        <v>41</v>
      </c>
      <c r="AO40" s="886"/>
      <c r="AP40" s="881">
        <v>628</v>
      </c>
      <c r="AQ40" s="881">
        <v>829</v>
      </c>
      <c r="AR40" s="881"/>
      <c r="AS40" s="881"/>
      <c r="AT40" s="881">
        <v>774</v>
      </c>
      <c r="AU40" s="881">
        <v>1548</v>
      </c>
      <c r="AV40" s="450">
        <v>1</v>
      </c>
      <c r="AW40" s="884">
        <v>1</v>
      </c>
      <c r="AX40" s="451"/>
      <c r="AY40" s="887"/>
      <c r="AZ40" s="450">
        <v>1</v>
      </c>
      <c r="BA40" s="450">
        <v>1</v>
      </c>
      <c r="BB40" s="450">
        <v>1</v>
      </c>
      <c r="BC40" s="450">
        <v>1</v>
      </c>
      <c r="BD40" s="450"/>
      <c r="BE40" s="500"/>
      <c r="BF40" s="500"/>
      <c r="BG40" s="500"/>
      <c r="BH40" s="500"/>
      <c r="BI40" s="500"/>
      <c r="BJ40" s="500"/>
      <c r="BK40" s="500"/>
      <c r="BL40" s="888" t="str">
        <f>IF(WWWW[[#This Row],['#_Water samples_Tested_at_water_source]]="","no test","Tested")</f>
        <v>Tested</v>
      </c>
      <c r="BM40" s="888" t="str">
        <f>IF(WWWW[[#This Row],['#_Water samples_Tested_at_HH]]="","no test","Tested")</f>
        <v>no test</v>
      </c>
      <c r="BN40" s="889" t="str">
        <f>IF(AND(WWWW[[#This Row],[Water_testing_at source]]="no test",WWWW[[#This Row],[Water_testing_at HH]]="no test"),"No Test","Tested")</f>
        <v>Tested</v>
      </c>
      <c r="BO40"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0" s="890">
        <f>WWWW[[#This Row],[% HRP1]]*WWWW[[#This Row],[Total PoP ]]</f>
        <v>3095</v>
      </c>
      <c r="BQ40" s="891">
        <f>WWWW[[#This Row],[HRP1]]/500</f>
        <v>6.19</v>
      </c>
      <c r="BR40" s="892">
        <f>1-WWWW[[#This Row],[% HRP1]]</f>
        <v>0</v>
      </c>
      <c r="BS40" s="891">
        <f>WWWW[[#This Row],[%equitable and continuous access to sufficient quantity of safe drinking and domestic water''s GAP]]*WWWW[[#This Row],[Total PoP ]]</f>
        <v>0</v>
      </c>
      <c r="BT40" s="451">
        <f>ROUND(IF(WWWW[[#This Row],[Total PoP ]]&lt;500,1,WWWW[[#This Row],[Total PoP ]]/500),0)</f>
        <v>6</v>
      </c>
      <c r="BU40" s="889">
        <f>IF(WWWW[[#This Row],[Total required water points]]-WWWW[[#This Row],['#Water points coverage]]&lt;0,0,WWWW[[#This Row],[Total required water points]]-WWWW[[#This Row],['#Water points coverage]])</f>
        <v>0</v>
      </c>
      <c r="BV40" s="452">
        <f>WWWW[[#This Row],[HRP2]]/WWWW[[#This Row],[Total PoP ]]</f>
        <v>1</v>
      </c>
      <c r="BW40"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40" s="455">
        <f>IF(WWWW[[#This Row],['#_Functional_adult_latrines]]="","",WWWW[[#This Row],[Total PoP ]]/WWWW[[#This Row],['#_Functional_adult_latrines]])</f>
        <v>18.871951219512194</v>
      </c>
      <c r="BY40" s="889">
        <f>WWWW[[#This Row],['#_of_latrines_in_TLS/CFS]]*50</f>
        <v>100</v>
      </c>
      <c r="BZ40" s="451">
        <f>IF(WWWW[[#This Row],['#_of_latrines_in_THF]]="",0,WWWW[[#This Row],['#_of_latrines_in_THF]]*50)</f>
        <v>0</v>
      </c>
      <c r="CA40" s="889">
        <f>ROUND(IF(WWWW[[#This Row],[Location Type 1]]="camp",WWWW[[#This Row],[Total PoP ]]/20),0)</f>
        <v>155</v>
      </c>
      <c r="CB40" s="889">
        <f>IF(WWWW[[#This Row],[Total required Latrines]]-WWWW[[#This Row],['#_Existing_latrines]]&lt;0,0,WWWW[[#This Row],[Total required Latrines]]-WWWW[[#This Row],['#_Existing_latrines]])</f>
        <v>0</v>
      </c>
      <c r="CC40" s="892">
        <f>1-WWWW[[#This Row],[% HRP2]]</f>
        <v>0</v>
      </c>
      <c r="CD40" s="888">
        <f>IF(WWWW[[#This Row],['#_Existing_latrines]]="","NA",(WWWW[[#This Row],['#_Existing_latrines]]-WWWW[[#This Row],['#_Functional_adult_latrines]])/WWWW[[#This Row],['#_Existing_latrines]])</f>
        <v>0.12299465240641712</v>
      </c>
      <c r="CE40"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1457</v>
      </c>
      <c r="CF40" s="891">
        <f>SUM(WWWW[[#This Row],[_'#_of_Men_receiving_consultation_hygiene_promotion_messages_and_sessions]:[_'#_of_Girls_receiving_consultation_hygiene_promotion_messages_and_sessions]])-WWWW[[#This Row],['# people reached by regular dedicated hygiene promotion_5]]</f>
        <v>0</v>
      </c>
      <c r="CG40"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H40" s="889">
        <f>IF(WWWW[[#This Row],['#_of_affected_women_and_girls_receiving_a_sufficient_quantity_of_sanitary_pads]]&gt;WWWW[[#This Row],[Total PoP ]],WWWW[[#This Row],[Total PoP ]],WWWW[[#This Row],['#_of_affected_women_and_girls_receiving_a_sufficient_quantity_of_sanitary_pads]])</f>
        <v>1548</v>
      </c>
      <c r="CI40" s="889">
        <f>IF(WWWW[[#This Row],['# People with access to soap]]&gt;WWWW[[#This Row],['# People with access to Sanity Pads]],WWWW[[#This Row],['# People with access to soap]],WWWW[[#This Row],['# People with access to Sanity Pads]])</f>
        <v>3095</v>
      </c>
      <c r="CJ40" s="889">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K40" s="892">
        <f>IF(WWWW[[#This Row],[HRP3]]/WWWW[[#This Row],[Total PoP ]]&gt;100%,100%,WWWW[[#This Row],[HRP3]]/WWWW[[#This Row],[Total PoP ]])</f>
        <v>1</v>
      </c>
      <c r="CL40" s="888">
        <f>1-WWWW[[#This Row],[Hygiene Coverage%]]</f>
        <v>0</v>
      </c>
      <c r="CM40" s="884">
        <f>WWWW[[#This Row],['# people reached by regular dedicated hygiene promotion_5]]/WWWW[[#This Row],[Total PoP ]]</f>
        <v>0.47075928917609045</v>
      </c>
      <c r="CN40" s="888">
        <f>IF(WWWW[[#This Row],['#_of_affected_households_receiving_a_sufficient_quantity_of_soap]]/WWWW[[#This Row],[Total HH]]&gt;1,1,WWWW[[#This Row],['#_of_affected_households_receiving_a_sufficient_quantity_of_soap]]/WWWW[[#This Row],[Total HH]])</f>
        <v>1</v>
      </c>
      <c r="CO40" s="455" t="str">
        <f>IF(WWWW[[#This Row],['#_students at TLS_CFS]]="","No","Yes")</f>
        <v>No</v>
      </c>
      <c r="CP40" s="452">
        <f>WWWW[[#This Row],[%_of_affected_people_surveyed_who_report_feeling_informed_about_the_different_WASH_services_available_to_them]]</f>
        <v>1</v>
      </c>
      <c r="CQ4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0" s="500">
        <f>IF(WWWW[[#This Row],['#_PPL_accessed_water_in_TLS]]&gt;WWWW[[#This Row],['# students access to functioning school latrines_HRP5]],WWWW[[#This Row],['#_PPL_accessed_water_in_TLS]],WWWW[[#This Row],['# students access to functioning school latrines_HRP5]])</f>
        <v>100</v>
      </c>
      <c r="CS40" s="500">
        <f>IF(WWWW[[#This Row],['#_PPL_accessed_water_in_THF]]&gt;WWWW[[#This Row],['# people access to functioning latrines in THF_HRP6]],WWWW[[#This Row],['#_PPL_accessed_water_in_THF]],WWWW[[#This Row],['# people access to functioning latrines in THF_HRP6]])</f>
        <v>0</v>
      </c>
      <c r="CT40" s="880" t="str">
        <f>VLOOKUP(WWWW[[#This Row],[Site Name]],SiteDB6[[Site Name]:[CCCM Management]],6,FALSE)</f>
        <v>Yes</v>
      </c>
      <c r="CU40" s="880">
        <f>VLOOKUP(WWWW[[#This Row],[Site Name]],SiteDB6[[Site Name]:[CCCM Focal Agency]],7,FALSE)</f>
        <v>0</v>
      </c>
      <c r="CV40" s="880" t="str">
        <f>VLOOKUP(WWWW[[#This Row],[Site Name]],SiteDB6[[Site Name]:[Location Type 1]],9,FALSE)</f>
        <v>Camp</v>
      </c>
      <c r="CW40" s="880" t="str">
        <f>VLOOKUP(WWWW[[#This Row],[Site Name]],SiteDB6[[Site Name]:[Type of Accommodation]],10,FALSE)</f>
        <v>Planned Camp</v>
      </c>
      <c r="CX40" s="880" t="str">
        <f>VLOOKUP(WWWW[[#This Row],[Site Name]],SiteDB6[[Site Name]:[Ethnic or GCA/NGCA]],11,FALSE)</f>
        <v>Muslim</v>
      </c>
      <c r="CY40" s="880">
        <f>VLOOKUP(WWWW[[#This Row],[Site Name]],SiteDB6[[Site Name]:[Lat]],12,FALSE)</f>
        <v>20.206778</v>
      </c>
      <c r="CZ40" s="880">
        <f>VLOOKUP(WWWW[[#This Row],[Site Name]],SiteDB6[[Site Name]:[Long]],13,FALSE)</f>
        <v>92.774193999999994</v>
      </c>
      <c r="DA40" s="880" t="str">
        <f>VLOOKUP(WWWW[[#This Row],[Site Name]],SiteDB6[[Site Name]:[Pcode]],3,FALSE)</f>
        <v>MMR012CMP098</v>
      </c>
      <c r="DB40" s="893" t="str">
        <f t="shared" si="1"/>
        <v>Covered</v>
      </c>
      <c r="DC40" s="477">
        <f>VLOOKUP(WWWW[[#This Row],[Site Name]],SiteDB6[[Site Name]:[PWD_Total]],22,FALSE)</f>
        <v>42</v>
      </c>
      <c r="DD40" s="477">
        <f>VLOOKUP(WWWW[[#This Row],[Site Name]],SiteDB6[[Site Name]:[PWD_Total]],23,FALSE)</f>
        <v>432</v>
      </c>
      <c r="DE40" s="477">
        <f>WWWW[[#This Row],['# of Male_People with disabilities]]+WWWW[[#This Row],['# of Female_People with disabilities]]</f>
        <v>474</v>
      </c>
      <c r="DF40" s="880"/>
      <c r="DG40" s="893"/>
      <c r="DH40" s="893"/>
      <c r="DI40" s="893"/>
      <c r="DJ40" s="893">
        <f>VLOOKUP(WWWW[[#This Row],[Site Name]],SiteDB6[[Site Name]:[Pop
(CCCM as of Autust 2021)]],16,FALSE)</f>
        <v>777</v>
      </c>
      <c r="DK40" s="893">
        <f>VLOOKUP(WWWW[[#This Row],[Site Name]],SiteDB6[[Site Name]:[Pop
(CCCM as of Autust 2021)]],17,FALSE)</f>
        <v>4735</v>
      </c>
    </row>
    <row r="41" spans="1:115">
      <c r="A41" s="873" t="s">
        <v>3144</v>
      </c>
      <c r="B41" s="878" t="s">
        <v>2269</v>
      </c>
      <c r="C41" s="878" t="s">
        <v>2269</v>
      </c>
      <c r="D41" s="879" t="s">
        <v>3184</v>
      </c>
      <c r="E41" s="845" t="s">
        <v>293</v>
      </c>
      <c r="F41" s="879" t="s">
        <v>294</v>
      </c>
      <c r="G41" s="846" t="s">
        <v>43</v>
      </c>
      <c r="H41" s="874" t="s">
        <v>431</v>
      </c>
      <c r="I41" s="881">
        <v>2728</v>
      </c>
      <c r="J41" s="881">
        <v>13302</v>
      </c>
      <c r="K41" s="684">
        <f>WWWW[[#This Row],[Total PoP ]]/WWWW[[#This Row],[Total HH]]</f>
        <v>4.8760997067448679</v>
      </c>
      <c r="L41" s="882">
        <v>44652</v>
      </c>
      <c r="M41" s="883">
        <v>44834</v>
      </c>
      <c r="N41" s="881"/>
      <c r="O41" s="500">
        <v>227</v>
      </c>
      <c r="P41" s="881">
        <v>229</v>
      </c>
      <c r="Q41" s="500"/>
      <c r="R41" s="500"/>
      <c r="S41" s="881"/>
      <c r="T41" s="881"/>
      <c r="U41" s="881">
        <v>88</v>
      </c>
      <c r="V41" s="884">
        <v>0.8</v>
      </c>
      <c r="W41" s="881">
        <v>81</v>
      </c>
      <c r="X41" s="884">
        <v>0.33</v>
      </c>
      <c r="Y41" s="881"/>
      <c r="Z41" s="500"/>
      <c r="AA41" s="500"/>
      <c r="AB41" s="885"/>
      <c r="AC41" s="881">
        <v>648</v>
      </c>
      <c r="AD41" s="881">
        <v>689</v>
      </c>
      <c r="AE41" s="881">
        <v>163</v>
      </c>
      <c r="AF41" s="881">
        <v>366</v>
      </c>
      <c r="AG41" s="884">
        <v>1</v>
      </c>
      <c r="AH41" s="884">
        <v>0.97</v>
      </c>
      <c r="AI41" s="884">
        <v>0.1</v>
      </c>
      <c r="AJ41" s="881"/>
      <c r="AK41" s="881"/>
      <c r="AL41" s="881">
        <v>34</v>
      </c>
      <c r="AM41" s="500"/>
      <c r="AN41" s="881" t="s">
        <v>41</v>
      </c>
      <c r="AO41" s="886"/>
      <c r="AP41" s="881">
        <v>2227</v>
      </c>
      <c r="AQ41" s="881">
        <v>3064</v>
      </c>
      <c r="AR41" s="881"/>
      <c r="AS41" s="881"/>
      <c r="AT41" s="881">
        <v>2728</v>
      </c>
      <c r="AU41" s="881">
        <v>5456</v>
      </c>
      <c r="AV41" s="450">
        <v>1</v>
      </c>
      <c r="AW41" s="884">
        <v>1</v>
      </c>
      <c r="AX41" s="451">
        <v>2</v>
      </c>
      <c r="AY41" s="887"/>
      <c r="AZ41" s="450">
        <v>1</v>
      </c>
      <c r="BA41" s="450">
        <v>1</v>
      </c>
      <c r="BB41" s="450">
        <v>1</v>
      </c>
      <c r="BC41" s="450">
        <v>1</v>
      </c>
      <c r="BD41" s="450"/>
      <c r="BE41" s="500"/>
      <c r="BF41" s="500"/>
      <c r="BG41" s="500"/>
      <c r="BH41" s="500"/>
      <c r="BI41" s="500"/>
      <c r="BJ41" s="500"/>
      <c r="BK41" s="500"/>
      <c r="BL41" s="888" t="str">
        <f>IF(WWWW[[#This Row],['#_Water samples_Tested_at_water_source]]="","no test","Tested")</f>
        <v>Tested</v>
      </c>
      <c r="BM41" s="888" t="str">
        <f>IF(WWWW[[#This Row],['#_Water samples_Tested_at_HH]]="","no test","Tested")</f>
        <v>Tested</v>
      </c>
      <c r="BN41" s="889" t="str">
        <f>IF(AND(WWWW[[#This Row],[Water_testing_at source]]="no test",WWWW[[#This Row],[Water_testing_at HH]]="no test"),"No Test","Tested")</f>
        <v>Tested</v>
      </c>
      <c r="BO41"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1" s="890">
        <f>WWWW[[#This Row],[% HRP1]]*WWWW[[#This Row],[Total PoP ]]</f>
        <v>13302</v>
      </c>
      <c r="BQ41" s="891">
        <f>WWWW[[#This Row],[HRP1]]/500</f>
        <v>26.603999999999999</v>
      </c>
      <c r="BR41" s="892">
        <f>1-WWWW[[#This Row],[% HRP1]]</f>
        <v>0</v>
      </c>
      <c r="BS41" s="891">
        <f>WWWW[[#This Row],[%equitable and continuous access to sufficient quantity of safe drinking and domestic water''s GAP]]*WWWW[[#This Row],[Total PoP ]]</f>
        <v>0</v>
      </c>
      <c r="BT41" s="451">
        <f>ROUND(IF(WWWW[[#This Row],[Total PoP ]]&lt;500,1,WWWW[[#This Row],[Total PoP ]]/500),0)</f>
        <v>27</v>
      </c>
      <c r="BU41" s="889">
        <f>IF(WWWW[[#This Row],[Total required water points]]-WWWW[[#This Row],['#Water points coverage]]&lt;0,0,WWWW[[#This Row],[Total required water points]]-WWWW[[#This Row],['#Water points coverage]])</f>
        <v>0.3960000000000008</v>
      </c>
      <c r="BV41" s="452">
        <f>WWWW[[#This Row],[HRP2]]/WWWW[[#This Row],[Total PoP ]]</f>
        <v>0.97428958051420844</v>
      </c>
      <c r="BW41"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12960</v>
      </c>
      <c r="BX41" s="455">
        <f>IF(WWWW[[#This Row],['#_Functional_adult_latrines]]="","",WWWW[[#This Row],[Total PoP ]]/WWWW[[#This Row],['#_Functional_adult_latrines]])</f>
        <v>20.527777777777779</v>
      </c>
      <c r="BY41" s="889">
        <f>WWWW[[#This Row],['#_of_latrines_in_TLS/CFS]]*50</f>
        <v>1700</v>
      </c>
      <c r="BZ41" s="451">
        <f>IF(WWWW[[#This Row],['#_of_latrines_in_THF]]="",0,WWWW[[#This Row],['#_of_latrines_in_THF]]*50)</f>
        <v>0</v>
      </c>
      <c r="CA41" s="889">
        <f>ROUND(IF(WWWW[[#This Row],[Location Type 1]]="camp",WWWW[[#This Row],[Total PoP ]]/20),0)</f>
        <v>665</v>
      </c>
      <c r="CB41" s="889">
        <f>IF(WWWW[[#This Row],[Total required Latrines]]-WWWW[[#This Row],['#_Existing_latrines]]&lt;0,0,WWWW[[#This Row],[Total required Latrines]]-WWWW[[#This Row],['#_Existing_latrines]])</f>
        <v>0</v>
      </c>
      <c r="CC41" s="892">
        <f>1-WWWW[[#This Row],[% HRP2]]</f>
        <v>2.5710419485791558E-2</v>
      </c>
      <c r="CD41" s="888">
        <f>IF(WWWW[[#This Row],['#_Existing_latrines]]="","NA",(WWWW[[#This Row],['#_Existing_latrines]]-WWWW[[#This Row],['#_Functional_adult_latrines]])/WWWW[[#This Row],['#_Existing_latrines]])</f>
        <v>5.9506531204644414E-2</v>
      </c>
      <c r="CE41"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5291</v>
      </c>
      <c r="CF41" s="891">
        <f>SUM(WWWW[[#This Row],[_'#_of_Men_receiving_consultation_hygiene_promotion_messages_and_sessions]:[_'#_of_Girls_receiving_consultation_hygiene_promotion_messages_and_sessions]])-WWWW[[#This Row],['# people reached by regular dedicated hygiene promotion_5]]</f>
        <v>0</v>
      </c>
      <c r="CG41"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H41" s="889">
        <f>IF(WWWW[[#This Row],['#_of_affected_women_and_girls_receiving_a_sufficient_quantity_of_sanitary_pads]]&gt;WWWW[[#This Row],[Total PoP ]],WWWW[[#This Row],[Total PoP ]],WWWW[[#This Row],['#_of_affected_women_and_girls_receiving_a_sufficient_quantity_of_sanitary_pads]])</f>
        <v>5456</v>
      </c>
      <c r="CI41" s="889">
        <f>IF(WWWW[[#This Row],['# People with access to soap]]&gt;WWWW[[#This Row],['# People with access to Sanity Pads]],WWWW[[#This Row],['# People with access to soap]],WWWW[[#This Row],['# People with access to Sanity Pads]])</f>
        <v>13302</v>
      </c>
      <c r="CJ41" s="889">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K41" s="892">
        <f>IF(WWWW[[#This Row],[HRP3]]/WWWW[[#This Row],[Total PoP ]]&gt;100%,100%,WWWW[[#This Row],[HRP3]]/WWWW[[#This Row],[Total PoP ]])</f>
        <v>1</v>
      </c>
      <c r="CL41" s="888">
        <f>1-WWWW[[#This Row],[Hygiene Coverage%]]</f>
        <v>0</v>
      </c>
      <c r="CM41" s="884">
        <f>WWWW[[#This Row],['# people reached by regular dedicated hygiene promotion_5]]/WWWW[[#This Row],[Total PoP ]]</f>
        <v>0.39775973537813863</v>
      </c>
      <c r="CN41" s="888">
        <f>IF(WWWW[[#This Row],['#_of_affected_households_receiving_a_sufficient_quantity_of_soap]]/WWWW[[#This Row],[Total HH]]&gt;1,1,WWWW[[#This Row],['#_of_affected_households_receiving_a_sufficient_quantity_of_soap]]/WWWW[[#This Row],[Total HH]])</f>
        <v>1</v>
      </c>
      <c r="CO41" s="455" t="str">
        <f>IF(WWWW[[#This Row],['#_students at TLS_CFS]]="","No","Yes")</f>
        <v>No</v>
      </c>
      <c r="CP41" s="452">
        <f>WWWW[[#This Row],[%_of_affected_people_surveyed_who_report_feeling_informed_about_the_different_WASH_services_available_to_them]]</f>
        <v>1</v>
      </c>
      <c r="CQ4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1" s="500">
        <f>IF(WWWW[[#This Row],['#_PPL_accessed_water_in_TLS]]&gt;WWWW[[#This Row],['# students access to functioning school latrines_HRP5]],WWWW[[#This Row],['#_PPL_accessed_water_in_TLS]],WWWW[[#This Row],['# students access to functioning school latrines_HRP5]])</f>
        <v>1700</v>
      </c>
      <c r="CS41" s="500">
        <f>IF(WWWW[[#This Row],['#_PPL_accessed_water_in_THF]]&gt;WWWW[[#This Row],['# people access to functioning latrines in THF_HRP6]],WWWW[[#This Row],['#_PPL_accessed_water_in_THF]],WWWW[[#This Row],['# people access to functioning latrines in THF_HRP6]])</f>
        <v>0</v>
      </c>
      <c r="CT41" s="880" t="str">
        <f>VLOOKUP(WWWW[[#This Row],[Site Name]],SiteDB6[[Site Name]:[CCCM Management]],6,FALSE)</f>
        <v>Yes</v>
      </c>
      <c r="CU41" s="880">
        <f>VLOOKUP(WWWW[[#This Row],[Site Name]],SiteDB6[[Site Name]:[CCCM Focal Agency]],7,FALSE)</f>
        <v>0</v>
      </c>
      <c r="CV41" s="880" t="str">
        <f>VLOOKUP(WWWW[[#This Row],[Site Name]],SiteDB6[[Site Name]:[Location Type 1]],9,FALSE)</f>
        <v>Camp</v>
      </c>
      <c r="CW41" s="880" t="str">
        <f>VLOOKUP(WWWW[[#This Row],[Site Name]],SiteDB6[[Site Name]:[Type of Accommodation]],10,FALSE)</f>
        <v>Planned Camp</v>
      </c>
      <c r="CX41" s="880" t="str">
        <f>VLOOKUP(WWWW[[#This Row],[Site Name]],SiteDB6[[Site Name]:[Ethnic or GCA/NGCA]],11,FALSE)</f>
        <v>Muslim</v>
      </c>
      <c r="CY41" s="880">
        <f>VLOOKUP(WWWW[[#This Row],[Site Name]],SiteDB6[[Site Name]:[Lat]],12,FALSE)</f>
        <v>20.18994</v>
      </c>
      <c r="CZ41" s="880">
        <f>VLOOKUP(WWWW[[#This Row],[Site Name]],SiteDB6[[Site Name]:[Long]],13,FALSE)</f>
        <v>92.798880999999994</v>
      </c>
      <c r="DA41" s="880" t="str">
        <f>VLOOKUP(WWWW[[#This Row],[Site Name]],SiteDB6[[Site Name]:[Pcode]],3,FALSE)</f>
        <v>MMR012CMP115</v>
      </c>
      <c r="DB41" s="893" t="str">
        <f t="shared" si="1"/>
        <v>Covered</v>
      </c>
      <c r="DC41" s="477">
        <f>VLOOKUP(WWWW[[#This Row],[Site Name]],SiteDB6[[Site Name]:[PWD_Total]],22,FALSE)</f>
        <v>168</v>
      </c>
      <c r="DD41" s="477">
        <f>VLOOKUP(WWWW[[#This Row],[Site Name]],SiteDB6[[Site Name]:[PWD_Total]],23,FALSE)</f>
        <v>1744</v>
      </c>
      <c r="DE41" s="477">
        <f>WWWW[[#This Row],['# of Male_People with disabilities]]+WWWW[[#This Row],['# of Female_People with disabilities]]</f>
        <v>1912</v>
      </c>
      <c r="DF41" s="880"/>
      <c r="DG41" s="893"/>
      <c r="DH41" s="893"/>
      <c r="DI41" s="893"/>
      <c r="DJ41" s="893">
        <f>VLOOKUP(WWWW[[#This Row],[Site Name]],SiteDB6[[Site Name]:[Pop
(CCCM as of Autust 2021)]],16,FALSE)</f>
        <v>2640</v>
      </c>
      <c r="DK41" s="893">
        <f>VLOOKUP(WWWW[[#This Row],[Site Name]],SiteDB6[[Site Name]:[Pop
(CCCM as of Autust 2021)]],17,FALSE)</f>
        <v>15778</v>
      </c>
    </row>
    <row r="42" spans="1:115">
      <c r="A42" s="873" t="s">
        <v>3144</v>
      </c>
      <c r="B42" s="878" t="s">
        <v>286</v>
      </c>
      <c r="C42" s="878" t="s">
        <v>286</v>
      </c>
      <c r="D42" s="879" t="s">
        <v>233</v>
      </c>
      <c r="E42" s="845" t="s">
        <v>293</v>
      </c>
      <c r="F42" s="879" t="s">
        <v>294</v>
      </c>
      <c r="G42" s="846" t="s">
        <v>43</v>
      </c>
      <c r="H42" s="874" t="s">
        <v>429</v>
      </c>
      <c r="I42" s="881">
        <v>2275</v>
      </c>
      <c r="J42" s="881">
        <v>12495</v>
      </c>
      <c r="K42" s="684">
        <f>WWWW[[#This Row],[Total PoP ]]/WWWW[[#This Row],[Total HH]]</f>
        <v>5.4923076923076923</v>
      </c>
      <c r="L42" s="882">
        <v>44713</v>
      </c>
      <c r="M42" s="883">
        <v>45077</v>
      </c>
      <c r="N42" s="881"/>
      <c r="O42" s="500">
        <v>196</v>
      </c>
      <c r="P42" s="881">
        <v>213</v>
      </c>
      <c r="Q42" s="500"/>
      <c r="R42" s="500"/>
      <c r="S42" s="881"/>
      <c r="T42" s="881"/>
      <c r="U42" s="881"/>
      <c r="V42" s="884"/>
      <c r="W42" s="881">
        <v>120</v>
      </c>
      <c r="X42" s="884">
        <v>0.71</v>
      </c>
      <c r="Y42" s="881"/>
      <c r="Z42" s="500"/>
      <c r="AA42" s="500"/>
      <c r="AB42" s="885"/>
      <c r="AC42" s="881">
        <v>827</v>
      </c>
      <c r="AD42" s="881">
        <v>830</v>
      </c>
      <c r="AE42" s="881">
        <v>177</v>
      </c>
      <c r="AF42" s="881">
        <v>200</v>
      </c>
      <c r="AG42" s="884"/>
      <c r="AH42" s="884"/>
      <c r="AI42" s="884"/>
      <c r="AJ42" s="881">
        <v>2</v>
      </c>
      <c r="AK42" s="881">
        <v>45</v>
      </c>
      <c r="AL42" s="881"/>
      <c r="AM42" s="500"/>
      <c r="AN42" s="881" t="s">
        <v>41</v>
      </c>
      <c r="AO42" s="886"/>
      <c r="AP42" s="881">
        <v>1940</v>
      </c>
      <c r="AQ42" s="881">
        <v>3000</v>
      </c>
      <c r="AR42" s="881">
        <v>1830</v>
      </c>
      <c r="AS42" s="881">
        <v>1900</v>
      </c>
      <c r="AT42" s="881">
        <v>2275</v>
      </c>
      <c r="AU42" s="881">
        <v>3118</v>
      </c>
      <c r="AV42" s="450"/>
      <c r="AW42" s="884"/>
      <c r="AX42" s="451"/>
      <c r="AY42" s="887"/>
      <c r="AZ42" s="450"/>
      <c r="BA42" s="450"/>
      <c r="BB42" s="450"/>
      <c r="BC42" s="450"/>
      <c r="BD42" s="450"/>
      <c r="BE42" s="500"/>
      <c r="BF42" s="500"/>
      <c r="BG42" s="500"/>
      <c r="BH42" s="500"/>
      <c r="BI42" s="500"/>
      <c r="BJ42" s="500"/>
      <c r="BK42" s="500"/>
      <c r="BL42" s="888" t="str">
        <f>IF(WWWW[[#This Row],['#_Water samples_Tested_at_water_source]]="","no test","Tested")</f>
        <v>no test</v>
      </c>
      <c r="BM42" s="888" t="str">
        <f>IF(WWWW[[#This Row],['#_Water samples_Tested_at_HH]]="","no test","Tested")</f>
        <v>Tested</v>
      </c>
      <c r="BN42" s="889" t="str">
        <f>IF(AND(WWWW[[#This Row],[Water_testing_at source]]="no test",WWWW[[#This Row],[Water_testing_at HH]]="no test"),"No Test","Tested")</f>
        <v>Tested</v>
      </c>
      <c r="BO42"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2" s="890">
        <f>WWWW[[#This Row],[% HRP1]]*WWWW[[#This Row],[Total PoP ]]</f>
        <v>12495</v>
      </c>
      <c r="BQ42" s="891">
        <f>WWWW[[#This Row],[HRP1]]/500</f>
        <v>24.99</v>
      </c>
      <c r="BR42" s="892">
        <f>1-WWWW[[#This Row],[% HRP1]]</f>
        <v>0</v>
      </c>
      <c r="BS42" s="891">
        <f>WWWW[[#This Row],[%equitable and continuous access to sufficient quantity of safe drinking and domestic water''s GAP]]*WWWW[[#This Row],[Total PoP ]]</f>
        <v>0</v>
      </c>
      <c r="BT42" s="451">
        <f>ROUND(IF(WWWW[[#This Row],[Total PoP ]]&lt;500,1,WWWW[[#This Row],[Total PoP ]]/500),0)</f>
        <v>25</v>
      </c>
      <c r="BU42" s="889">
        <f>IF(WWWW[[#This Row],[Total required water points]]-WWWW[[#This Row],['#Water points coverage]]&lt;0,0,WWWW[[#This Row],[Total required water points]]-WWWW[[#This Row],['#Water points coverage]])</f>
        <v>1.0000000000001563E-2</v>
      </c>
      <c r="BV42" s="452">
        <f>WWWW[[#This Row],[HRP2]]/WWWW[[#This Row],[Total PoP ]]</f>
        <v>1</v>
      </c>
      <c r="BW42"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42" s="455">
        <f>IF(WWWW[[#This Row],['#_Functional_adult_latrines]]="","",WWWW[[#This Row],[Total PoP ]]/WWWW[[#This Row],['#_Functional_adult_latrines]])</f>
        <v>15.108827085852479</v>
      </c>
      <c r="BY42" s="889">
        <f>WWWW[[#This Row],['#_of_latrines_in_TLS/CFS]]*50</f>
        <v>0</v>
      </c>
      <c r="BZ42" s="451">
        <f>IF(WWWW[[#This Row],['#_of_latrines_in_THF]]="",0,WWWW[[#This Row],['#_of_latrines_in_THF]]*50)</f>
        <v>0</v>
      </c>
      <c r="CA42" s="889">
        <f>ROUND(IF(WWWW[[#This Row],[Location Type 1]]="camp",WWWW[[#This Row],[Total PoP ]]/20),0)</f>
        <v>625</v>
      </c>
      <c r="CB42" s="889">
        <f>IF(WWWW[[#This Row],[Total required Latrines]]-WWWW[[#This Row],['#_Existing_latrines]]&lt;0,0,WWWW[[#This Row],[Total required Latrines]]-WWWW[[#This Row],['#_Existing_latrines]])</f>
        <v>0</v>
      </c>
      <c r="CC42" s="892">
        <f>1-WWWW[[#This Row],[% HRP2]]</f>
        <v>0</v>
      </c>
      <c r="CD42" s="888">
        <f>IF(WWWW[[#This Row],['#_Existing_latrines]]="","NA",(WWWW[[#This Row],['#_Existing_latrines]]-WWWW[[#This Row],['#_Functional_adult_latrines]])/WWWW[[#This Row],['#_Existing_latrines]])</f>
        <v>3.6144578313253013E-3</v>
      </c>
      <c r="CE42"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8670</v>
      </c>
      <c r="CF42" s="891">
        <f>SUM(WWWW[[#This Row],[_'#_of_Men_receiving_consultation_hygiene_promotion_messages_and_sessions]:[_'#_of_Girls_receiving_consultation_hygiene_promotion_messages_and_sessions]])-WWWW[[#This Row],['# people reached by regular dedicated hygiene promotion_5]]</f>
        <v>0</v>
      </c>
      <c r="CG42"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12495</v>
      </c>
      <c r="CH42" s="889">
        <f>IF(WWWW[[#This Row],['#_of_affected_women_and_girls_receiving_a_sufficient_quantity_of_sanitary_pads]]&gt;WWWW[[#This Row],[Total PoP ]],WWWW[[#This Row],[Total PoP ]],WWWW[[#This Row],['#_of_affected_women_and_girls_receiving_a_sufficient_quantity_of_sanitary_pads]])</f>
        <v>3118</v>
      </c>
      <c r="CI42" s="889">
        <f>IF(WWWW[[#This Row],['# People with access to soap]]&gt;WWWW[[#This Row],['# People with access to Sanity Pads]],WWWW[[#This Row],['# People with access to soap]],WWWW[[#This Row],['# People with access to Sanity Pads]])</f>
        <v>12495</v>
      </c>
      <c r="CJ42" s="889">
        <f>IF(WWWW[[#This Row],['# people reached by regular dedicated hygiene promotion_5]]&gt;WWWW[[#This Row],['# People received regular supply of hygiene items_6]],WWWW[[#This Row],['# people reached by regular dedicated hygiene promotion_5]],WWWW[[#This Row],['# People received regular supply of hygiene items_6]])</f>
        <v>12495</v>
      </c>
      <c r="CK42" s="892">
        <f>IF(WWWW[[#This Row],[HRP3]]/WWWW[[#This Row],[Total PoP ]]&gt;100%,100%,WWWW[[#This Row],[HRP3]]/WWWW[[#This Row],[Total PoP ]])</f>
        <v>1</v>
      </c>
      <c r="CL42" s="888">
        <f>1-WWWW[[#This Row],[Hygiene Coverage%]]</f>
        <v>0</v>
      </c>
      <c r="CM42" s="884">
        <f>WWWW[[#This Row],['# people reached by regular dedicated hygiene promotion_5]]/WWWW[[#This Row],[Total PoP ]]</f>
        <v>0.69387755102040816</v>
      </c>
      <c r="CN42" s="888">
        <f>IF(WWWW[[#This Row],['#_of_affected_households_receiving_a_sufficient_quantity_of_soap]]/WWWW[[#This Row],[Total HH]]&gt;1,1,WWWW[[#This Row],['#_of_affected_households_receiving_a_sufficient_quantity_of_soap]]/WWWW[[#This Row],[Total HH]])</f>
        <v>1</v>
      </c>
      <c r="CO42" s="455" t="str">
        <f>IF(WWWW[[#This Row],['#_students at TLS_CFS]]="","No","Yes")</f>
        <v>No</v>
      </c>
      <c r="CP42" s="452">
        <f>WWWW[[#This Row],[%_of_affected_people_surveyed_who_report_feeling_informed_about_the_different_WASH_services_available_to_them]]</f>
        <v>0</v>
      </c>
      <c r="CQ4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2" s="500">
        <f>IF(WWWW[[#This Row],['#_PPL_accessed_water_in_TLS]]&gt;WWWW[[#This Row],['# students access to functioning school latrines_HRP5]],WWWW[[#This Row],['#_PPL_accessed_water_in_TLS]],WWWW[[#This Row],['# students access to functioning school latrines_HRP5]])</f>
        <v>0</v>
      </c>
      <c r="CS42" s="500">
        <f>IF(WWWW[[#This Row],['#_PPL_accessed_water_in_THF]]&gt;WWWW[[#This Row],['# people access to functioning latrines in THF_HRP6]],WWWW[[#This Row],['#_PPL_accessed_water_in_THF]],WWWW[[#This Row],['# people access to functioning latrines in THF_HRP6]])</f>
        <v>0</v>
      </c>
      <c r="CT42" s="880" t="str">
        <f>VLOOKUP(WWWW[[#This Row],[Site Name]],SiteDB6[[Site Name]:[CCCM Management]],6,FALSE)</f>
        <v>Yes</v>
      </c>
      <c r="CU42" s="880">
        <f>VLOOKUP(WWWW[[#This Row],[Site Name]],SiteDB6[[Site Name]:[CCCM Focal Agency]],7,FALSE)</f>
        <v>0</v>
      </c>
      <c r="CV42" s="880" t="str">
        <f>VLOOKUP(WWWW[[#This Row],[Site Name]],SiteDB6[[Site Name]:[Location Type 1]],9,FALSE)</f>
        <v>Camp</v>
      </c>
      <c r="CW42" s="880" t="str">
        <f>VLOOKUP(WWWW[[#This Row],[Site Name]],SiteDB6[[Site Name]:[Type of Accommodation]],10,FALSE)</f>
        <v>Planned Camp</v>
      </c>
      <c r="CX42" s="880" t="str">
        <f>VLOOKUP(WWWW[[#This Row],[Site Name]],SiteDB6[[Site Name]:[Ethnic or GCA/NGCA]],11,FALSE)</f>
        <v>Muslim</v>
      </c>
      <c r="CY42" s="880">
        <f>VLOOKUP(WWWW[[#This Row],[Site Name]],SiteDB6[[Site Name]:[Lat]],12,FALSE)</f>
        <v>20.185092000000001</v>
      </c>
      <c r="CZ42" s="880">
        <f>VLOOKUP(WWWW[[#This Row],[Site Name]],SiteDB6[[Site Name]:[Long]],13,FALSE)</f>
        <v>92.802295999999998</v>
      </c>
      <c r="DA42" s="880" t="str">
        <f>VLOOKUP(WWWW[[#This Row],[Site Name]],SiteDB6[[Site Name]:[Pcode]],3,FALSE)</f>
        <v>MMR012CMP116</v>
      </c>
      <c r="DB42" s="893" t="str">
        <f t="shared" si="1"/>
        <v>Covered</v>
      </c>
      <c r="DC42" s="477">
        <f>VLOOKUP(WWWW[[#This Row],[Site Name]],SiteDB6[[Site Name]:[PWD_Total]],22,FALSE)</f>
        <v>223</v>
      </c>
      <c r="DD42" s="477">
        <f>VLOOKUP(WWWW[[#This Row],[Site Name]],SiteDB6[[Site Name]:[PWD_Total]],23,FALSE)</f>
        <v>1507</v>
      </c>
      <c r="DE42" s="477">
        <f>WWWW[[#This Row],['# of Male_People with disabilities]]+WWWW[[#This Row],['# of Female_People with disabilities]]</f>
        <v>1730</v>
      </c>
      <c r="DF42" s="880"/>
      <c r="DG42" s="893"/>
      <c r="DH42" s="893"/>
      <c r="DI42" s="893"/>
      <c r="DJ42" s="893">
        <f>VLOOKUP(WWWW[[#This Row],[Site Name]],SiteDB6[[Site Name]:[Pop
(CCCM as of Autust 2021)]],16,FALSE)</f>
        <v>2275</v>
      </c>
      <c r="DK42" s="893">
        <f>VLOOKUP(WWWW[[#This Row],[Site Name]],SiteDB6[[Site Name]:[Pop
(CCCM as of Autust 2021)]],17,FALSE)</f>
        <v>12341</v>
      </c>
    </row>
    <row r="43" spans="1:115">
      <c r="A43" s="873" t="s">
        <v>3144</v>
      </c>
      <c r="B43" s="878" t="s">
        <v>286</v>
      </c>
      <c r="C43" s="879" t="s">
        <v>286</v>
      </c>
      <c r="D43" s="879" t="s">
        <v>233</v>
      </c>
      <c r="E43" s="845" t="s">
        <v>293</v>
      </c>
      <c r="F43" s="879" t="s">
        <v>294</v>
      </c>
      <c r="G43" s="846" t="s">
        <v>43</v>
      </c>
      <c r="H43" s="879" t="s">
        <v>2273</v>
      </c>
      <c r="I43" s="881">
        <v>400</v>
      </c>
      <c r="J43" s="881">
        <v>2698</v>
      </c>
      <c r="K43" s="684">
        <f>WWWW[[#This Row],[Total PoP ]]/WWWW[[#This Row],[Total HH]]</f>
        <v>6.7450000000000001</v>
      </c>
      <c r="L43" s="882">
        <v>44713</v>
      </c>
      <c r="M43" s="883">
        <v>45077</v>
      </c>
      <c r="N43" s="881"/>
      <c r="O43" s="500">
        <v>41</v>
      </c>
      <c r="P43" s="881">
        <v>42</v>
      </c>
      <c r="Q43" s="500"/>
      <c r="R43" s="500"/>
      <c r="S43" s="881"/>
      <c r="T43" s="881"/>
      <c r="U43" s="881"/>
      <c r="V43" s="884"/>
      <c r="W43" s="881">
        <v>60</v>
      </c>
      <c r="X43" s="884">
        <v>0.65</v>
      </c>
      <c r="Y43" s="881"/>
      <c r="Z43" s="500"/>
      <c r="AA43" s="500"/>
      <c r="AB43" s="885"/>
      <c r="AC43" s="881">
        <v>149</v>
      </c>
      <c r="AD43" s="881">
        <v>149</v>
      </c>
      <c r="AE43" s="881">
        <v>26</v>
      </c>
      <c r="AF43" s="881">
        <v>85</v>
      </c>
      <c r="AG43" s="884"/>
      <c r="AH43" s="884"/>
      <c r="AI43" s="884"/>
      <c r="AJ43" s="881">
        <v>3</v>
      </c>
      <c r="AK43" s="881">
        <v>9</v>
      </c>
      <c r="AL43" s="881"/>
      <c r="AM43" s="500"/>
      <c r="AN43" s="881" t="s">
        <v>41</v>
      </c>
      <c r="AO43" s="886"/>
      <c r="AP43" s="881">
        <v>575</v>
      </c>
      <c r="AQ43" s="881">
        <v>697</v>
      </c>
      <c r="AR43" s="881">
        <v>426</v>
      </c>
      <c r="AS43" s="881">
        <v>284</v>
      </c>
      <c r="AT43" s="881">
        <v>400</v>
      </c>
      <c r="AU43" s="881">
        <v>667</v>
      </c>
      <c r="AV43" s="450"/>
      <c r="AW43" s="884"/>
      <c r="AX43" s="451"/>
      <c r="AY43" s="887"/>
      <c r="AZ43" s="450"/>
      <c r="BA43" s="450"/>
      <c r="BB43" s="450"/>
      <c r="BC43" s="450"/>
      <c r="BD43" s="450"/>
      <c r="BE43" s="500"/>
      <c r="BF43" s="500"/>
      <c r="BG43" s="500"/>
      <c r="BH43" s="500"/>
      <c r="BI43" s="500"/>
      <c r="BJ43" s="500"/>
      <c r="BK43" s="500"/>
      <c r="BL43" s="888" t="str">
        <f>IF(WWWW[[#This Row],['#_Water samples_Tested_at_water_source]]="","no test","Tested")</f>
        <v>no test</v>
      </c>
      <c r="BM43" s="888" t="str">
        <f>IF(WWWW[[#This Row],['#_Water samples_Tested_at_HH]]="","no test","Tested")</f>
        <v>Tested</v>
      </c>
      <c r="BN43" s="889" t="str">
        <f>IF(AND(WWWW[[#This Row],[Water_testing_at source]]="no test",WWWW[[#This Row],[Water_testing_at HH]]="no test"),"No Test","Tested")</f>
        <v>Tested</v>
      </c>
      <c r="BO43"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3" s="890">
        <f>WWWW[[#This Row],[% HRP1]]*WWWW[[#This Row],[Total PoP ]]</f>
        <v>2698</v>
      </c>
      <c r="BQ43" s="891">
        <f>WWWW[[#This Row],[HRP1]]/500</f>
        <v>5.3959999999999999</v>
      </c>
      <c r="BR43" s="892">
        <f>1-WWWW[[#This Row],[% HRP1]]</f>
        <v>0</v>
      </c>
      <c r="BS43" s="891">
        <f>WWWW[[#This Row],[%equitable and continuous access to sufficient quantity of safe drinking and domestic water''s GAP]]*WWWW[[#This Row],[Total PoP ]]</f>
        <v>0</v>
      </c>
      <c r="BT43" s="451">
        <f>ROUND(IF(WWWW[[#This Row],[Total PoP ]]&lt;500,1,WWWW[[#This Row],[Total PoP ]]/500),0)</f>
        <v>5</v>
      </c>
      <c r="BU43" s="889">
        <f>IF(WWWW[[#This Row],[Total required water points]]-WWWW[[#This Row],['#Water points coverage]]&lt;0,0,WWWW[[#This Row],[Total required water points]]-WWWW[[#This Row],['#Water points coverage]])</f>
        <v>0</v>
      </c>
      <c r="BV43" s="452">
        <f>WWWW[[#This Row],[HRP2]]/WWWW[[#This Row],[Total PoP ]]</f>
        <v>1</v>
      </c>
      <c r="BW43"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43" s="455">
        <f>IF(WWWW[[#This Row],['#_Functional_adult_latrines]]="","",WWWW[[#This Row],[Total PoP ]]/WWWW[[#This Row],['#_Functional_adult_latrines]])</f>
        <v>18.107382550335572</v>
      </c>
      <c r="BY43" s="889">
        <f>WWWW[[#This Row],['#_of_latrines_in_TLS/CFS]]*50</f>
        <v>0</v>
      </c>
      <c r="BZ43" s="451">
        <f>IF(WWWW[[#This Row],['#_of_latrines_in_THF]]="",0,WWWW[[#This Row],['#_of_latrines_in_THF]]*50)</f>
        <v>0</v>
      </c>
      <c r="CA43" s="889">
        <f>ROUND(IF(WWWW[[#This Row],[Location Type 1]]="camp",WWWW[[#This Row],[Total PoP ]]/20),0)</f>
        <v>135</v>
      </c>
      <c r="CB43" s="889">
        <f>IF(WWWW[[#This Row],[Total required Latrines]]-WWWW[[#This Row],['#_Existing_latrines]]&lt;0,0,WWWW[[#This Row],[Total required Latrines]]-WWWW[[#This Row],['#_Existing_latrines]])</f>
        <v>0</v>
      </c>
      <c r="CC43" s="892">
        <f>1-WWWW[[#This Row],[% HRP2]]</f>
        <v>0</v>
      </c>
      <c r="CD43" s="888">
        <f>IF(WWWW[[#This Row],['#_Existing_latrines]]="","NA",(WWWW[[#This Row],['#_Existing_latrines]]-WWWW[[#This Row],['#_Functional_adult_latrines]])/WWWW[[#This Row],['#_Existing_latrines]])</f>
        <v>0</v>
      </c>
      <c r="CE43"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1982</v>
      </c>
      <c r="CF43" s="891">
        <f>SUM(WWWW[[#This Row],[_'#_of_Men_receiving_consultation_hygiene_promotion_messages_and_sessions]:[_'#_of_Girls_receiving_consultation_hygiene_promotion_messages_and_sessions]])-WWWW[[#This Row],['# people reached by regular dedicated hygiene promotion_5]]</f>
        <v>0</v>
      </c>
      <c r="CG43"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2698</v>
      </c>
      <c r="CH43" s="889">
        <f>IF(WWWW[[#This Row],['#_of_affected_women_and_girls_receiving_a_sufficient_quantity_of_sanitary_pads]]&gt;WWWW[[#This Row],[Total PoP ]],WWWW[[#This Row],[Total PoP ]],WWWW[[#This Row],['#_of_affected_women_and_girls_receiving_a_sufficient_quantity_of_sanitary_pads]])</f>
        <v>667</v>
      </c>
      <c r="CI43" s="889">
        <f>IF(WWWW[[#This Row],['# People with access to soap]]&gt;WWWW[[#This Row],['# People with access to Sanity Pads]],WWWW[[#This Row],['# People with access to soap]],WWWW[[#This Row],['# People with access to Sanity Pads]])</f>
        <v>2698</v>
      </c>
      <c r="CJ43" s="889">
        <f>IF(WWWW[[#This Row],['# people reached by regular dedicated hygiene promotion_5]]&gt;WWWW[[#This Row],['# People received regular supply of hygiene items_6]],WWWW[[#This Row],['# people reached by regular dedicated hygiene promotion_5]],WWWW[[#This Row],['# People received regular supply of hygiene items_6]])</f>
        <v>2698</v>
      </c>
      <c r="CK43" s="892">
        <f>IF(WWWW[[#This Row],[HRP3]]/WWWW[[#This Row],[Total PoP ]]&gt;100%,100%,WWWW[[#This Row],[HRP3]]/WWWW[[#This Row],[Total PoP ]])</f>
        <v>1</v>
      </c>
      <c r="CL43" s="888">
        <f>1-WWWW[[#This Row],[Hygiene Coverage%]]</f>
        <v>0</v>
      </c>
      <c r="CM43" s="884">
        <f>WWWW[[#This Row],['# people reached by regular dedicated hygiene promotion_5]]/WWWW[[#This Row],[Total PoP ]]</f>
        <v>0.73461823573017049</v>
      </c>
      <c r="CN43" s="888">
        <f>IF(WWWW[[#This Row],['#_of_affected_households_receiving_a_sufficient_quantity_of_soap]]/WWWW[[#This Row],[Total HH]]&gt;1,1,WWWW[[#This Row],['#_of_affected_households_receiving_a_sufficient_quantity_of_soap]]/WWWW[[#This Row],[Total HH]])</f>
        <v>1</v>
      </c>
      <c r="CO43" s="455" t="str">
        <f>IF(WWWW[[#This Row],['#_students at TLS_CFS]]="","No","Yes")</f>
        <v>No</v>
      </c>
      <c r="CP43" s="452">
        <f>WWWW[[#This Row],[%_of_affected_people_surveyed_who_report_feeling_informed_about_the_different_WASH_services_available_to_them]]</f>
        <v>0</v>
      </c>
      <c r="CQ4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3" s="500">
        <f>IF(WWWW[[#This Row],['#_PPL_accessed_water_in_TLS]]&gt;WWWW[[#This Row],['# students access to functioning school latrines_HRP5]],WWWW[[#This Row],['#_PPL_accessed_water_in_TLS]],WWWW[[#This Row],['# students access to functioning school latrines_HRP5]])</f>
        <v>0</v>
      </c>
      <c r="CS43" s="500">
        <f>IF(WWWW[[#This Row],['#_PPL_accessed_water_in_THF]]&gt;WWWW[[#This Row],['# people access to functioning latrines in THF_HRP6]],WWWW[[#This Row],['#_PPL_accessed_water_in_THF]],WWWW[[#This Row],['# people access to functioning latrines in THF_HRP6]])</f>
        <v>0</v>
      </c>
      <c r="CT43" s="880">
        <f>VLOOKUP(WWWW[[#This Row],[Site Name]],SiteDB6[[Site Name]:[CCCM Management]],6,FALSE)</f>
        <v>0</v>
      </c>
      <c r="CU43" s="880">
        <f>VLOOKUP(WWWW[[#This Row],[Site Name]],SiteDB6[[Site Name]:[CCCM Focal Agency]],7,FALSE)</f>
        <v>0</v>
      </c>
      <c r="CV43" s="880" t="str">
        <f>VLOOKUP(WWWW[[#This Row],[Site Name]],SiteDB6[[Site Name]:[Location Type 1]],9,FALSE)</f>
        <v>Camp</v>
      </c>
      <c r="CW43" s="880" t="str">
        <f>VLOOKUP(WWWW[[#This Row],[Site Name]],SiteDB6[[Site Name]:[Type of Accommodation]],10,FALSE)</f>
        <v>Planned Camp</v>
      </c>
      <c r="CX43" s="880" t="str">
        <f>VLOOKUP(WWWW[[#This Row],[Site Name]],SiteDB6[[Site Name]:[Ethnic or GCA/NGCA]],11,FALSE)</f>
        <v>Muslim</v>
      </c>
      <c r="CY43" s="880">
        <f>VLOOKUP(WWWW[[#This Row],[Site Name]],SiteDB6[[Site Name]:[Lat]],12,FALSE)</f>
        <v>20.207284999999999</v>
      </c>
      <c r="CZ43" s="880">
        <f>VLOOKUP(WWWW[[#This Row],[Site Name]],SiteDB6[[Site Name]:[Long]],13,FALSE)</f>
        <v>92.788177000000005</v>
      </c>
      <c r="DA43" s="880" t="str">
        <f>VLOOKUP(WWWW[[#This Row],[Site Name]],SiteDB6[[Site Name]:[Pcode]],3,FALSE)</f>
        <v>MMR012CMP045</v>
      </c>
      <c r="DB43" s="893" t="str">
        <f t="shared" si="1"/>
        <v>Covered</v>
      </c>
      <c r="DC43" s="477">
        <f>VLOOKUP(WWWW[[#This Row],[Site Name]],SiteDB6[[Site Name]:[PWD_Total]],22,FALSE)</f>
        <v>0</v>
      </c>
      <c r="DD43" s="477">
        <f>VLOOKUP(WWWW[[#This Row],[Site Name]],SiteDB6[[Site Name]:[PWD_Total]],23,FALSE)</f>
        <v>0</v>
      </c>
      <c r="DE43" s="477">
        <f>WWWW[[#This Row],['# of Male_People with disabilities]]+WWWW[[#This Row],['# of Female_People with disabilities]]</f>
        <v>0</v>
      </c>
      <c r="DF43" s="880"/>
      <c r="DG43" s="893"/>
      <c r="DH43" s="893"/>
      <c r="DI43" s="893"/>
      <c r="DJ43" s="893">
        <f>VLOOKUP(WWWW[[#This Row],[Site Name]],SiteDB6[[Site Name]:[Pop
(CCCM as of Autust 2021)]],16,FALSE)</f>
        <v>0</v>
      </c>
      <c r="DK43" s="893">
        <f>VLOOKUP(WWWW[[#This Row],[Site Name]],SiteDB6[[Site Name]:[Pop
(CCCM as of Autust 2021)]],17,FALSE)</f>
        <v>0</v>
      </c>
    </row>
    <row r="44" spans="1:115">
      <c r="A44" s="873" t="s">
        <v>3144</v>
      </c>
      <c r="B44" s="878" t="s">
        <v>2620</v>
      </c>
      <c r="C44" s="878" t="s">
        <v>2620</v>
      </c>
      <c r="D44" s="879" t="s">
        <v>3184</v>
      </c>
      <c r="E44" s="845" t="s">
        <v>293</v>
      </c>
      <c r="F44" s="879" t="s">
        <v>294</v>
      </c>
      <c r="G44" s="846" t="s">
        <v>43</v>
      </c>
      <c r="H44" s="879" t="s">
        <v>438</v>
      </c>
      <c r="I44" s="881">
        <v>2280</v>
      </c>
      <c r="J44" s="881">
        <v>11564</v>
      </c>
      <c r="K44" s="684">
        <f>WWWW[[#This Row],[Total PoP ]]/WWWW[[#This Row],[Total HH]]</f>
        <v>5.0719298245614031</v>
      </c>
      <c r="L44" s="882">
        <v>44652</v>
      </c>
      <c r="M44" s="883">
        <v>44834</v>
      </c>
      <c r="N44" s="881"/>
      <c r="O44" s="500">
        <v>183</v>
      </c>
      <c r="P44" s="881">
        <v>190</v>
      </c>
      <c r="Q44" s="500"/>
      <c r="R44" s="500"/>
      <c r="S44" s="881"/>
      <c r="T44" s="881"/>
      <c r="U44" s="881">
        <v>236</v>
      </c>
      <c r="V44" s="884">
        <v>0.6</v>
      </c>
      <c r="W44" s="881">
        <v>74</v>
      </c>
      <c r="X44" s="884">
        <v>0.34</v>
      </c>
      <c r="Y44" s="881"/>
      <c r="Z44" s="500"/>
      <c r="AA44" s="500"/>
      <c r="AB44" s="885"/>
      <c r="AC44" s="881">
        <v>479</v>
      </c>
      <c r="AD44" s="881">
        <v>520</v>
      </c>
      <c r="AE44" s="881">
        <v>135</v>
      </c>
      <c r="AF44" s="881">
        <v>265</v>
      </c>
      <c r="AG44" s="884">
        <v>1</v>
      </c>
      <c r="AH44" s="884">
        <v>1</v>
      </c>
      <c r="AI44" s="884">
        <v>0.6</v>
      </c>
      <c r="AJ44" s="881">
        <v>12</v>
      </c>
      <c r="AK44" s="881">
        <v>51</v>
      </c>
      <c r="AL44" s="881">
        <v>40</v>
      </c>
      <c r="AM44" s="500"/>
      <c r="AN44" s="881" t="s">
        <v>41</v>
      </c>
      <c r="AO44" s="886"/>
      <c r="AP44" s="881">
        <v>2755</v>
      </c>
      <c r="AQ44" s="881">
        <v>2782</v>
      </c>
      <c r="AR44" s="881"/>
      <c r="AS44" s="881"/>
      <c r="AT44" s="881">
        <v>2280</v>
      </c>
      <c r="AU44" s="881">
        <v>4560</v>
      </c>
      <c r="AV44" s="450">
        <v>1</v>
      </c>
      <c r="AW44" s="884">
        <v>0.5</v>
      </c>
      <c r="AX44" s="451">
        <v>32</v>
      </c>
      <c r="AY44" s="887"/>
      <c r="AZ44" s="450">
        <v>1</v>
      </c>
      <c r="BA44" s="450">
        <v>1</v>
      </c>
      <c r="BB44" s="450">
        <v>1</v>
      </c>
      <c r="BC44" s="450">
        <v>1</v>
      </c>
      <c r="BD44" s="450"/>
      <c r="BE44" s="500"/>
      <c r="BF44" s="500"/>
      <c r="BG44" s="500"/>
      <c r="BH44" s="500"/>
      <c r="BI44" s="500"/>
      <c r="BJ44" s="500"/>
      <c r="BK44" s="500"/>
      <c r="BL44" s="888" t="str">
        <f>IF(WWWW[[#This Row],['#_Water samples_Tested_at_water_source]]="","no test","Tested")</f>
        <v>Tested</v>
      </c>
      <c r="BM44" s="888" t="str">
        <f>IF(WWWW[[#This Row],['#_Water samples_Tested_at_HH]]="","no test","Tested")</f>
        <v>Tested</v>
      </c>
      <c r="BN44" s="889" t="str">
        <f>IF(AND(WWWW[[#This Row],[Water_testing_at source]]="no test",WWWW[[#This Row],[Water_testing_at HH]]="no test"),"No Test","Tested")</f>
        <v>Tested</v>
      </c>
      <c r="BO44"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4" s="890">
        <f>WWWW[[#This Row],[% HRP1]]*WWWW[[#This Row],[Total PoP ]]</f>
        <v>11564</v>
      </c>
      <c r="BQ44" s="891">
        <f>WWWW[[#This Row],[HRP1]]/500</f>
        <v>23.128</v>
      </c>
      <c r="BR44" s="892">
        <f>1-WWWW[[#This Row],[% HRP1]]</f>
        <v>0</v>
      </c>
      <c r="BS44" s="891">
        <f>WWWW[[#This Row],[%equitable and continuous access to sufficient quantity of safe drinking and domestic water''s GAP]]*WWWW[[#This Row],[Total PoP ]]</f>
        <v>0</v>
      </c>
      <c r="BT44" s="451">
        <f>ROUND(IF(WWWW[[#This Row],[Total PoP ]]&lt;500,1,WWWW[[#This Row],[Total PoP ]]/500),0)</f>
        <v>23</v>
      </c>
      <c r="BU44" s="889">
        <f>IF(WWWW[[#This Row],[Total required water points]]-WWWW[[#This Row],['#Water points coverage]]&lt;0,0,WWWW[[#This Row],[Total required water points]]-WWWW[[#This Row],['#Water points coverage]])</f>
        <v>0</v>
      </c>
      <c r="BV44" s="452">
        <f>WWWW[[#This Row],[HRP2]]/WWWW[[#This Row],[Total PoP ]]</f>
        <v>0.85359737115185053</v>
      </c>
      <c r="BW44"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9871</v>
      </c>
      <c r="BX44" s="455">
        <f>IF(WWWW[[#This Row],['#_Functional_adult_latrines]]="","",WWWW[[#This Row],[Total PoP ]]/WWWW[[#This Row],['#_Functional_adult_latrines]])</f>
        <v>24.141962421711899</v>
      </c>
      <c r="BY44" s="889">
        <f>WWWW[[#This Row],['#_of_latrines_in_TLS/CFS]]*50</f>
        <v>2000</v>
      </c>
      <c r="BZ44" s="451">
        <f>IF(WWWW[[#This Row],['#_of_latrines_in_THF]]="",0,WWWW[[#This Row],['#_of_latrines_in_THF]]*50)</f>
        <v>0</v>
      </c>
      <c r="CA44" s="889">
        <f>ROUND(IF(WWWW[[#This Row],[Location Type 1]]="camp",WWWW[[#This Row],[Total PoP ]]/20),0)</f>
        <v>578</v>
      </c>
      <c r="CB44" s="889">
        <f>IF(WWWW[[#This Row],[Total required Latrines]]-WWWW[[#This Row],['#_Existing_latrines]]&lt;0,0,WWWW[[#This Row],[Total required Latrines]]-WWWW[[#This Row],['#_Existing_latrines]])</f>
        <v>58</v>
      </c>
      <c r="CC44" s="892">
        <f>1-WWWW[[#This Row],[% HRP2]]</f>
        <v>0.14640262884814947</v>
      </c>
      <c r="CD44" s="888">
        <f>IF(WWWW[[#This Row],['#_Existing_latrines]]="","NA",(WWWW[[#This Row],['#_Existing_latrines]]-WWWW[[#This Row],['#_Functional_adult_latrines]])/WWWW[[#This Row],['#_Existing_latrines]])</f>
        <v>7.8846153846153844E-2</v>
      </c>
      <c r="CE44"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5537</v>
      </c>
      <c r="CF44" s="891">
        <f>SUM(WWWW[[#This Row],[_'#_of_Men_receiving_consultation_hygiene_promotion_messages_and_sessions]:[_'#_of_Girls_receiving_consultation_hygiene_promotion_messages_and_sessions]])-WWWW[[#This Row],['# people reached by regular dedicated hygiene promotion_5]]</f>
        <v>0</v>
      </c>
      <c r="CG44"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H44" s="889">
        <f>IF(WWWW[[#This Row],['#_of_affected_women_and_girls_receiving_a_sufficient_quantity_of_sanitary_pads]]&gt;WWWW[[#This Row],[Total PoP ]],WWWW[[#This Row],[Total PoP ]],WWWW[[#This Row],['#_of_affected_women_and_girls_receiving_a_sufficient_quantity_of_sanitary_pads]])</f>
        <v>4560</v>
      </c>
      <c r="CI44" s="889">
        <f>IF(WWWW[[#This Row],['# People with access to soap]]&gt;WWWW[[#This Row],['# People with access to Sanity Pads]],WWWW[[#This Row],['# People with access to soap]],WWWW[[#This Row],['# People with access to Sanity Pads]])</f>
        <v>11564</v>
      </c>
      <c r="CJ44" s="889">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K44" s="892">
        <f>IF(WWWW[[#This Row],[HRP3]]/WWWW[[#This Row],[Total PoP ]]&gt;100%,100%,WWWW[[#This Row],[HRP3]]/WWWW[[#This Row],[Total PoP ]])</f>
        <v>1</v>
      </c>
      <c r="CL44" s="888">
        <f>1-WWWW[[#This Row],[Hygiene Coverage%]]</f>
        <v>0</v>
      </c>
      <c r="CM44" s="884">
        <f>WWWW[[#This Row],['# people reached by regular dedicated hygiene promotion_5]]/WWWW[[#This Row],[Total PoP ]]</f>
        <v>0.4788135593220339</v>
      </c>
      <c r="CN44" s="888">
        <f>IF(WWWW[[#This Row],['#_of_affected_households_receiving_a_sufficient_quantity_of_soap]]/WWWW[[#This Row],[Total HH]]&gt;1,1,WWWW[[#This Row],['#_of_affected_households_receiving_a_sufficient_quantity_of_soap]]/WWWW[[#This Row],[Total HH]])</f>
        <v>1</v>
      </c>
      <c r="CO44" s="455" t="str">
        <f>IF(WWWW[[#This Row],['#_students at TLS_CFS]]="","No","Yes")</f>
        <v>No</v>
      </c>
      <c r="CP44" s="452">
        <f>WWWW[[#This Row],[%_of_affected_people_surveyed_who_report_feeling_informed_about_the_different_WASH_services_available_to_them]]</f>
        <v>1</v>
      </c>
      <c r="CQ4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4" s="500">
        <f>IF(WWWW[[#This Row],['#_PPL_accessed_water_in_TLS]]&gt;WWWW[[#This Row],['# students access to functioning school latrines_HRP5]],WWWW[[#This Row],['#_PPL_accessed_water_in_TLS]],WWWW[[#This Row],['# students access to functioning school latrines_HRP5]])</f>
        <v>2000</v>
      </c>
      <c r="CS44" s="500">
        <f>IF(WWWW[[#This Row],['#_PPL_accessed_water_in_THF]]&gt;WWWW[[#This Row],['# people access to functioning latrines in THF_HRP6]],WWWW[[#This Row],['#_PPL_accessed_water_in_THF]],WWWW[[#This Row],['# people access to functioning latrines in THF_HRP6]])</f>
        <v>0</v>
      </c>
      <c r="CT44" s="880" t="str">
        <f>VLOOKUP(WWWW[[#This Row],[Site Name]],SiteDB6[[Site Name]:[CCCM Management]],6,FALSE)</f>
        <v>Yes</v>
      </c>
      <c r="CU44" s="880">
        <f>VLOOKUP(WWWW[[#This Row],[Site Name]],SiteDB6[[Site Name]:[CCCM Focal Agency]],7,FALSE)</f>
        <v>0</v>
      </c>
      <c r="CV44" s="880" t="str">
        <f>VLOOKUP(WWWW[[#This Row],[Site Name]],SiteDB6[[Site Name]:[Location Type 1]],9,FALSE)</f>
        <v>Camp</v>
      </c>
      <c r="CW44" s="880" t="str">
        <f>VLOOKUP(WWWW[[#This Row],[Site Name]],SiteDB6[[Site Name]:[Type of Accommodation]],10,FALSE)</f>
        <v>Planned Camp</v>
      </c>
      <c r="CX44" s="880" t="str">
        <f>VLOOKUP(WWWW[[#This Row],[Site Name]],SiteDB6[[Site Name]:[Ethnic or GCA/NGCA]],11,FALSE)</f>
        <v>Muslim</v>
      </c>
      <c r="CY44" s="880">
        <f>VLOOKUP(WWWW[[#This Row],[Site Name]],SiteDB6[[Site Name]:[Lat]],12,FALSE)</f>
        <v>20.202525000000001</v>
      </c>
      <c r="CZ44" s="880">
        <f>VLOOKUP(WWWW[[#This Row],[Site Name]],SiteDB6[[Site Name]:[Long]],13,FALSE)</f>
        <v>92.792479999999998</v>
      </c>
      <c r="DA44" s="880" t="str">
        <f>VLOOKUP(WWWW[[#This Row],[Site Name]],SiteDB6[[Site Name]:[Pcode]],3,FALSE)</f>
        <v>MMR012CMP045</v>
      </c>
      <c r="DB44" s="893" t="str">
        <f t="shared" si="1"/>
        <v>Covered</v>
      </c>
      <c r="DC44" s="477">
        <f>VLOOKUP(WWWW[[#This Row],[Site Name]],SiteDB6[[Site Name]:[PWD_Total]],22,FALSE)</f>
        <v>114</v>
      </c>
      <c r="DD44" s="477">
        <f>VLOOKUP(WWWW[[#This Row],[Site Name]],SiteDB6[[Site Name]:[PWD_Total]],23,FALSE)</f>
        <v>1144</v>
      </c>
      <c r="DE44" s="477">
        <f>WWWW[[#This Row],['# of Male_People with disabilities]]+WWWW[[#This Row],['# of Female_People with disabilities]]</f>
        <v>1258</v>
      </c>
      <c r="DF44" s="880"/>
      <c r="DG44" s="893"/>
      <c r="DH44" s="893"/>
      <c r="DI44" s="893"/>
      <c r="DJ44" s="893">
        <f>VLOOKUP(WWWW[[#This Row],[Site Name]],SiteDB6[[Site Name]:[Pop
(CCCM as of Autust 2021)]],16,FALSE)</f>
        <v>2678</v>
      </c>
      <c r="DK44" s="893">
        <f>VLOOKUP(WWWW[[#This Row],[Site Name]],SiteDB6[[Site Name]:[Pop
(CCCM as of Autust 2021)]],17,FALSE)</f>
        <v>14788</v>
      </c>
    </row>
    <row r="45" spans="1:115">
      <c r="A45" s="873" t="s">
        <v>3144</v>
      </c>
      <c r="B45" s="878" t="s">
        <v>286</v>
      </c>
      <c r="C45" s="879" t="s">
        <v>286</v>
      </c>
      <c r="D45" s="879" t="s">
        <v>3003</v>
      </c>
      <c r="E45" s="845" t="s">
        <v>293</v>
      </c>
      <c r="F45" s="879" t="s">
        <v>401</v>
      </c>
      <c r="G45" s="846" t="s">
        <v>43</v>
      </c>
      <c r="H45" s="879" t="s">
        <v>404</v>
      </c>
      <c r="I45" s="881">
        <v>811</v>
      </c>
      <c r="J45" s="881">
        <v>2861</v>
      </c>
      <c r="K45" s="684">
        <f>WWWW[[#This Row],[Total PoP ]]/WWWW[[#This Row],[Total HH]]</f>
        <v>3.5277435265104811</v>
      </c>
      <c r="L45" s="882">
        <v>44713</v>
      </c>
      <c r="M45" s="883">
        <v>45077</v>
      </c>
      <c r="N45" s="881"/>
      <c r="O45" s="500"/>
      <c r="P45" s="881"/>
      <c r="Q45" s="500">
        <v>16</v>
      </c>
      <c r="R45" s="500">
        <v>16</v>
      </c>
      <c r="S45" s="881"/>
      <c r="T45" s="881">
        <v>2861</v>
      </c>
      <c r="U45" s="881"/>
      <c r="V45" s="884"/>
      <c r="W45" s="881"/>
      <c r="X45" s="884"/>
      <c r="Y45" s="881"/>
      <c r="Z45" s="500"/>
      <c r="AA45" s="500"/>
      <c r="AB45" s="885" t="s">
        <v>3155</v>
      </c>
      <c r="AC45" s="881">
        <v>352</v>
      </c>
      <c r="AD45" s="881">
        <v>363</v>
      </c>
      <c r="AE45" s="881">
        <v>7</v>
      </c>
      <c r="AF45" s="881">
        <v>40</v>
      </c>
      <c r="AG45" s="884"/>
      <c r="AH45" s="884"/>
      <c r="AI45" s="884"/>
      <c r="AJ45" s="881">
        <v>1</v>
      </c>
      <c r="AK45" s="881"/>
      <c r="AL45" s="881"/>
      <c r="AM45" s="500"/>
      <c r="AN45" s="881" t="s">
        <v>41</v>
      </c>
      <c r="AO45" s="886"/>
      <c r="AP45" s="881">
        <v>1353</v>
      </c>
      <c r="AQ45" s="881">
        <v>1810</v>
      </c>
      <c r="AR45" s="881">
        <v>719</v>
      </c>
      <c r="AS45" s="881">
        <v>811</v>
      </c>
      <c r="AT45" s="881">
        <v>811</v>
      </c>
      <c r="AU45" s="881">
        <v>565</v>
      </c>
      <c r="AV45" s="450">
        <v>1</v>
      </c>
      <c r="AW45" s="884"/>
      <c r="AX45" s="451"/>
      <c r="AY45" s="887"/>
      <c r="AZ45" s="450"/>
      <c r="BA45" s="450"/>
      <c r="BB45" s="450"/>
      <c r="BC45" s="450"/>
      <c r="BD45" s="450"/>
      <c r="BE45" s="500"/>
      <c r="BF45" s="500"/>
      <c r="BG45" s="500"/>
      <c r="BH45" s="500"/>
      <c r="BI45" s="500"/>
      <c r="BJ45" s="500"/>
      <c r="BK45" s="500"/>
      <c r="BL45" s="888" t="str">
        <f>IF(WWWW[[#This Row],['#_Water samples_Tested_at_water_source]]="","no test","Tested")</f>
        <v>no test</v>
      </c>
      <c r="BM45" s="888" t="str">
        <f>IF(WWWW[[#This Row],['#_Water samples_Tested_at_HH]]="","no test","Tested")</f>
        <v>no test</v>
      </c>
      <c r="BN45" s="889" t="str">
        <f>IF(AND(WWWW[[#This Row],[Water_testing_at source]]="no test",WWWW[[#This Row],[Water_testing_at HH]]="no test"),"No Test","Tested")</f>
        <v>No Test</v>
      </c>
      <c r="BO45"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5" s="890">
        <f>WWWW[[#This Row],[% HRP1]]*WWWW[[#This Row],[Total PoP ]]</f>
        <v>2861</v>
      </c>
      <c r="BQ45" s="891">
        <f>WWWW[[#This Row],[HRP1]]/500</f>
        <v>5.7220000000000004</v>
      </c>
      <c r="BR45" s="892">
        <f>1-WWWW[[#This Row],[% HRP1]]</f>
        <v>0</v>
      </c>
      <c r="BS45" s="891">
        <f>WWWW[[#This Row],[%equitable and continuous access to sufficient quantity of safe drinking and domestic water''s GAP]]*WWWW[[#This Row],[Total PoP ]]</f>
        <v>0</v>
      </c>
      <c r="BT45" s="451">
        <f>ROUND(IF(WWWW[[#This Row],[Total PoP ]]&lt;500,1,WWWW[[#This Row],[Total PoP ]]/500),0)</f>
        <v>6</v>
      </c>
      <c r="BU45" s="889">
        <f>IF(WWWW[[#This Row],[Total required water points]]-WWWW[[#This Row],['#Water points coverage]]&lt;0,0,WWWW[[#This Row],[Total required water points]]-WWWW[[#This Row],['#Water points coverage]])</f>
        <v>0.27799999999999958</v>
      </c>
      <c r="BV45" s="452">
        <f>WWWW[[#This Row],[HRP2]]/WWWW[[#This Row],[Total PoP ]]</f>
        <v>1</v>
      </c>
      <c r="BW45"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45" s="455">
        <f>IF(WWWW[[#This Row],['#_Functional_adult_latrines]]="","",WWWW[[#This Row],[Total PoP ]]/WWWW[[#This Row],['#_Functional_adult_latrines]])</f>
        <v>8.1278409090909083</v>
      </c>
      <c r="BY45" s="889">
        <f>WWWW[[#This Row],['#_of_latrines_in_TLS/CFS]]*50</f>
        <v>0</v>
      </c>
      <c r="BZ45" s="451">
        <f>IF(WWWW[[#This Row],['#_of_latrines_in_THF]]="",0,WWWW[[#This Row],['#_of_latrines_in_THF]]*50)</f>
        <v>0</v>
      </c>
      <c r="CA45" s="889">
        <f>ROUND(IF(WWWW[[#This Row],[Location Type 1]]="camp",WWWW[[#This Row],[Total PoP ]]/20),0)</f>
        <v>143</v>
      </c>
      <c r="CB45" s="889">
        <f>IF(WWWW[[#This Row],[Total required Latrines]]-WWWW[[#This Row],['#_Existing_latrines]]&lt;0,0,WWWW[[#This Row],[Total required Latrines]]-WWWW[[#This Row],['#_Existing_latrines]])</f>
        <v>0</v>
      </c>
      <c r="CC45" s="892">
        <f>1-WWWW[[#This Row],[% HRP2]]</f>
        <v>0</v>
      </c>
      <c r="CD45" s="888">
        <f>IF(WWWW[[#This Row],['#_Existing_latrines]]="","NA",(WWWW[[#This Row],['#_Existing_latrines]]-WWWW[[#This Row],['#_Functional_adult_latrines]])/WWWW[[#This Row],['#_Existing_latrines]])</f>
        <v>3.0303030303030304E-2</v>
      </c>
      <c r="CE45"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2861</v>
      </c>
      <c r="CF45" s="891">
        <f>SUM(WWWW[[#This Row],[_'#_of_Men_receiving_consultation_hygiene_promotion_messages_and_sessions]:[_'#_of_Girls_receiving_consultation_hygiene_promotion_messages_and_sessions]])-WWWW[[#This Row],['# people reached by regular dedicated hygiene promotion_5]]</f>
        <v>1832</v>
      </c>
      <c r="CG45"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2861</v>
      </c>
      <c r="CH45" s="889">
        <f>IF(WWWW[[#This Row],['#_of_affected_women_and_girls_receiving_a_sufficient_quantity_of_sanitary_pads]]&gt;WWWW[[#This Row],[Total PoP ]],WWWW[[#This Row],[Total PoP ]],WWWW[[#This Row],['#_of_affected_women_and_girls_receiving_a_sufficient_quantity_of_sanitary_pads]])</f>
        <v>565</v>
      </c>
      <c r="CI45" s="889">
        <f>IF(WWWW[[#This Row],['# People with access to soap]]&gt;WWWW[[#This Row],['# People with access to Sanity Pads]],WWWW[[#This Row],['# People with access to soap]],WWWW[[#This Row],['# People with access to Sanity Pads]])</f>
        <v>2861</v>
      </c>
      <c r="CJ45" s="889">
        <f>IF(WWWW[[#This Row],['# people reached by regular dedicated hygiene promotion_5]]&gt;WWWW[[#This Row],['# People received regular supply of hygiene items_6]],WWWW[[#This Row],['# people reached by regular dedicated hygiene promotion_5]],WWWW[[#This Row],['# People received regular supply of hygiene items_6]])</f>
        <v>2861</v>
      </c>
      <c r="CK45" s="892">
        <f>IF(WWWW[[#This Row],[HRP3]]/WWWW[[#This Row],[Total PoP ]]&gt;100%,100%,WWWW[[#This Row],[HRP3]]/WWWW[[#This Row],[Total PoP ]])</f>
        <v>1</v>
      </c>
      <c r="CL45" s="888">
        <f>1-WWWW[[#This Row],[Hygiene Coverage%]]</f>
        <v>0</v>
      </c>
      <c r="CM45" s="884">
        <f>WWWW[[#This Row],['# people reached by regular dedicated hygiene promotion_5]]/WWWW[[#This Row],[Total PoP ]]</f>
        <v>1</v>
      </c>
      <c r="CN45" s="888">
        <f>IF(WWWW[[#This Row],['#_of_affected_households_receiving_a_sufficient_quantity_of_soap]]/WWWW[[#This Row],[Total HH]]&gt;1,1,WWWW[[#This Row],['#_of_affected_households_receiving_a_sufficient_quantity_of_soap]]/WWWW[[#This Row],[Total HH]])</f>
        <v>1</v>
      </c>
      <c r="CO45" s="455" t="str">
        <f>IF(WWWW[[#This Row],['#_students at TLS_CFS]]="","No","Yes")</f>
        <v>No</v>
      </c>
      <c r="CP45" s="452">
        <f>WWWW[[#This Row],[%_of_affected_people_surveyed_who_report_feeling_informed_about_the_different_WASH_services_available_to_them]]</f>
        <v>0</v>
      </c>
      <c r="CQ4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5" s="500">
        <f>IF(WWWW[[#This Row],['#_PPL_accessed_water_in_TLS]]&gt;WWWW[[#This Row],['# students access to functioning school latrines_HRP5]],WWWW[[#This Row],['#_PPL_accessed_water_in_TLS]],WWWW[[#This Row],['# students access to functioning school latrines_HRP5]])</f>
        <v>0</v>
      </c>
      <c r="CS45" s="500">
        <f>IF(WWWW[[#This Row],['#_PPL_accessed_water_in_THF]]&gt;WWWW[[#This Row],['# people access to functioning latrines in THF_HRP6]],WWWW[[#This Row],['#_PPL_accessed_water_in_THF]],WWWW[[#This Row],['# people access to functioning latrines in THF_HRP6]])</f>
        <v>0</v>
      </c>
      <c r="CT45" s="880" t="str">
        <f>VLOOKUP(WWWW[[#This Row],[Site Name]],SiteDB6[[Site Name]:[CCCM Management]],6,FALSE)</f>
        <v>Yes</v>
      </c>
      <c r="CU45" s="880" t="str">
        <f>VLOOKUP(WWWW[[#This Row],[Site Name]],SiteDB6[[Site Name]:[CCCM Focal Agency]],7,FALSE)</f>
        <v>DRC</v>
      </c>
      <c r="CV45" s="880" t="str">
        <f>VLOOKUP(WWWW[[#This Row],[Site Name]],SiteDB6[[Site Name]:[Location Type 1]],9,FALSE)</f>
        <v>Camp</v>
      </c>
      <c r="CW45" s="880" t="str">
        <f>VLOOKUP(WWWW[[#This Row],[Site Name]],SiteDB6[[Site Name]:[Type of Accommodation]],10,FALSE)</f>
        <v>Planned Camp</v>
      </c>
      <c r="CX45" s="880" t="str">
        <f>VLOOKUP(WWWW[[#This Row],[Site Name]],SiteDB6[[Site Name]:[Ethnic or GCA/NGCA]],11,FALSE)</f>
        <v>Muslim</v>
      </c>
      <c r="CY45" s="880">
        <f>VLOOKUP(WWWW[[#This Row],[Site Name]],SiteDB6[[Site Name]:[Lat]],12,FALSE)</f>
        <v>20.064226000000001</v>
      </c>
      <c r="CZ45" s="880">
        <f>VLOOKUP(WWWW[[#This Row],[Site Name]],SiteDB6[[Site Name]:[Long]],13,FALSE)</f>
        <v>92.993758999999997</v>
      </c>
      <c r="DA45" s="880" t="str">
        <f>VLOOKUP(WWWW[[#This Row],[Site Name]],SiteDB6[[Site Name]:[Pcode]],3,FALSE)</f>
        <v>MMR012CMP019</v>
      </c>
      <c r="DB45" s="893" t="str">
        <f t="shared" si="1"/>
        <v>Covered</v>
      </c>
      <c r="DC45" s="477">
        <f>VLOOKUP(WWWW[[#This Row],[Site Name]],SiteDB6[[Site Name]:[PWD_Total]],22,FALSE)</f>
        <v>159</v>
      </c>
      <c r="DD45" s="477">
        <f>VLOOKUP(WWWW[[#This Row],[Site Name]],SiteDB6[[Site Name]:[PWD_Total]],23,FALSE)</f>
        <v>361</v>
      </c>
      <c r="DE45" s="477">
        <f>WWWW[[#This Row],['# of Male_People with disabilities]]+WWWW[[#This Row],['# of Female_People with disabilities]]</f>
        <v>520</v>
      </c>
      <c r="DF45" s="880"/>
      <c r="DG45" s="893"/>
      <c r="DH45" s="893"/>
      <c r="DI45" s="893"/>
      <c r="DJ45" s="893">
        <f>VLOOKUP(WWWW[[#This Row],[Site Name]],SiteDB6[[Site Name]:[Pop
(CCCM as of Autust 2021)]],16,FALSE)</f>
        <v>682</v>
      </c>
      <c r="DK45" s="893">
        <f>VLOOKUP(WWWW[[#This Row],[Site Name]],SiteDB6[[Site Name]:[Pop
(CCCM as of Autust 2021)]],17,FALSE)</f>
        <v>2588</v>
      </c>
    </row>
    <row r="46" spans="1:115">
      <c r="A46" s="873" t="s">
        <v>3144</v>
      </c>
      <c r="B46" s="878" t="s">
        <v>397</v>
      </c>
      <c r="C46" s="879" t="s">
        <v>397</v>
      </c>
      <c r="D46" s="879" t="s">
        <v>3003</v>
      </c>
      <c r="E46" s="845" t="s">
        <v>293</v>
      </c>
      <c r="F46" s="879" t="s">
        <v>398</v>
      </c>
      <c r="G46" s="846" t="s">
        <v>43</v>
      </c>
      <c r="H46" s="879" t="s">
        <v>399</v>
      </c>
      <c r="I46" s="881">
        <v>716</v>
      </c>
      <c r="J46" s="881">
        <v>2920</v>
      </c>
      <c r="K46" s="684">
        <f>WWWW[[#This Row],[Total PoP ]]/WWWW[[#This Row],[Total HH]]</f>
        <v>4.0782122905027931</v>
      </c>
      <c r="L46" s="882">
        <v>43952</v>
      </c>
      <c r="M46" s="883">
        <v>44316</v>
      </c>
      <c r="N46" s="881"/>
      <c r="O46" s="500"/>
      <c r="P46" s="881"/>
      <c r="Q46" s="500">
        <v>6</v>
      </c>
      <c r="R46" s="500">
        <v>6</v>
      </c>
      <c r="S46" s="881"/>
      <c r="T46" s="881"/>
      <c r="U46" s="881"/>
      <c r="V46" s="884"/>
      <c r="W46" s="881"/>
      <c r="X46" s="884"/>
      <c r="Y46" s="881"/>
      <c r="Z46" s="500"/>
      <c r="AA46" s="500"/>
      <c r="AB46" s="885"/>
      <c r="AC46" s="881">
        <v>642</v>
      </c>
      <c r="AD46" s="881">
        <v>642</v>
      </c>
      <c r="AE46" s="881"/>
      <c r="AF46" s="881"/>
      <c r="AG46" s="884"/>
      <c r="AH46" s="884"/>
      <c r="AI46" s="884"/>
      <c r="AJ46" s="881">
        <v>6</v>
      </c>
      <c r="AK46" s="881"/>
      <c r="AL46" s="881">
        <v>4</v>
      </c>
      <c r="AM46" s="500">
        <v>1</v>
      </c>
      <c r="AN46" s="881" t="s">
        <v>125</v>
      </c>
      <c r="AO46" s="886"/>
      <c r="AP46" s="881"/>
      <c r="AQ46" s="881"/>
      <c r="AR46" s="881"/>
      <c r="AS46" s="881"/>
      <c r="AT46" s="881"/>
      <c r="AU46" s="881"/>
      <c r="AV46" s="450"/>
      <c r="AW46" s="884"/>
      <c r="AX46" s="451"/>
      <c r="AY46" s="887"/>
      <c r="AZ46" s="450"/>
      <c r="BA46" s="450"/>
      <c r="BB46" s="450"/>
      <c r="BC46" s="450"/>
      <c r="BD46" s="450"/>
      <c r="BE46" s="500"/>
      <c r="BF46" s="500"/>
      <c r="BG46" s="500"/>
      <c r="BH46" s="500"/>
      <c r="BI46" s="500"/>
      <c r="BJ46" s="500"/>
      <c r="BK46" s="500"/>
      <c r="BL46" s="888" t="str">
        <f>IF(WWWW[[#This Row],['#_Water samples_Tested_at_water_source]]="","no test","Tested")</f>
        <v>no test</v>
      </c>
      <c r="BM46" s="888" t="str">
        <f>IF(WWWW[[#This Row],['#_Water samples_Tested_at_HH]]="","no test","Tested")</f>
        <v>no test</v>
      </c>
      <c r="BN46" s="889" t="str">
        <f>IF(AND(WWWW[[#This Row],[Water_testing_at source]]="no test",WWWW[[#This Row],[Water_testing_at HH]]="no test"),"No Test","Tested")</f>
        <v>No Test</v>
      </c>
      <c r="BO46"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46" s="890">
        <f>WWWW[[#This Row],[% HRP1]]*WWWW[[#This Row],[Total PoP ]]</f>
        <v>1500.0000000000002</v>
      </c>
      <c r="BQ46" s="891">
        <f>WWWW[[#This Row],[HRP1]]/500</f>
        <v>3.0000000000000004</v>
      </c>
      <c r="BR46" s="892">
        <f>1-WWWW[[#This Row],[% HRP1]]</f>
        <v>0.48630136986301364</v>
      </c>
      <c r="BS46" s="891">
        <f>WWWW[[#This Row],[%equitable and continuous access to sufficient quantity of safe drinking and domestic water''s GAP]]*WWWW[[#This Row],[Total PoP ]]</f>
        <v>1419.9999999999998</v>
      </c>
      <c r="BT46" s="451">
        <f>ROUND(IF(WWWW[[#This Row],[Total PoP ]]&lt;500,1,WWWW[[#This Row],[Total PoP ]]/500),0)</f>
        <v>6</v>
      </c>
      <c r="BU46" s="889">
        <f>IF(WWWW[[#This Row],[Total required water points]]-WWWW[[#This Row],['#Water points coverage]]&lt;0,0,WWWW[[#This Row],[Total required water points]]-WWWW[[#This Row],['#Water points coverage]])</f>
        <v>2.9999999999999996</v>
      </c>
      <c r="BV46" s="452">
        <f>WWWW[[#This Row],[HRP2]]/WWWW[[#This Row],[Total PoP ]]</f>
        <v>1</v>
      </c>
      <c r="BW46"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46" s="455">
        <f>IF(WWWW[[#This Row],['#_Functional_adult_latrines]]="","",WWWW[[#This Row],[Total PoP ]]/WWWW[[#This Row],['#_Functional_adult_latrines]])</f>
        <v>4.5482866043613708</v>
      </c>
      <c r="BY46" s="889">
        <f>WWWW[[#This Row],['#_of_latrines_in_TLS/CFS]]*50</f>
        <v>200</v>
      </c>
      <c r="BZ46" s="451">
        <f>IF(WWWW[[#This Row],['#_of_latrines_in_THF]]="",0,WWWW[[#This Row],['#_of_latrines_in_THF]]*50)</f>
        <v>50</v>
      </c>
      <c r="CA46" s="889">
        <f>ROUND(IF(WWWW[[#This Row],[Location Type 1]]="camp",WWWW[[#This Row],[Total PoP ]]/20),0)</f>
        <v>146</v>
      </c>
      <c r="CB46" s="889">
        <f>IF(WWWW[[#This Row],[Total required Latrines]]-WWWW[[#This Row],['#_Existing_latrines]]&lt;0,0,WWWW[[#This Row],[Total required Latrines]]-WWWW[[#This Row],['#_Existing_latrines]])</f>
        <v>0</v>
      </c>
      <c r="CC46" s="892">
        <f>1-WWWW[[#This Row],[% HRP2]]</f>
        <v>0</v>
      </c>
      <c r="CD46" s="888">
        <f>IF(WWWW[[#This Row],['#_Existing_latrines]]="","NA",(WWWW[[#This Row],['#_Existing_latrines]]-WWWW[[#This Row],['#_Functional_adult_latrines]])/WWWW[[#This Row],['#_Existing_latrines]])</f>
        <v>0</v>
      </c>
      <c r="CE46"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46" s="891">
        <f>SUM(WWWW[[#This Row],[_'#_of_Men_receiving_consultation_hygiene_promotion_messages_and_sessions]:[_'#_of_Girls_receiving_consultation_hygiene_promotion_messages_and_sessions]])-WWWW[[#This Row],['# people reached by regular dedicated hygiene promotion_5]]</f>
        <v>0</v>
      </c>
      <c r="CG46"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46" s="889">
        <f>IF(WWWW[[#This Row],['#_of_affected_women_and_girls_receiving_a_sufficient_quantity_of_sanitary_pads]]&gt;WWWW[[#This Row],[Total PoP ]],WWWW[[#This Row],[Total PoP ]],WWWW[[#This Row],['#_of_affected_women_and_girls_receiving_a_sufficient_quantity_of_sanitary_pads]])</f>
        <v>0</v>
      </c>
      <c r="CI46" s="889">
        <f>IF(WWWW[[#This Row],['# People with access to soap]]&gt;WWWW[[#This Row],['# People with access to Sanity Pads]],WWWW[[#This Row],['# People with access to soap]],WWWW[[#This Row],['# People with access to Sanity Pads]])</f>
        <v>0</v>
      </c>
      <c r="CJ46" s="889">
        <f>IF(WWWW[[#This Row],['# people reached by regular dedicated hygiene promotion_5]]&gt;WWWW[[#This Row],['# People received regular supply of hygiene items_6]],WWWW[[#This Row],['# people reached by regular dedicated hygiene promotion_5]],WWWW[[#This Row],['# People received regular supply of hygiene items_6]])</f>
        <v>0</v>
      </c>
      <c r="CK46" s="892">
        <f>IF(WWWW[[#This Row],[HRP3]]/WWWW[[#This Row],[Total PoP ]]&gt;100%,100%,WWWW[[#This Row],[HRP3]]/WWWW[[#This Row],[Total PoP ]])</f>
        <v>0</v>
      </c>
      <c r="CL46" s="888">
        <f>1-WWWW[[#This Row],[Hygiene Coverage%]]</f>
        <v>1</v>
      </c>
      <c r="CM46" s="884">
        <f>WWWW[[#This Row],['# people reached by regular dedicated hygiene promotion_5]]/WWWW[[#This Row],[Total PoP ]]</f>
        <v>0</v>
      </c>
      <c r="CN46" s="888">
        <f>IF(WWWW[[#This Row],['#_of_affected_households_receiving_a_sufficient_quantity_of_soap]]/WWWW[[#This Row],[Total HH]]&gt;1,1,WWWW[[#This Row],['#_of_affected_households_receiving_a_sufficient_quantity_of_soap]]/WWWW[[#This Row],[Total HH]])</f>
        <v>0</v>
      </c>
      <c r="CO46" s="455" t="str">
        <f>IF(WWWW[[#This Row],['#_students at TLS_CFS]]="","No","Yes")</f>
        <v>No</v>
      </c>
      <c r="CP46" s="452">
        <f>WWWW[[#This Row],[%_of_affected_people_surveyed_who_report_feeling_informed_about_the_different_WASH_services_available_to_them]]</f>
        <v>0</v>
      </c>
      <c r="CQ4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6" s="500">
        <f>IF(WWWW[[#This Row],['#_PPL_accessed_water_in_TLS]]&gt;WWWW[[#This Row],['# students access to functioning school latrines_HRP5]],WWWW[[#This Row],['#_PPL_accessed_water_in_TLS]],WWWW[[#This Row],['# students access to functioning school latrines_HRP5]])</f>
        <v>200</v>
      </c>
      <c r="CS46" s="500">
        <f>IF(WWWW[[#This Row],['#_PPL_accessed_water_in_THF]]&gt;WWWW[[#This Row],['# people access to functioning latrines in THF_HRP6]],WWWW[[#This Row],['#_PPL_accessed_water_in_THF]],WWWW[[#This Row],['# people access to functioning latrines in THF_HRP6]])</f>
        <v>50</v>
      </c>
      <c r="CT46" s="880" t="str">
        <f>VLOOKUP(WWWW[[#This Row],[Site Name]],SiteDB6[[Site Name]:[CCCM Management]],6,FALSE)</f>
        <v>Yes</v>
      </c>
      <c r="CU46" s="880" t="str">
        <f>VLOOKUP(WWWW[[#This Row],[Site Name]],SiteDB6[[Site Name]:[CCCM Focal Agency]],7,FALSE)</f>
        <v>RI</v>
      </c>
      <c r="CV46" s="880" t="str">
        <f>VLOOKUP(WWWW[[#This Row],[Site Name]],SiteDB6[[Site Name]:[Location Type 1]],9,FALSE)</f>
        <v>Camp</v>
      </c>
      <c r="CW46" s="880" t="str">
        <f>VLOOKUP(WWWW[[#This Row],[Site Name]],SiteDB6[[Site Name]:[Type of Accommodation]],10,FALSE)</f>
        <v>Planned Camp</v>
      </c>
      <c r="CX46" s="880" t="str">
        <f>VLOOKUP(WWWW[[#This Row],[Site Name]],SiteDB6[[Site Name]:[Ethnic or GCA/NGCA]],11,FALSE)</f>
        <v>Muslim</v>
      </c>
      <c r="CY46" s="880">
        <f>VLOOKUP(WWWW[[#This Row],[Site Name]],SiteDB6[[Site Name]:[Lat]],12,FALSE)</f>
        <v>20.037655000000001</v>
      </c>
      <c r="CZ46" s="880">
        <f>VLOOKUP(WWWW[[#This Row],[Site Name]],SiteDB6[[Site Name]:[Long]],13,FALSE)</f>
        <v>93.370037999999994</v>
      </c>
      <c r="DA46" s="880" t="str">
        <f>VLOOKUP(WWWW[[#This Row],[Site Name]],SiteDB6[[Site Name]:[Pcode]],3,FALSE)</f>
        <v>MMR012CMP014</v>
      </c>
      <c r="DB46" s="893" t="str">
        <f t="shared" si="1"/>
        <v>Covered</v>
      </c>
      <c r="DC46" s="477">
        <f>VLOOKUP(WWWW[[#This Row],[Site Name]],SiteDB6[[Site Name]:[PWD_Total]],22,FALSE)</f>
        <v>73</v>
      </c>
      <c r="DD46" s="477">
        <f>VLOOKUP(WWWW[[#This Row],[Site Name]],SiteDB6[[Site Name]:[PWD_Total]],23,FALSE)</f>
        <v>318</v>
      </c>
      <c r="DE46" s="477">
        <f>WWWW[[#This Row],['# of Male_People with disabilities]]+WWWW[[#This Row],['# of Female_People with disabilities]]</f>
        <v>391</v>
      </c>
      <c r="DF46" s="880"/>
      <c r="DG46" s="893"/>
      <c r="DH46" s="893"/>
      <c r="DI46" s="893"/>
      <c r="DJ46" s="893">
        <f>VLOOKUP(WWWW[[#This Row],[Site Name]],SiteDB6[[Site Name]:[Pop
(CCCM as of Autust 2021)]],16,FALSE)</f>
        <v>747</v>
      </c>
      <c r="DK46" s="893">
        <f>VLOOKUP(WWWW[[#This Row],[Site Name]],SiteDB6[[Site Name]:[Pop
(CCCM as of Autust 2021)]],17,FALSE)</f>
        <v>3495</v>
      </c>
    </row>
    <row r="47" spans="1:115">
      <c r="A47" s="873" t="s">
        <v>3144</v>
      </c>
      <c r="B47" s="878" t="s">
        <v>2270</v>
      </c>
      <c r="C47" s="879" t="s">
        <v>2270</v>
      </c>
      <c r="D47" s="879" t="s">
        <v>3184</v>
      </c>
      <c r="E47" s="845" t="s">
        <v>293</v>
      </c>
      <c r="F47" s="879" t="s">
        <v>294</v>
      </c>
      <c r="G47" s="846" t="s">
        <v>43</v>
      </c>
      <c r="H47" s="879" t="s">
        <v>421</v>
      </c>
      <c r="I47" s="881">
        <v>1139</v>
      </c>
      <c r="J47" s="881">
        <v>6016</v>
      </c>
      <c r="K47" s="684">
        <f>WWWW[[#This Row],[Total PoP ]]/WWWW[[#This Row],[Total HH]]</f>
        <v>5.2818261633011412</v>
      </c>
      <c r="L47" s="882">
        <v>44652</v>
      </c>
      <c r="M47" s="883">
        <v>44834</v>
      </c>
      <c r="N47" s="881"/>
      <c r="O47" s="500">
        <v>38</v>
      </c>
      <c r="P47" s="881">
        <v>40</v>
      </c>
      <c r="Q47" s="500"/>
      <c r="R47" s="500"/>
      <c r="S47" s="881"/>
      <c r="T47" s="881"/>
      <c r="U47" s="881"/>
      <c r="V47" s="884"/>
      <c r="W47" s="881"/>
      <c r="X47" s="884"/>
      <c r="Y47" s="881"/>
      <c r="Z47" s="500"/>
      <c r="AA47" s="500"/>
      <c r="AB47" s="885"/>
      <c r="AC47" s="881">
        <v>222</v>
      </c>
      <c r="AD47" s="881">
        <v>253</v>
      </c>
      <c r="AE47" s="881">
        <v>158</v>
      </c>
      <c r="AF47" s="881">
        <v>101</v>
      </c>
      <c r="AG47" s="884">
        <v>1</v>
      </c>
      <c r="AH47" s="884">
        <v>0.97</v>
      </c>
      <c r="AI47" s="884">
        <v>0.77</v>
      </c>
      <c r="AJ47" s="881"/>
      <c r="AK47" s="881"/>
      <c r="AL47" s="881"/>
      <c r="AM47" s="500"/>
      <c r="AN47" s="881" t="s">
        <v>41</v>
      </c>
      <c r="AO47" s="886" t="s">
        <v>3190</v>
      </c>
      <c r="AP47" s="881">
        <v>18</v>
      </c>
      <c r="AQ47" s="881">
        <v>140</v>
      </c>
      <c r="AR47" s="881">
        <v>29</v>
      </c>
      <c r="AS47" s="881">
        <v>20</v>
      </c>
      <c r="AT47" s="881">
        <v>1139</v>
      </c>
      <c r="AU47" s="881">
        <v>2278</v>
      </c>
      <c r="AV47" s="450">
        <v>0.94</v>
      </c>
      <c r="AW47" s="884">
        <v>1</v>
      </c>
      <c r="AX47" s="451"/>
      <c r="AY47" s="887" t="s">
        <v>3190</v>
      </c>
      <c r="AZ47" s="450">
        <v>1</v>
      </c>
      <c r="BA47" s="450">
        <v>1</v>
      </c>
      <c r="BB47" s="450">
        <v>1</v>
      </c>
      <c r="BC47" s="450">
        <v>0.9</v>
      </c>
      <c r="BD47" s="450"/>
      <c r="BE47" s="500">
        <v>253</v>
      </c>
      <c r="BF47" s="500"/>
      <c r="BG47" s="500"/>
      <c r="BH47" s="500"/>
      <c r="BI47" s="500"/>
      <c r="BJ47" s="500"/>
      <c r="BK47" s="500"/>
      <c r="BL47" s="888" t="str">
        <f>IF(WWWW[[#This Row],['#_Water samples_Tested_at_water_source]]="","no test","Tested")</f>
        <v>no test</v>
      </c>
      <c r="BM47" s="888" t="str">
        <f>IF(WWWW[[#This Row],['#_Water samples_Tested_at_HH]]="","no test","Tested")</f>
        <v>no test</v>
      </c>
      <c r="BN47" s="889" t="str">
        <f>IF(AND(WWWW[[#This Row],[Water_testing_at source]]="no test",WWWW[[#This Row],[Water_testing_at HH]]="no test"),"No Test","Tested")</f>
        <v>No Test</v>
      </c>
      <c r="BO47"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7" s="890">
        <f>WWWW[[#This Row],[% HRP1]]*WWWW[[#This Row],[Total PoP ]]</f>
        <v>6016</v>
      </c>
      <c r="BQ47" s="891">
        <f>WWWW[[#This Row],[HRP1]]/500</f>
        <v>12.032</v>
      </c>
      <c r="BR47" s="892">
        <f>1-WWWW[[#This Row],[% HRP1]]</f>
        <v>0</v>
      </c>
      <c r="BS47" s="891">
        <f>WWWW[[#This Row],[%equitable and continuous access to sufficient quantity of safe drinking and domestic water''s GAP]]*WWWW[[#This Row],[Total PoP ]]</f>
        <v>0</v>
      </c>
      <c r="BT47" s="451">
        <f>ROUND(IF(WWWW[[#This Row],[Total PoP ]]&lt;500,1,WWWW[[#This Row],[Total PoP ]]/500),0)</f>
        <v>12</v>
      </c>
      <c r="BU47" s="889">
        <f>IF(WWWW[[#This Row],[Total required water points]]-WWWW[[#This Row],['#Water points coverage]]&lt;0,0,WWWW[[#This Row],[Total required water points]]-WWWW[[#This Row],['#Water points coverage]])</f>
        <v>0</v>
      </c>
      <c r="BV47" s="452">
        <f>WWWW[[#This Row],[HRP2]]/WWWW[[#This Row],[Total PoP ]]</f>
        <v>0.73803191489361697</v>
      </c>
      <c r="BW47"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4440</v>
      </c>
      <c r="BX47" s="455">
        <f>IF(WWWW[[#This Row],['#_Functional_adult_latrines]]="","",WWWW[[#This Row],[Total PoP ]]/WWWW[[#This Row],['#_Functional_adult_latrines]])</f>
        <v>27.099099099099099</v>
      </c>
      <c r="BY47" s="889">
        <f>WWWW[[#This Row],['#_of_latrines_in_TLS/CFS]]*50</f>
        <v>0</v>
      </c>
      <c r="BZ47" s="451">
        <f>IF(WWWW[[#This Row],['#_of_latrines_in_THF]]="",0,WWWW[[#This Row],['#_of_latrines_in_THF]]*50)</f>
        <v>0</v>
      </c>
      <c r="CA47" s="889">
        <f>ROUND(IF(WWWW[[#This Row],[Location Type 1]]="camp",WWWW[[#This Row],[Total PoP ]]/20),0)</f>
        <v>301</v>
      </c>
      <c r="CB47" s="889">
        <f>IF(WWWW[[#This Row],[Total required Latrines]]-WWWW[[#This Row],['#_Existing_latrines]]&lt;0,0,WWWW[[#This Row],[Total required Latrines]]-WWWW[[#This Row],['#_Existing_latrines]])</f>
        <v>48</v>
      </c>
      <c r="CC47" s="892">
        <f>1-WWWW[[#This Row],[% HRP2]]</f>
        <v>0.26196808510638303</v>
      </c>
      <c r="CD47" s="888">
        <f>IF(WWWW[[#This Row],['#_Existing_latrines]]="","NA",(WWWW[[#This Row],['#_Existing_latrines]]-WWWW[[#This Row],['#_Functional_adult_latrines]])/WWWW[[#This Row],['#_Existing_latrines]])</f>
        <v>0.1225296442687747</v>
      </c>
      <c r="CE47"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207</v>
      </c>
      <c r="CF47" s="891">
        <f>SUM(WWWW[[#This Row],[_'#_of_Men_receiving_consultation_hygiene_promotion_messages_and_sessions]:[_'#_of_Girls_receiving_consultation_hygiene_promotion_messages_and_sessions]])-WWWW[[#This Row],['# people reached by regular dedicated hygiene promotion_5]]</f>
        <v>0</v>
      </c>
      <c r="CG47"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6016</v>
      </c>
      <c r="CH47" s="889">
        <f>IF(WWWW[[#This Row],['#_of_affected_women_and_girls_receiving_a_sufficient_quantity_of_sanitary_pads]]&gt;WWWW[[#This Row],[Total PoP ]],WWWW[[#This Row],[Total PoP ]],WWWW[[#This Row],['#_of_affected_women_and_girls_receiving_a_sufficient_quantity_of_sanitary_pads]])</f>
        <v>2278</v>
      </c>
      <c r="CI47" s="889">
        <f>IF(WWWW[[#This Row],['# People with access to soap]]&gt;WWWW[[#This Row],['# People with access to Sanity Pads]],WWWW[[#This Row],['# People with access to soap]],WWWW[[#This Row],['# People with access to Sanity Pads]])</f>
        <v>6016</v>
      </c>
      <c r="CJ47" s="889">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K47" s="892">
        <f>IF(WWWW[[#This Row],[HRP3]]/WWWW[[#This Row],[Total PoP ]]&gt;100%,100%,WWWW[[#This Row],[HRP3]]/WWWW[[#This Row],[Total PoP ]])</f>
        <v>1</v>
      </c>
      <c r="CL47" s="888">
        <f>1-WWWW[[#This Row],[Hygiene Coverage%]]</f>
        <v>0</v>
      </c>
      <c r="CM47" s="884">
        <f>WWWW[[#This Row],['# people reached by regular dedicated hygiene promotion_5]]/WWWW[[#This Row],[Total PoP ]]</f>
        <v>3.4408244680851061E-2</v>
      </c>
      <c r="CN47" s="888">
        <f>IF(WWWW[[#This Row],['#_of_affected_households_receiving_a_sufficient_quantity_of_soap]]/WWWW[[#This Row],[Total HH]]&gt;1,1,WWWW[[#This Row],['#_of_affected_households_receiving_a_sufficient_quantity_of_soap]]/WWWW[[#This Row],[Total HH]])</f>
        <v>1</v>
      </c>
      <c r="CO47" s="455" t="str">
        <f>IF(WWWW[[#This Row],['#_students at TLS_CFS]]="","No","Yes")</f>
        <v>No</v>
      </c>
      <c r="CP47" s="452">
        <f>WWWW[[#This Row],[%_of_affected_people_surveyed_who_report_feeling_informed_about_the_different_WASH_services_available_to_them]]</f>
        <v>1</v>
      </c>
      <c r="CQ4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253</v>
      </c>
      <c r="CR47" s="500">
        <f>IF(WWWW[[#This Row],['#_PPL_accessed_water_in_TLS]]&gt;WWWW[[#This Row],['# students access to functioning school latrines_HRP5]],WWWW[[#This Row],['#_PPL_accessed_water_in_TLS]],WWWW[[#This Row],['# students access to functioning school latrines_HRP5]])</f>
        <v>0</v>
      </c>
      <c r="CS47" s="500">
        <f>IF(WWWW[[#This Row],['#_PPL_accessed_water_in_THF]]&gt;WWWW[[#This Row],['# people access to functioning latrines in THF_HRP6]],WWWW[[#This Row],['#_PPL_accessed_water_in_THF]],WWWW[[#This Row],['# people access to functioning latrines in THF_HRP6]])</f>
        <v>0</v>
      </c>
      <c r="CT47" s="880" t="str">
        <f>VLOOKUP(WWWW[[#This Row],[Site Name]],SiteDB6[[Site Name]:[CCCM Management]],6,FALSE)</f>
        <v>Yes</v>
      </c>
      <c r="CU47" s="880">
        <f>VLOOKUP(WWWW[[#This Row],[Site Name]],SiteDB6[[Site Name]:[CCCM Focal Agency]],7,FALSE)</f>
        <v>0</v>
      </c>
      <c r="CV47" s="880" t="str">
        <f>VLOOKUP(WWWW[[#This Row],[Site Name]],SiteDB6[[Site Name]:[Location Type 1]],9,FALSE)</f>
        <v>Camp</v>
      </c>
      <c r="CW47" s="880" t="str">
        <f>VLOOKUP(WWWW[[#This Row],[Site Name]],SiteDB6[[Site Name]:[Type of Accommodation]],10,FALSE)</f>
        <v>Self Settled Camp</v>
      </c>
      <c r="CX47" s="880" t="str">
        <f>VLOOKUP(WWWW[[#This Row],[Site Name]],SiteDB6[[Site Name]:[Ethnic or GCA/NGCA]],11,FALSE)</f>
        <v>Muslim</v>
      </c>
      <c r="CY47" s="880">
        <f>VLOOKUP(WWWW[[#This Row],[Site Name]],SiteDB6[[Site Name]:[Lat]],12,FALSE)</f>
        <v>20.1585</v>
      </c>
      <c r="CZ47" s="880">
        <f>VLOOKUP(WWWW[[#This Row],[Site Name]],SiteDB6[[Site Name]:[Long]],13,FALSE)</f>
        <v>92.839416999999997</v>
      </c>
      <c r="DA47" s="880" t="str">
        <f>VLOOKUP(WWWW[[#This Row],[Site Name]],SiteDB6[[Site Name]:[Pcode]],3,FALSE)</f>
        <v>MMR012CMP046</v>
      </c>
      <c r="DB47" s="893" t="str">
        <f t="shared" si="1"/>
        <v>Covered</v>
      </c>
      <c r="DC47" s="477">
        <f>VLOOKUP(WWWW[[#This Row],[Site Name]],SiteDB6[[Site Name]:[PWD_Total]],22,FALSE)</f>
        <v>365</v>
      </c>
      <c r="DD47" s="477">
        <f>VLOOKUP(WWWW[[#This Row],[Site Name]],SiteDB6[[Site Name]:[PWD_Total]],23,FALSE)</f>
        <v>800</v>
      </c>
      <c r="DE47" s="477">
        <f>WWWW[[#This Row],['# of Male_People with disabilities]]+WWWW[[#This Row],['# of Female_People with disabilities]]</f>
        <v>1165</v>
      </c>
      <c r="DF47" s="880"/>
      <c r="DG47" s="893"/>
      <c r="DH47" s="893"/>
      <c r="DI47" s="893"/>
      <c r="DJ47" s="893">
        <f>VLOOKUP(WWWW[[#This Row],[Site Name]],SiteDB6[[Site Name]:[Pop
(CCCM as of Autust 2021)]],16,FALSE)</f>
        <v>2062</v>
      </c>
      <c r="DK47" s="893">
        <f>VLOOKUP(WWWW[[#This Row],[Site Name]],SiteDB6[[Site Name]:[Pop
(CCCM as of Autust 2021)]],17,FALSE)</f>
        <v>12522</v>
      </c>
    </row>
    <row r="48" spans="1:115">
      <c r="A48" s="873" t="s">
        <v>3144</v>
      </c>
      <c r="B48" s="878" t="s">
        <v>2620</v>
      </c>
      <c r="C48" s="878" t="s">
        <v>2620</v>
      </c>
      <c r="D48" s="879" t="s">
        <v>3184</v>
      </c>
      <c r="E48" s="845" t="s">
        <v>293</v>
      </c>
      <c r="F48" s="879" t="s">
        <v>294</v>
      </c>
      <c r="G48" s="846" t="s">
        <v>43</v>
      </c>
      <c r="H48" s="879" t="s">
        <v>425</v>
      </c>
      <c r="I48" s="881">
        <v>1013</v>
      </c>
      <c r="J48" s="881">
        <v>5950</v>
      </c>
      <c r="K48" s="684">
        <f>WWWW[[#This Row],[Total PoP ]]/WWWW[[#This Row],[Total HH]]</f>
        <v>5.8736426456071076</v>
      </c>
      <c r="L48" s="882">
        <v>44652</v>
      </c>
      <c r="M48" s="883">
        <v>44834</v>
      </c>
      <c r="N48" s="881"/>
      <c r="O48" s="500">
        <v>67</v>
      </c>
      <c r="P48" s="881">
        <v>69</v>
      </c>
      <c r="Q48" s="500"/>
      <c r="R48" s="500"/>
      <c r="S48" s="881"/>
      <c r="T48" s="881"/>
      <c r="U48" s="881">
        <v>8</v>
      </c>
      <c r="V48" s="884">
        <v>1</v>
      </c>
      <c r="W48" s="881"/>
      <c r="X48" s="884"/>
      <c r="Y48" s="881"/>
      <c r="Z48" s="500"/>
      <c r="AA48" s="500"/>
      <c r="AB48" s="885"/>
      <c r="AC48" s="881">
        <v>273</v>
      </c>
      <c r="AD48" s="881">
        <v>335</v>
      </c>
      <c r="AE48" s="881">
        <v>136</v>
      </c>
      <c r="AF48" s="881">
        <v>131</v>
      </c>
      <c r="AG48" s="884">
        <v>1</v>
      </c>
      <c r="AH48" s="884">
        <v>0.55000000000000004</v>
      </c>
      <c r="AI48" s="884">
        <v>0.62</v>
      </c>
      <c r="AJ48" s="881">
        <v>4</v>
      </c>
      <c r="AK48" s="881">
        <v>38</v>
      </c>
      <c r="AL48" s="881">
        <v>21</v>
      </c>
      <c r="AM48" s="500"/>
      <c r="AN48" s="881" t="s">
        <v>41</v>
      </c>
      <c r="AO48" s="886"/>
      <c r="AP48" s="881">
        <v>737</v>
      </c>
      <c r="AQ48" s="881">
        <v>1054</v>
      </c>
      <c r="AR48" s="881"/>
      <c r="AS48" s="881"/>
      <c r="AT48" s="881">
        <v>1312</v>
      </c>
      <c r="AU48" s="881">
        <v>2624</v>
      </c>
      <c r="AV48" s="450">
        <v>0.53</v>
      </c>
      <c r="AW48" s="884">
        <v>1</v>
      </c>
      <c r="AX48" s="451">
        <v>3</v>
      </c>
      <c r="AY48" s="887"/>
      <c r="AZ48" s="450">
        <v>0.86</v>
      </c>
      <c r="BA48" s="450">
        <v>0.9</v>
      </c>
      <c r="BB48" s="450">
        <v>1</v>
      </c>
      <c r="BC48" s="450">
        <v>1</v>
      </c>
      <c r="BD48" s="450"/>
      <c r="BE48" s="500"/>
      <c r="BF48" s="500"/>
      <c r="BG48" s="500"/>
      <c r="BH48" s="500"/>
      <c r="BI48" s="500"/>
      <c r="BJ48" s="500"/>
      <c r="BK48" s="500"/>
      <c r="BL48" s="888" t="str">
        <f>IF(WWWW[[#This Row],['#_Water samples_Tested_at_water_source]]="","no test","Tested")</f>
        <v>Tested</v>
      </c>
      <c r="BM48" s="888" t="str">
        <f>IF(WWWW[[#This Row],['#_Water samples_Tested_at_HH]]="","no test","Tested")</f>
        <v>no test</v>
      </c>
      <c r="BN48" s="889" t="str">
        <f>IF(AND(WWWW[[#This Row],[Water_testing_at source]]="no test",WWWW[[#This Row],[Water_testing_at HH]]="no test"),"No Test","Tested")</f>
        <v>Tested</v>
      </c>
      <c r="BO48" s="88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8" s="890">
        <f>WWWW[[#This Row],[% HRP1]]*WWWW[[#This Row],[Total PoP ]]</f>
        <v>5950</v>
      </c>
      <c r="BQ48" s="891">
        <f>WWWW[[#This Row],[HRP1]]/500</f>
        <v>11.9</v>
      </c>
      <c r="BR48" s="892">
        <f>1-WWWW[[#This Row],[% HRP1]]</f>
        <v>0</v>
      </c>
      <c r="BS48" s="891">
        <f>WWWW[[#This Row],[%equitable and continuous access to sufficient quantity of safe drinking and domestic water''s GAP]]*WWWW[[#This Row],[Total PoP ]]</f>
        <v>0</v>
      </c>
      <c r="BT48" s="451">
        <f>ROUND(IF(WWWW[[#This Row],[Total PoP ]]&lt;500,1,WWWW[[#This Row],[Total PoP ]]/500),0)</f>
        <v>12</v>
      </c>
      <c r="BU48" s="889">
        <f>IF(WWWW[[#This Row],[Total required water points]]-WWWW[[#This Row],['#Water points coverage]]&lt;0,0,WWWW[[#This Row],[Total required water points]]-WWWW[[#This Row],['#Water points coverage]])</f>
        <v>9.9999999999999645E-2</v>
      </c>
      <c r="BV48" s="452">
        <f>WWWW[[#This Row],[HRP2]]/WWWW[[#This Row],[Total PoP ]]</f>
        <v>0.93747899159663861</v>
      </c>
      <c r="BW48" s="89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5578</v>
      </c>
      <c r="BX48" s="455">
        <f>IF(WWWW[[#This Row],['#_Functional_adult_latrines]]="","",WWWW[[#This Row],[Total PoP ]]/WWWW[[#This Row],['#_Functional_adult_latrines]])</f>
        <v>21.794871794871796</v>
      </c>
      <c r="BY48" s="889">
        <f>WWWW[[#This Row],['#_of_latrines_in_TLS/CFS]]*50</f>
        <v>1050</v>
      </c>
      <c r="BZ48" s="451">
        <f>IF(WWWW[[#This Row],['#_of_latrines_in_THF]]="",0,WWWW[[#This Row],['#_of_latrines_in_THF]]*50)</f>
        <v>0</v>
      </c>
      <c r="CA48" s="889">
        <f>ROUND(IF(WWWW[[#This Row],[Location Type 1]]="camp",WWWW[[#This Row],[Total PoP ]]/20),0)</f>
        <v>298</v>
      </c>
      <c r="CB48" s="889">
        <f>IF(WWWW[[#This Row],[Total required Latrines]]-WWWW[[#This Row],['#_Existing_latrines]]&lt;0,0,WWWW[[#This Row],[Total required Latrines]]-WWWW[[#This Row],['#_Existing_latrines]])</f>
        <v>0</v>
      </c>
      <c r="CC48" s="892">
        <f>1-WWWW[[#This Row],[% HRP2]]</f>
        <v>6.2521008403361389E-2</v>
      </c>
      <c r="CD48" s="888">
        <f>IF(WWWW[[#This Row],['#_Existing_latrines]]="","NA",(WWWW[[#This Row],['#_Existing_latrines]]-WWWW[[#This Row],['#_Functional_adult_latrines]])/WWWW[[#This Row],['#_Existing_latrines]])</f>
        <v>0.18507462686567164</v>
      </c>
      <c r="CE48" s="89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1791</v>
      </c>
      <c r="CF48" s="891">
        <f>SUM(WWWW[[#This Row],[_'#_of_Men_receiving_consultation_hygiene_promotion_messages_and_sessions]:[_'#_of_Girls_receiving_consultation_hygiene_promotion_messages_and_sessions]])-WWWW[[#This Row],['# people reached by regular dedicated hygiene promotion_5]]</f>
        <v>0</v>
      </c>
      <c r="CG48" s="88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H48" s="889">
        <f>IF(WWWW[[#This Row],['#_of_affected_women_and_girls_receiving_a_sufficient_quantity_of_sanitary_pads]]&gt;WWWW[[#This Row],[Total PoP ]],WWWW[[#This Row],[Total PoP ]],WWWW[[#This Row],['#_of_affected_women_and_girls_receiving_a_sufficient_quantity_of_sanitary_pads]])</f>
        <v>2624</v>
      </c>
      <c r="CI48" s="889">
        <f>IF(WWWW[[#This Row],['# People with access to soap]]&gt;WWWW[[#This Row],['# People with access to Sanity Pads]],WWWW[[#This Row],['# People with access to soap]],WWWW[[#This Row],['# People with access to Sanity Pads]])</f>
        <v>5950</v>
      </c>
      <c r="CJ48" s="889">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K48" s="892">
        <f>IF(WWWW[[#This Row],[HRP3]]/WWWW[[#This Row],[Total PoP ]]&gt;100%,100%,WWWW[[#This Row],[HRP3]]/WWWW[[#This Row],[Total PoP ]])</f>
        <v>1</v>
      </c>
      <c r="CL48" s="888">
        <f>1-WWWW[[#This Row],[Hygiene Coverage%]]</f>
        <v>0</v>
      </c>
      <c r="CM48" s="884">
        <f>WWWW[[#This Row],['# people reached by regular dedicated hygiene promotion_5]]/WWWW[[#This Row],[Total PoP ]]</f>
        <v>0.30100840336134455</v>
      </c>
      <c r="CN48" s="888">
        <f>IF(WWWW[[#This Row],['#_of_affected_households_receiving_a_sufficient_quantity_of_soap]]/WWWW[[#This Row],[Total HH]]&gt;1,1,WWWW[[#This Row],['#_of_affected_households_receiving_a_sufficient_quantity_of_soap]]/WWWW[[#This Row],[Total HH]])</f>
        <v>1</v>
      </c>
      <c r="CO48" s="455" t="str">
        <f>IF(WWWW[[#This Row],['#_students at TLS_CFS]]="","No","Yes")</f>
        <v>No</v>
      </c>
      <c r="CP48" s="452">
        <f>WWWW[[#This Row],[%_of_affected_people_surveyed_who_report_feeling_informed_about_the_different_WASH_services_available_to_them]]</f>
        <v>1</v>
      </c>
      <c r="CQ4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48" s="500">
        <f>IF(WWWW[[#This Row],['#_PPL_accessed_water_in_TLS]]&gt;WWWW[[#This Row],['# students access to functioning school latrines_HRP5]],WWWW[[#This Row],['#_PPL_accessed_water_in_TLS]],WWWW[[#This Row],['# students access to functioning school latrines_HRP5]])</f>
        <v>1050</v>
      </c>
      <c r="CS48" s="500">
        <f>IF(WWWW[[#This Row],['#_PPL_accessed_water_in_THF]]&gt;WWWW[[#This Row],['# people access to functioning latrines in THF_HRP6]],WWWW[[#This Row],['#_PPL_accessed_water_in_THF]],WWWW[[#This Row],['# people access to functioning latrines in THF_HRP6]])</f>
        <v>0</v>
      </c>
      <c r="CT48" s="880" t="str">
        <f>VLOOKUP(WWWW[[#This Row],[Site Name]],SiteDB6[[Site Name]:[CCCM Management]],6,FALSE)</f>
        <v>Yes</v>
      </c>
      <c r="CU48" s="880">
        <f>VLOOKUP(WWWW[[#This Row],[Site Name]],SiteDB6[[Site Name]:[CCCM Focal Agency]],7,FALSE)</f>
        <v>0</v>
      </c>
      <c r="CV48" s="880" t="str">
        <f>VLOOKUP(WWWW[[#This Row],[Site Name]],SiteDB6[[Site Name]:[Location Type 1]],9,FALSE)</f>
        <v>Camp</v>
      </c>
      <c r="CW48" s="880" t="str">
        <f>VLOOKUP(WWWW[[#This Row],[Site Name]],SiteDB6[[Site Name]:[Type of Accommodation]],10,FALSE)</f>
        <v>Planned Camp</v>
      </c>
      <c r="CX48" s="880" t="str">
        <f>VLOOKUP(WWWW[[#This Row],[Site Name]],SiteDB6[[Site Name]:[Ethnic or GCA/NGCA]],11,FALSE)</f>
        <v>Muslim</v>
      </c>
      <c r="CY48" s="880">
        <f>VLOOKUP(WWWW[[#This Row],[Site Name]],SiteDB6[[Site Name]:[Lat]],12,FALSE)</f>
        <v>20.179939999999998</v>
      </c>
      <c r="CZ48" s="880">
        <f>VLOOKUP(WWWW[[#This Row],[Site Name]],SiteDB6[[Site Name]:[Long]],13,FALSE)</f>
        <v>92.831879000000001</v>
      </c>
      <c r="DA48" s="880" t="str">
        <f>VLOOKUP(WWWW[[#This Row],[Site Name]],SiteDB6[[Site Name]:[Pcode]],3,FALSE)</f>
        <v>MMR012CMP048</v>
      </c>
      <c r="DB48" s="893" t="str">
        <f t="shared" si="1"/>
        <v>Covered</v>
      </c>
      <c r="DC48" s="477">
        <f>VLOOKUP(WWWW[[#This Row],[Site Name]],SiteDB6[[Site Name]:[PWD_Total]],22,FALSE)</f>
        <v>250</v>
      </c>
      <c r="DD48" s="477">
        <f>VLOOKUP(WWWW[[#This Row],[Site Name]],SiteDB6[[Site Name]:[PWD_Total]],23,FALSE)</f>
        <v>699</v>
      </c>
      <c r="DE48" s="477">
        <f>WWWW[[#This Row],['# of Male_People with disabilities]]+WWWW[[#This Row],['# of Female_People with disabilities]]</f>
        <v>949</v>
      </c>
      <c r="DF48" s="880"/>
      <c r="DG48" s="893"/>
      <c r="DH48" s="893"/>
      <c r="DI48" s="893"/>
      <c r="DJ48" s="893">
        <f>VLOOKUP(WWWW[[#This Row],[Site Name]],SiteDB6[[Site Name]:[Pop
(CCCM as of Autust 2021)]],16,FALSE)</f>
        <v>1019</v>
      </c>
      <c r="DK48" s="893">
        <f>VLOOKUP(WWWW[[#This Row],[Site Name]],SiteDB6[[Site Name]:[Pop
(CCCM as of Autust 2021)]],17,FALSE)</f>
        <v>6906</v>
      </c>
    </row>
    <row r="49" spans="1:115">
      <c r="A49" s="896" t="s">
        <v>3145</v>
      </c>
      <c r="B49" s="896" t="s">
        <v>265</v>
      </c>
      <c r="C49" s="897" t="s">
        <v>265</v>
      </c>
      <c r="D49" s="897" t="s">
        <v>2983</v>
      </c>
      <c r="E49" s="845" t="s">
        <v>293</v>
      </c>
      <c r="F49" s="897" t="s">
        <v>401</v>
      </c>
      <c r="G49" s="898" t="s">
        <v>43</v>
      </c>
      <c r="H49" s="897" t="s">
        <v>411</v>
      </c>
      <c r="I49" s="899">
        <v>1112</v>
      </c>
      <c r="J49" s="899">
        <v>5133</v>
      </c>
      <c r="K49" s="684">
        <f>WWWW[[#This Row],[Total PoP ]]/WWWW[[#This Row],[Total HH]]</f>
        <v>4.6160071942446042</v>
      </c>
      <c r="L49" s="907" t="s">
        <v>3201</v>
      </c>
      <c r="M49" s="908" t="s">
        <v>3202</v>
      </c>
      <c r="N49" s="500"/>
      <c r="O49" s="500"/>
      <c r="P49" s="500"/>
      <c r="Q49" s="500">
        <v>14</v>
      </c>
      <c r="R49" s="500">
        <v>14</v>
      </c>
      <c r="S49" s="500"/>
      <c r="T49" s="500">
        <v>5133</v>
      </c>
      <c r="U49" s="500"/>
      <c r="V49" s="500"/>
      <c r="W49" s="500"/>
      <c r="X49" s="450"/>
      <c r="Y49" s="500"/>
      <c r="Z49" s="500"/>
      <c r="AA49" s="500"/>
      <c r="AB49" s="909" t="s">
        <v>3203</v>
      </c>
      <c r="AC49" s="500">
        <v>189</v>
      </c>
      <c r="AD49" s="500">
        <v>198</v>
      </c>
      <c r="AE49" s="500">
        <v>76</v>
      </c>
      <c r="AF49" s="500">
        <v>198</v>
      </c>
      <c r="AG49" s="450">
        <v>0.99</v>
      </c>
      <c r="AH49" s="450">
        <v>1</v>
      </c>
      <c r="AI49" s="450">
        <v>0.98</v>
      </c>
      <c r="AJ49" s="500">
        <v>27</v>
      </c>
      <c r="AK49" s="500">
        <v>76</v>
      </c>
      <c r="AL49" s="500"/>
      <c r="AM49" s="500"/>
      <c r="AN49" s="500" t="s">
        <v>41</v>
      </c>
      <c r="AO49" s="538" t="s">
        <v>3204</v>
      </c>
      <c r="AP49" s="500">
        <v>997</v>
      </c>
      <c r="AQ49" s="500">
        <v>1200</v>
      </c>
      <c r="AR49" s="500">
        <v>938</v>
      </c>
      <c r="AS49" s="500">
        <v>860</v>
      </c>
      <c r="AT49" s="500">
        <v>1112</v>
      </c>
      <c r="AU49" s="500">
        <v>1515</v>
      </c>
      <c r="AV49" s="450">
        <v>0.15</v>
      </c>
      <c r="AW49" s="450">
        <v>0.71</v>
      </c>
      <c r="AX49" s="451"/>
      <c r="AY49" s="910"/>
      <c r="AZ49" s="450">
        <v>0.89</v>
      </c>
      <c r="BA49" s="450"/>
      <c r="BB49" s="450">
        <v>0.97</v>
      </c>
      <c r="BC49" s="450">
        <v>1</v>
      </c>
      <c r="BD49" s="450">
        <v>0.04</v>
      </c>
      <c r="BE49" s="500">
        <v>76</v>
      </c>
      <c r="BF49" s="500">
        <v>823</v>
      </c>
      <c r="BG49" s="500"/>
      <c r="BH49" s="500"/>
      <c r="BI49" s="500"/>
      <c r="BJ49" s="500"/>
      <c r="BK49" s="500"/>
      <c r="BL49" s="901" t="str">
        <f>IF(WWWW[[#This Row],['#_Water samples_Tested_at_water_source]]="","no test","Tested")</f>
        <v>no test</v>
      </c>
      <c r="BM49" s="901" t="str">
        <f>IF(WWWW[[#This Row],['#_Water samples_Tested_at_HH]]="","no test","Tested")</f>
        <v>no test</v>
      </c>
      <c r="BN49" s="902" t="str">
        <f>IF(AND(WWWW[[#This Row],[Water_testing_at source]]="no test",WWWW[[#This Row],[Water_testing_at HH]]="no test"),"No Test","Tested")</f>
        <v>No Test</v>
      </c>
      <c r="BO49"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9" s="903">
        <f>WWWW[[#This Row],[% HRP1]]*WWWW[[#This Row],[Total PoP ]]</f>
        <v>5133</v>
      </c>
      <c r="BQ49" s="904">
        <f>WWWW[[#This Row],[HRP1]]/500</f>
        <v>10.266</v>
      </c>
      <c r="BR49" s="905">
        <f>1-WWWW[[#This Row],[% HRP1]]</f>
        <v>0</v>
      </c>
      <c r="BS49" s="904">
        <f>WWWW[[#This Row],[%equitable and continuous access to sufficient quantity of safe drinking and domestic water''s GAP]]*WWWW[[#This Row],[Total PoP ]]</f>
        <v>0</v>
      </c>
      <c r="BT49" s="451">
        <f>ROUND(IF(WWWW[[#This Row],[Total PoP ]]&lt;500,1,WWWW[[#This Row],[Total PoP ]]/500),0)</f>
        <v>10</v>
      </c>
      <c r="BU49" s="902">
        <f>IF(WWWW[[#This Row],[Total required water points]]-WWWW[[#This Row],['#Water points coverage]]&lt;0,0,WWWW[[#This Row],[Total required water points]]-WWWW[[#This Row],['#Water points coverage]])</f>
        <v>0</v>
      </c>
      <c r="BV49" s="452">
        <f>WWWW[[#This Row],[HRP2]]/WWWW[[#This Row],[Total PoP ]]</f>
        <v>0.85641924800311708</v>
      </c>
      <c r="BW49"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4396</v>
      </c>
      <c r="BX49" s="455">
        <f>IF(WWWW[[#This Row],['#_Functional_adult_latrines]]="","",WWWW[[#This Row],[Total PoP ]]/WWWW[[#This Row],['#_Functional_adult_latrines]])</f>
        <v>27.158730158730158</v>
      </c>
      <c r="BY49" s="902">
        <f>WWWW[[#This Row],['#_of_latrines_in_TLS/CFS]]*50</f>
        <v>0</v>
      </c>
      <c r="BZ49" s="451">
        <f>IF(WWWW[[#This Row],['#_of_latrines_in_THF]]="",0,WWWW[[#This Row],['#_of_latrines_in_THF]]*50)</f>
        <v>0</v>
      </c>
      <c r="CA49" s="902">
        <f>ROUND(IF(WWWW[[#This Row],[Location Type 1]]="camp",WWWW[[#This Row],[Total PoP ]]/20),0)</f>
        <v>257</v>
      </c>
      <c r="CB49" s="902">
        <f>IF(WWWW[[#This Row],[Total required Latrines]]-WWWW[[#This Row],['#_Existing_latrines]]&lt;0,0,WWWW[[#This Row],[Total required Latrines]]-WWWW[[#This Row],['#_Existing_latrines]])</f>
        <v>59</v>
      </c>
      <c r="CC49" s="905">
        <f>1-WWWW[[#This Row],[% HRP2]]</f>
        <v>0.14358075199688292</v>
      </c>
      <c r="CD49" s="901">
        <f>IF(WWWW[[#This Row],['#_Existing_latrines]]="","NA",(WWWW[[#This Row],['#_Existing_latrines]]-WWWW[[#This Row],['#_Functional_adult_latrines]])/WWWW[[#This Row],['#_Existing_latrines]])</f>
        <v>4.5454545454545456E-2</v>
      </c>
      <c r="CE49"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F49" s="904">
        <f>SUM(WWWW[[#This Row],[_'#_of_Men_receiving_consultation_hygiene_promotion_messages_and_sessions]:[_'#_of_Girls_receiving_consultation_hygiene_promotion_messages_and_sessions]])-WWWW[[#This Row],['# people reached by regular dedicated hygiene promotion_5]]</f>
        <v>0</v>
      </c>
      <c r="CG49"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H49" s="902">
        <f>IF(WWWW[[#This Row],['#_of_affected_women_and_girls_receiving_a_sufficient_quantity_of_sanitary_pads]]&gt;WWWW[[#This Row],[Total PoP ]],WWWW[[#This Row],[Total PoP ]],WWWW[[#This Row],['#_of_affected_women_and_girls_receiving_a_sufficient_quantity_of_sanitary_pads]])</f>
        <v>1515</v>
      </c>
      <c r="CI49" s="902">
        <f>IF(WWWW[[#This Row],['# People with access to soap]]&gt;WWWW[[#This Row],['# People with access to Sanity Pads]],WWWW[[#This Row],['# People with access to soap]],WWWW[[#This Row],['# People with access to Sanity Pads]])</f>
        <v>5133</v>
      </c>
      <c r="CJ49" s="902">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K49" s="905">
        <f>IF(WWWW[[#This Row],[HRP3]]/WWWW[[#This Row],[Total PoP ]]&gt;100%,100%,WWWW[[#This Row],[HRP3]]/WWWW[[#This Row],[Total PoP ]])</f>
        <v>1</v>
      </c>
      <c r="CL49" s="901">
        <f>1-WWWW[[#This Row],[Hygiene Coverage%]]</f>
        <v>0</v>
      </c>
      <c r="CM49" s="900">
        <f>WWWW[[#This Row],['# people reached by regular dedicated hygiene promotion_5]]/WWWW[[#This Row],[Total PoP ]]</f>
        <v>0.77829729203195008</v>
      </c>
      <c r="CN49" s="901">
        <f>IF(WWWW[[#This Row],['#_of_affected_households_receiving_a_sufficient_quantity_of_soap]]/WWWW[[#This Row],[Total HH]]&gt;1,1,WWWW[[#This Row],['#_of_affected_households_receiving_a_sufficient_quantity_of_soap]]/WWWW[[#This Row],[Total HH]])</f>
        <v>1</v>
      </c>
      <c r="CO49" s="455" t="str">
        <f>IF(WWWW[[#This Row],['#_students at TLS_CFS]]="","No","Yes")</f>
        <v>No</v>
      </c>
      <c r="CP49" s="452">
        <f>WWWW[[#This Row],[%_of_affected_people_surveyed_who_report_feeling_informed_about_the_different_WASH_services_available_to_them]]</f>
        <v>0.97</v>
      </c>
      <c r="CQ4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899</v>
      </c>
      <c r="CR49" s="500">
        <f>IF(WWWW[[#This Row],['#_PPL_accessed_water_in_TLS]]&gt;WWWW[[#This Row],['# students access to functioning school latrines_HRP5]],WWWW[[#This Row],['#_PPL_accessed_water_in_TLS]],WWWW[[#This Row],['# students access to functioning school latrines_HRP5]])</f>
        <v>0</v>
      </c>
      <c r="CS49" s="500">
        <f>IF(WWWW[[#This Row],['#_PPL_accessed_water_in_THF]]&gt;WWWW[[#This Row],['# people access to functioning latrines in THF_HRP6]],WWWW[[#This Row],['#_PPL_accessed_water_in_THF]],WWWW[[#This Row],['# people access to functioning latrines in THF_HRP6]])</f>
        <v>0</v>
      </c>
      <c r="CT49" s="898" t="str">
        <f>VLOOKUP(WWWW[[#This Row],[Site Name]],SiteDB6[[Site Name]:[CCCM Management]],6,FALSE)</f>
        <v>Yes</v>
      </c>
      <c r="CU49" s="898" t="str">
        <f>VLOOKUP(WWWW[[#This Row],[Site Name]],SiteDB6[[Site Name]:[CCCM Focal Agency]],7,FALSE)</f>
        <v>LWF</v>
      </c>
      <c r="CV49" s="898" t="str">
        <f>VLOOKUP(WWWW[[#This Row],[Site Name]],SiteDB6[[Site Name]:[Location Type 1]],9,FALSE)</f>
        <v>Camp</v>
      </c>
      <c r="CW49" s="898" t="str">
        <f>VLOOKUP(WWWW[[#This Row],[Site Name]],SiteDB6[[Site Name]:[Type of Accommodation]],10,FALSE)</f>
        <v>Planned Camp</v>
      </c>
      <c r="CX49" s="898" t="str">
        <f>VLOOKUP(WWWW[[#This Row],[Site Name]],SiteDB6[[Site Name]:[Ethnic or GCA/NGCA]],11,FALSE)</f>
        <v>Muslim</v>
      </c>
      <c r="CY49" s="898">
        <f>VLOOKUP(WWWW[[#This Row],[Site Name]],SiteDB6[[Site Name]:[Lat]],12,FALSE)</f>
        <v>20.108101999999999</v>
      </c>
      <c r="CZ49" s="898">
        <f>VLOOKUP(WWWW[[#This Row],[Site Name]],SiteDB6[[Site Name]:[Long]],13,FALSE)</f>
        <v>92.985095000000001</v>
      </c>
      <c r="DA49" s="898" t="str">
        <f>VLOOKUP(WWWW[[#This Row],[Site Name]],SiteDB6[[Site Name]:[Pcode]],3,FALSE)</f>
        <v>MMR012CMP016</v>
      </c>
      <c r="DB49" s="906" t="str">
        <f t="shared" ref="DB49:DB69" si="2">IF(C49="none","Notcovered","Covered")</f>
        <v>Covered</v>
      </c>
      <c r="DC49" s="477">
        <f>VLOOKUP(WWWW[[#This Row],[Site Name]],SiteDB6[[Site Name]:[PWD_Total]],22,FALSE)</f>
        <v>279</v>
      </c>
      <c r="DD49" s="477">
        <f>VLOOKUP(WWWW[[#This Row],[Site Name]],SiteDB6[[Site Name]:[PWD_Total]],23,FALSE)</f>
        <v>636</v>
      </c>
      <c r="DE49" s="477">
        <f>WWWW[[#This Row],['# of Male_People with disabilities]]+WWWW[[#This Row],['# of Female_People with disabilities]]</f>
        <v>915</v>
      </c>
      <c r="DF49" s="898"/>
      <c r="DG49" s="906"/>
      <c r="DH49" s="906"/>
      <c r="DI49" s="906"/>
      <c r="DJ49" s="906">
        <f>VLOOKUP(WWWW[[#This Row],[Site Name]],SiteDB6[[Site Name]:[Pop
(CCCM as of Autust 2021)]],16,FALSE)</f>
        <v>1115</v>
      </c>
      <c r="DK49" s="906">
        <f>VLOOKUP(WWWW[[#This Row],[Site Name]],SiteDB6[[Site Name]:[Pop
(CCCM as of Autust 2021)]],17,FALSE)</f>
        <v>5197</v>
      </c>
    </row>
    <row r="50" spans="1:115">
      <c r="A50" s="896" t="s">
        <v>3145</v>
      </c>
      <c r="B50" s="896" t="s">
        <v>2270</v>
      </c>
      <c r="C50" s="897" t="s">
        <v>2270</v>
      </c>
      <c r="D50" s="897" t="s">
        <v>3184</v>
      </c>
      <c r="E50" s="845" t="s">
        <v>293</v>
      </c>
      <c r="F50" s="897" t="s">
        <v>294</v>
      </c>
      <c r="G50" s="898" t="s">
        <v>43</v>
      </c>
      <c r="H50" s="897" t="s">
        <v>413</v>
      </c>
      <c r="I50" s="899">
        <v>380</v>
      </c>
      <c r="J50" s="899">
        <v>2489</v>
      </c>
      <c r="K50" s="684">
        <f>WWWW[[#This Row],[Total PoP ]]/WWWW[[#This Row],[Total HH]]</f>
        <v>6.55</v>
      </c>
      <c r="L50" s="907">
        <v>44652</v>
      </c>
      <c r="M50" s="908">
        <v>44834</v>
      </c>
      <c r="N50" s="500">
        <v>628</v>
      </c>
      <c r="O50" s="500">
        <v>23</v>
      </c>
      <c r="P50" s="500">
        <v>23</v>
      </c>
      <c r="Q50" s="500"/>
      <c r="R50" s="500"/>
      <c r="S50" s="500"/>
      <c r="T50" s="500"/>
      <c r="U50" s="500">
        <v>10</v>
      </c>
      <c r="V50" s="450">
        <v>0.5</v>
      </c>
      <c r="W50" s="500">
        <v>2</v>
      </c>
      <c r="X50" s="450">
        <v>0</v>
      </c>
      <c r="Y50" s="500"/>
      <c r="Z50" s="500"/>
      <c r="AA50" s="500"/>
      <c r="AB50" s="909"/>
      <c r="AC50" s="500">
        <v>113</v>
      </c>
      <c r="AD50" s="500">
        <v>120</v>
      </c>
      <c r="AE50" s="500">
        <v>24</v>
      </c>
      <c r="AF50" s="500">
        <v>73</v>
      </c>
      <c r="AG50" s="450">
        <v>1</v>
      </c>
      <c r="AH50" s="450">
        <v>0.64</v>
      </c>
      <c r="AI50" s="450">
        <v>0.91</v>
      </c>
      <c r="AJ50" s="500"/>
      <c r="AK50" s="500">
        <v>220</v>
      </c>
      <c r="AL50" s="500"/>
      <c r="AM50" s="500"/>
      <c r="AN50" s="500" t="s">
        <v>41</v>
      </c>
      <c r="AO50" s="538" t="s">
        <v>3205</v>
      </c>
      <c r="AP50" s="500">
        <v>25</v>
      </c>
      <c r="AQ50" s="500">
        <v>304</v>
      </c>
      <c r="AR50" s="500">
        <v>134</v>
      </c>
      <c r="AS50" s="500">
        <v>98</v>
      </c>
      <c r="AT50" s="500">
        <v>380</v>
      </c>
      <c r="AU50" s="500">
        <v>640</v>
      </c>
      <c r="AV50" s="450">
        <v>1</v>
      </c>
      <c r="AW50" s="450">
        <v>1</v>
      </c>
      <c r="AX50" s="451">
        <v>4</v>
      </c>
      <c r="AY50" s="910" t="s">
        <v>3206</v>
      </c>
      <c r="AZ50" s="450">
        <v>1</v>
      </c>
      <c r="BA50" s="450">
        <v>1</v>
      </c>
      <c r="BB50" s="450">
        <v>0.9</v>
      </c>
      <c r="BC50" s="450">
        <v>0.88</v>
      </c>
      <c r="BD50" s="450"/>
      <c r="BE50" s="500">
        <v>24</v>
      </c>
      <c r="BF50" s="500"/>
      <c r="BG50" s="500"/>
      <c r="BH50" s="500"/>
      <c r="BI50" s="500"/>
      <c r="BJ50" s="500"/>
      <c r="BK50" s="500"/>
      <c r="BL50" s="901" t="str">
        <f>IF(WWWW[[#This Row],['#_Water samples_Tested_at_water_source]]="","no test","Tested")</f>
        <v>Tested</v>
      </c>
      <c r="BM50" s="901" t="str">
        <f>IF(WWWW[[#This Row],['#_Water samples_Tested_at_HH]]="","no test","Tested")</f>
        <v>Tested</v>
      </c>
      <c r="BN50" s="902" t="str">
        <f>IF(AND(WWWW[[#This Row],[Water_testing_at source]]="no test",WWWW[[#This Row],[Water_testing_at HH]]="no test"),"No Test","Tested")</f>
        <v>Tested</v>
      </c>
      <c r="BO50"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0" s="903">
        <f>WWWW[[#This Row],[% HRP1]]*WWWW[[#This Row],[Total PoP ]]</f>
        <v>2489</v>
      </c>
      <c r="BQ50" s="904">
        <f>WWWW[[#This Row],[HRP1]]/500</f>
        <v>4.9779999999999998</v>
      </c>
      <c r="BR50" s="905">
        <f>1-WWWW[[#This Row],[% HRP1]]</f>
        <v>0</v>
      </c>
      <c r="BS50" s="904">
        <f>WWWW[[#This Row],[%equitable and continuous access to sufficient quantity of safe drinking and domestic water''s GAP]]*WWWW[[#This Row],[Total PoP ]]</f>
        <v>0</v>
      </c>
      <c r="BT50" s="451">
        <f>ROUND(IF(WWWW[[#This Row],[Total PoP ]]&lt;500,1,WWWW[[#This Row],[Total PoP ]]/500),0)</f>
        <v>5</v>
      </c>
      <c r="BU50" s="902">
        <f>IF(WWWW[[#This Row],[Total required water points]]-WWWW[[#This Row],['#Water points coverage]]&lt;0,0,WWWW[[#This Row],[Total required water points]]-WWWW[[#This Row],['#Water points coverage]])</f>
        <v>2.2000000000000242E-2</v>
      </c>
      <c r="BV50" s="452">
        <f>WWWW[[#This Row],[HRP2]]/WWWW[[#This Row],[Total PoP ]]</f>
        <v>0.99638408999598227</v>
      </c>
      <c r="BW50"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2480</v>
      </c>
      <c r="BX50" s="455">
        <f>IF(WWWW[[#This Row],['#_Functional_adult_latrines]]="","",WWWW[[#This Row],[Total PoP ]]/WWWW[[#This Row],['#_Functional_adult_latrines]])</f>
        <v>22.026548672566371</v>
      </c>
      <c r="BY50" s="902">
        <f>WWWW[[#This Row],['#_of_latrines_in_TLS/CFS]]*50</f>
        <v>0</v>
      </c>
      <c r="BZ50" s="451">
        <f>IF(WWWW[[#This Row],['#_of_latrines_in_THF]]="",0,WWWW[[#This Row],['#_of_latrines_in_THF]]*50)</f>
        <v>0</v>
      </c>
      <c r="CA50" s="902">
        <f>ROUND(IF(WWWW[[#This Row],[Location Type 1]]="camp",WWWW[[#This Row],[Total PoP ]]/20),0)</f>
        <v>124</v>
      </c>
      <c r="CB50" s="902">
        <f>IF(WWWW[[#This Row],[Total required Latrines]]-WWWW[[#This Row],['#_Existing_latrines]]&lt;0,0,WWWW[[#This Row],[Total required Latrines]]-WWWW[[#This Row],['#_Existing_latrines]])</f>
        <v>4</v>
      </c>
      <c r="CC50" s="905">
        <f>1-WWWW[[#This Row],[% HRP2]]</f>
        <v>3.6159100040177306E-3</v>
      </c>
      <c r="CD50" s="901">
        <f>IF(WWWW[[#This Row],['#_Existing_latrines]]="","NA",(WWWW[[#This Row],['#_Existing_latrines]]-WWWW[[#This Row],['#_Functional_adult_latrines]])/WWWW[[#This Row],['#_Existing_latrines]])</f>
        <v>5.8333333333333334E-2</v>
      </c>
      <c r="CE50"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561</v>
      </c>
      <c r="CF50" s="904">
        <f>SUM(WWWW[[#This Row],[_'#_of_Men_receiving_consultation_hygiene_promotion_messages_and_sessions]:[_'#_of_Girls_receiving_consultation_hygiene_promotion_messages_and_sessions]])-WWWW[[#This Row],['# people reached by regular dedicated hygiene promotion_5]]</f>
        <v>0</v>
      </c>
      <c r="CG50"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H50" s="902">
        <f>IF(WWWW[[#This Row],['#_of_affected_women_and_girls_receiving_a_sufficient_quantity_of_sanitary_pads]]&gt;WWWW[[#This Row],[Total PoP ]],WWWW[[#This Row],[Total PoP ]],WWWW[[#This Row],['#_of_affected_women_and_girls_receiving_a_sufficient_quantity_of_sanitary_pads]])</f>
        <v>640</v>
      </c>
      <c r="CI50" s="902">
        <f>IF(WWWW[[#This Row],['# People with access to soap]]&gt;WWWW[[#This Row],['# People with access to Sanity Pads]],WWWW[[#This Row],['# People with access to soap]],WWWW[[#This Row],['# People with access to Sanity Pads]])</f>
        <v>2489</v>
      </c>
      <c r="CJ50" s="902">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K50" s="905">
        <f>IF(WWWW[[#This Row],[HRP3]]/WWWW[[#This Row],[Total PoP ]]&gt;100%,100%,WWWW[[#This Row],[HRP3]]/WWWW[[#This Row],[Total PoP ]])</f>
        <v>1</v>
      </c>
      <c r="CL50" s="901">
        <f>1-WWWW[[#This Row],[Hygiene Coverage%]]</f>
        <v>0</v>
      </c>
      <c r="CM50" s="900">
        <f>WWWW[[#This Row],['# people reached by regular dedicated hygiene promotion_5]]/WWWW[[#This Row],[Total PoP ]]</f>
        <v>0.22539172358376858</v>
      </c>
      <c r="CN50" s="901">
        <f>IF(WWWW[[#This Row],['#_of_affected_households_receiving_a_sufficient_quantity_of_soap]]/WWWW[[#This Row],[Total HH]]&gt;1,1,WWWW[[#This Row],['#_of_affected_households_receiving_a_sufficient_quantity_of_soap]]/WWWW[[#This Row],[Total HH]])</f>
        <v>1</v>
      </c>
      <c r="CO50" s="455" t="str">
        <f>IF(WWWW[[#This Row],['#_students at TLS_CFS]]="","No","Yes")</f>
        <v>Yes</v>
      </c>
      <c r="CP50" s="452">
        <f>WWWW[[#This Row],[%_of_affected_people_surveyed_who_report_feeling_informed_about_the_different_WASH_services_available_to_them]]</f>
        <v>0.9</v>
      </c>
      <c r="CQ5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v>
      </c>
      <c r="CR50" s="500">
        <f>IF(WWWW[[#This Row],['#_PPL_accessed_water_in_TLS]]&gt;WWWW[[#This Row],['# students access to functioning school latrines_HRP5]],WWWW[[#This Row],['#_PPL_accessed_water_in_TLS]],WWWW[[#This Row],['# students access to functioning school latrines_HRP5]])</f>
        <v>0</v>
      </c>
      <c r="CS50" s="500">
        <f>IF(WWWW[[#This Row],['#_PPL_accessed_water_in_THF]]&gt;WWWW[[#This Row],['# people access to functioning latrines in THF_HRP6]],WWWW[[#This Row],['#_PPL_accessed_water_in_THF]],WWWW[[#This Row],['# people access to functioning latrines in THF_HRP6]])</f>
        <v>0</v>
      </c>
      <c r="CT50" s="898" t="str">
        <f>VLOOKUP(WWWW[[#This Row],[Site Name]],SiteDB6[[Site Name]:[CCCM Management]],6,FALSE)</f>
        <v>Yes</v>
      </c>
      <c r="CU50" s="898">
        <f>VLOOKUP(WWWW[[#This Row],[Site Name]],SiteDB6[[Site Name]:[CCCM Focal Agency]],7,FALSE)</f>
        <v>0</v>
      </c>
      <c r="CV50" s="898" t="str">
        <f>VLOOKUP(WWWW[[#This Row],[Site Name]],SiteDB6[[Site Name]:[Location Type 1]],9,FALSE)</f>
        <v>Camp</v>
      </c>
      <c r="CW50" s="898" t="str">
        <f>VLOOKUP(WWWW[[#This Row],[Site Name]],SiteDB6[[Site Name]:[Type of Accommodation]],10,FALSE)</f>
        <v>Planned Camp</v>
      </c>
      <c r="CX50" s="898" t="str">
        <f>VLOOKUP(WWWW[[#This Row],[Site Name]],SiteDB6[[Site Name]:[Ethnic or GCA/NGCA]],11,FALSE)</f>
        <v>Muslim</v>
      </c>
      <c r="CY50" s="898">
        <f>VLOOKUP(WWWW[[#This Row],[Site Name]],SiteDB6[[Site Name]:[Lat]],12,FALSE)</f>
        <v>20.128488999999998</v>
      </c>
      <c r="CZ50" s="898">
        <f>VLOOKUP(WWWW[[#This Row],[Site Name]],SiteDB6[[Site Name]:[Long]],13,FALSE)</f>
        <v>92.875814000000005</v>
      </c>
      <c r="DA50" s="898" t="str">
        <f>VLOOKUP(WWWW[[#This Row],[Site Name]],SiteDB6[[Site Name]:[Pcode]],3,FALSE)</f>
        <v>MMR012CMP039</v>
      </c>
      <c r="DB50" s="906" t="str">
        <f t="shared" si="2"/>
        <v>Covered</v>
      </c>
      <c r="DC50" s="477">
        <f>VLOOKUP(WWWW[[#This Row],[Site Name]],SiteDB6[[Site Name]:[PWD_Total]],22,FALSE)</f>
        <v>100</v>
      </c>
      <c r="DD50" s="477">
        <f>VLOOKUP(WWWW[[#This Row],[Site Name]],SiteDB6[[Site Name]:[PWD_Total]],23,FALSE)</f>
        <v>301</v>
      </c>
      <c r="DE50" s="477">
        <f>WWWW[[#This Row],['# of Male_People with disabilities]]+WWWW[[#This Row],['# of Female_People with disabilities]]</f>
        <v>401</v>
      </c>
      <c r="DF50" s="898"/>
      <c r="DG50" s="906"/>
      <c r="DH50" s="906"/>
      <c r="DI50" s="906"/>
      <c r="DJ50" s="906">
        <f>VLOOKUP(WWWW[[#This Row],[Site Name]],SiteDB6[[Site Name]:[Pop
(CCCM as of Autust 2021)]],16,FALSE)</f>
        <v>380</v>
      </c>
      <c r="DK50" s="906">
        <f>VLOOKUP(WWWW[[#This Row],[Site Name]],SiteDB6[[Site Name]:[Pop
(CCCM as of Autust 2021)]],17,FALSE)</f>
        <v>2435</v>
      </c>
    </row>
    <row r="51" spans="1:115">
      <c r="A51" s="896" t="s">
        <v>3145</v>
      </c>
      <c r="B51" s="896" t="s">
        <v>2270</v>
      </c>
      <c r="C51" s="897" t="s">
        <v>2270</v>
      </c>
      <c r="D51" s="897" t="s">
        <v>3184</v>
      </c>
      <c r="E51" s="845" t="s">
        <v>293</v>
      </c>
      <c r="F51" s="897" t="s">
        <v>294</v>
      </c>
      <c r="G51" s="898" t="s">
        <v>43</v>
      </c>
      <c r="H51" s="897" t="s">
        <v>424</v>
      </c>
      <c r="I51" s="899">
        <v>1012</v>
      </c>
      <c r="J51" s="899">
        <v>5101</v>
      </c>
      <c r="K51" s="684">
        <f>WWWW[[#This Row],[Total PoP ]]/WWWW[[#This Row],[Total HH]]</f>
        <v>5.0405138339920947</v>
      </c>
      <c r="L51" s="907">
        <v>44652</v>
      </c>
      <c r="M51" s="908">
        <v>44834</v>
      </c>
      <c r="N51" s="500">
        <v>456</v>
      </c>
      <c r="O51" s="500">
        <v>48</v>
      </c>
      <c r="P51" s="500">
        <v>51</v>
      </c>
      <c r="Q51" s="500"/>
      <c r="R51" s="500"/>
      <c r="S51" s="500"/>
      <c r="T51" s="500"/>
      <c r="U51" s="500">
        <v>3</v>
      </c>
      <c r="V51" s="450">
        <v>0.66669999999999996</v>
      </c>
      <c r="W51" s="500">
        <v>1</v>
      </c>
      <c r="X51" s="450">
        <v>0</v>
      </c>
      <c r="Y51" s="500"/>
      <c r="Z51" s="500"/>
      <c r="AA51" s="500"/>
      <c r="AB51" s="909"/>
      <c r="AC51" s="500">
        <v>225</v>
      </c>
      <c r="AD51" s="500">
        <v>254</v>
      </c>
      <c r="AE51" s="500">
        <v>248</v>
      </c>
      <c r="AF51" s="500">
        <v>433</v>
      </c>
      <c r="AG51" s="450">
        <v>0.97</v>
      </c>
      <c r="AH51" s="450">
        <v>0.87</v>
      </c>
      <c r="AI51" s="450">
        <v>0.42</v>
      </c>
      <c r="AJ51" s="500"/>
      <c r="AK51" s="500">
        <v>106</v>
      </c>
      <c r="AL51" s="500"/>
      <c r="AM51" s="500"/>
      <c r="AN51" s="500" t="s">
        <v>41</v>
      </c>
      <c r="AO51" s="538" t="s">
        <v>3205</v>
      </c>
      <c r="AP51" s="500">
        <f>55/2</f>
        <v>27.5</v>
      </c>
      <c r="AQ51" s="500">
        <f>570/2</f>
        <v>285</v>
      </c>
      <c r="AR51" s="500">
        <f>378/2</f>
        <v>189</v>
      </c>
      <c r="AS51" s="500">
        <f>374/2</f>
        <v>187</v>
      </c>
      <c r="AT51" s="500">
        <v>1012</v>
      </c>
      <c r="AU51" s="500">
        <v>1342</v>
      </c>
      <c r="AV51" s="450">
        <v>0.94</v>
      </c>
      <c r="AW51" s="450">
        <v>1</v>
      </c>
      <c r="AX51" s="451">
        <v>1</v>
      </c>
      <c r="AY51" s="910" t="s">
        <v>3206</v>
      </c>
      <c r="AZ51" s="450">
        <v>1</v>
      </c>
      <c r="BA51" s="450">
        <v>1</v>
      </c>
      <c r="BB51" s="450">
        <v>0.97</v>
      </c>
      <c r="BC51" s="450">
        <v>0.9</v>
      </c>
      <c r="BD51" s="450"/>
      <c r="BE51" s="500">
        <v>248</v>
      </c>
      <c r="BF51" s="500"/>
      <c r="BG51" s="500"/>
      <c r="BH51" s="500"/>
      <c r="BI51" s="500"/>
      <c r="BJ51" s="500"/>
      <c r="BK51" s="500"/>
      <c r="BL51" s="901" t="str">
        <f>IF(WWWW[[#This Row],['#_Water samples_Tested_at_water_source]]="","no test","Tested")</f>
        <v>Tested</v>
      </c>
      <c r="BM51" s="901" t="str">
        <f>IF(WWWW[[#This Row],['#_Water samples_Tested_at_HH]]="","no test","Tested")</f>
        <v>Tested</v>
      </c>
      <c r="BN51" s="902" t="str">
        <f>IF(AND(WWWW[[#This Row],[Water_testing_at source]]="no test",WWWW[[#This Row],[Water_testing_at HH]]="no test"),"No Test","Tested")</f>
        <v>Tested</v>
      </c>
      <c r="BO51"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1" s="903">
        <f>WWWW[[#This Row],[% HRP1]]*WWWW[[#This Row],[Total PoP ]]</f>
        <v>5101</v>
      </c>
      <c r="BQ51" s="904">
        <f>WWWW[[#This Row],[HRP1]]/500</f>
        <v>10.202</v>
      </c>
      <c r="BR51" s="905">
        <f>1-WWWW[[#This Row],[% HRP1]]</f>
        <v>0</v>
      </c>
      <c r="BS51" s="904">
        <f>WWWW[[#This Row],[%equitable and continuous access to sufficient quantity of safe drinking and domestic water''s GAP]]*WWWW[[#This Row],[Total PoP ]]</f>
        <v>0</v>
      </c>
      <c r="BT51" s="451">
        <f>ROUND(IF(WWWW[[#This Row],[Total PoP ]]&lt;500,1,WWWW[[#This Row],[Total PoP ]]/500),0)</f>
        <v>10</v>
      </c>
      <c r="BU51" s="902">
        <f>IF(WWWW[[#This Row],[Total required water points]]-WWWW[[#This Row],['#Water points coverage]]&lt;0,0,WWWW[[#This Row],[Total required water points]]-WWWW[[#This Row],['#Water points coverage]])</f>
        <v>0</v>
      </c>
      <c r="BV51" s="452">
        <f>WWWW[[#This Row],[HRP2]]/WWWW[[#This Row],[Total PoP ]]</f>
        <v>0.90296020388159182</v>
      </c>
      <c r="BW51"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4606</v>
      </c>
      <c r="BX51" s="455">
        <f>IF(WWWW[[#This Row],['#_Functional_adult_latrines]]="","",WWWW[[#This Row],[Total PoP ]]/WWWW[[#This Row],['#_Functional_adult_latrines]])</f>
        <v>22.671111111111109</v>
      </c>
      <c r="BY51" s="902">
        <f>WWWW[[#This Row],['#_of_latrines_in_TLS/CFS]]*50</f>
        <v>0</v>
      </c>
      <c r="BZ51" s="451">
        <f>IF(WWWW[[#This Row],['#_of_latrines_in_THF]]="",0,WWWW[[#This Row],['#_of_latrines_in_THF]]*50)</f>
        <v>0</v>
      </c>
      <c r="CA51" s="902">
        <f>ROUND(IF(WWWW[[#This Row],[Location Type 1]]="camp",WWWW[[#This Row],[Total PoP ]]/20),0)</f>
        <v>255</v>
      </c>
      <c r="CB51" s="902">
        <f>IF(WWWW[[#This Row],[Total required Latrines]]-WWWW[[#This Row],['#_Existing_latrines]]&lt;0,0,WWWW[[#This Row],[Total required Latrines]]-WWWW[[#This Row],['#_Existing_latrines]])</f>
        <v>1</v>
      </c>
      <c r="CC51" s="905">
        <f>1-WWWW[[#This Row],[% HRP2]]</f>
        <v>9.7039796118408184E-2</v>
      </c>
      <c r="CD51" s="901">
        <f>IF(WWWW[[#This Row],['#_Existing_latrines]]="","NA",(WWWW[[#This Row],['#_Existing_latrines]]-WWWW[[#This Row],['#_Functional_adult_latrines]])/WWWW[[#This Row],['#_Existing_latrines]])</f>
        <v>0.1141732283464567</v>
      </c>
      <c r="CE51"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688.5</v>
      </c>
      <c r="CF51" s="904">
        <f>SUM(WWWW[[#This Row],[_'#_of_Men_receiving_consultation_hygiene_promotion_messages_and_sessions]:[_'#_of_Girls_receiving_consultation_hygiene_promotion_messages_and_sessions]])-WWWW[[#This Row],['# people reached by regular dedicated hygiene promotion_5]]</f>
        <v>0</v>
      </c>
      <c r="CG51"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H51" s="902">
        <f>IF(WWWW[[#This Row],['#_of_affected_women_and_girls_receiving_a_sufficient_quantity_of_sanitary_pads]]&gt;WWWW[[#This Row],[Total PoP ]],WWWW[[#This Row],[Total PoP ]],WWWW[[#This Row],['#_of_affected_women_and_girls_receiving_a_sufficient_quantity_of_sanitary_pads]])</f>
        <v>1342</v>
      </c>
      <c r="CI51" s="902">
        <f>IF(WWWW[[#This Row],['# People with access to soap]]&gt;WWWW[[#This Row],['# People with access to Sanity Pads]],WWWW[[#This Row],['# People with access to soap]],WWWW[[#This Row],['# People with access to Sanity Pads]])</f>
        <v>5101</v>
      </c>
      <c r="CJ51" s="902">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K51" s="905">
        <f>IF(WWWW[[#This Row],[HRP3]]/WWWW[[#This Row],[Total PoP ]]&gt;100%,100%,WWWW[[#This Row],[HRP3]]/WWWW[[#This Row],[Total PoP ]])</f>
        <v>1</v>
      </c>
      <c r="CL51" s="901">
        <f>1-WWWW[[#This Row],[Hygiene Coverage%]]</f>
        <v>0</v>
      </c>
      <c r="CM51" s="900">
        <f>WWWW[[#This Row],['# people reached by regular dedicated hygiene promotion_5]]/WWWW[[#This Row],[Total PoP ]]</f>
        <v>0.13497353460105863</v>
      </c>
      <c r="CN51" s="901">
        <f>IF(WWWW[[#This Row],['#_of_affected_households_receiving_a_sufficient_quantity_of_soap]]/WWWW[[#This Row],[Total HH]]&gt;1,1,WWWW[[#This Row],['#_of_affected_households_receiving_a_sufficient_quantity_of_soap]]/WWWW[[#This Row],[Total HH]])</f>
        <v>1</v>
      </c>
      <c r="CO51" s="455" t="str">
        <f>IF(WWWW[[#This Row],['#_students at TLS_CFS]]="","No","Yes")</f>
        <v>Yes</v>
      </c>
      <c r="CP51" s="452">
        <f>WWWW[[#This Row],[%_of_affected_people_surveyed_who_report_feeling_informed_about_the_different_WASH_services_available_to_them]]</f>
        <v>0.97</v>
      </c>
      <c r="CQ5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248</v>
      </c>
      <c r="CR51" s="500">
        <f>IF(WWWW[[#This Row],['#_PPL_accessed_water_in_TLS]]&gt;WWWW[[#This Row],['# students access to functioning school latrines_HRP5]],WWWW[[#This Row],['#_PPL_accessed_water_in_TLS]],WWWW[[#This Row],['# students access to functioning school latrines_HRP5]])</f>
        <v>0</v>
      </c>
      <c r="CS51" s="500">
        <f>IF(WWWW[[#This Row],['#_PPL_accessed_water_in_THF]]&gt;WWWW[[#This Row],['# people access to functioning latrines in THF_HRP6]],WWWW[[#This Row],['#_PPL_accessed_water_in_THF]],WWWW[[#This Row],['# people access to functioning latrines in THF_HRP6]])</f>
        <v>0</v>
      </c>
      <c r="CT51" s="898" t="str">
        <f>VLOOKUP(WWWW[[#This Row],[Site Name]],SiteDB6[[Site Name]:[CCCM Management]],6,FALSE)</f>
        <v>Yes</v>
      </c>
      <c r="CU51" s="898">
        <f>VLOOKUP(WWWW[[#This Row],[Site Name]],SiteDB6[[Site Name]:[CCCM Focal Agency]],7,FALSE)</f>
        <v>0</v>
      </c>
      <c r="CV51" s="898" t="str">
        <f>VLOOKUP(WWWW[[#This Row],[Site Name]],SiteDB6[[Site Name]:[Location Type 1]],9,FALSE)</f>
        <v>Camp</v>
      </c>
      <c r="CW51" s="898" t="str">
        <f>VLOOKUP(WWWW[[#This Row],[Site Name]],SiteDB6[[Site Name]:[Type of Accommodation]],10,FALSE)</f>
        <v>Planned Camp</v>
      </c>
      <c r="CX51" s="898" t="str">
        <f>VLOOKUP(WWWW[[#This Row],[Site Name]],SiteDB6[[Site Name]:[Ethnic or GCA/NGCA]],11,FALSE)</f>
        <v>Muslim</v>
      </c>
      <c r="CY51" s="898">
        <f>VLOOKUP(WWWW[[#This Row],[Site Name]],SiteDB6[[Site Name]:[Lat]],12,FALSE)</f>
        <v>20.179417000000001</v>
      </c>
      <c r="CZ51" s="898">
        <f>VLOOKUP(WWWW[[#This Row],[Site Name]],SiteDB6[[Site Name]:[Long]],13,FALSE)</f>
        <v>92.813028000000003</v>
      </c>
      <c r="DA51" s="898" t="str">
        <f>VLOOKUP(WWWW[[#This Row],[Site Name]],SiteDB6[[Site Name]:[Pcode]],3,FALSE)</f>
        <v>MMR012CMP113</v>
      </c>
      <c r="DB51" s="906" t="str">
        <f t="shared" si="2"/>
        <v>Covered</v>
      </c>
      <c r="DC51" s="477">
        <f>VLOOKUP(WWWW[[#This Row],[Site Name]],SiteDB6[[Site Name]:[PWD_Total]],22,FALSE)</f>
        <v>46</v>
      </c>
      <c r="DD51" s="477">
        <f>VLOOKUP(WWWW[[#This Row],[Site Name]],SiteDB6[[Site Name]:[PWD_Total]],23,FALSE)</f>
        <v>436</v>
      </c>
      <c r="DE51" s="477">
        <f>WWWW[[#This Row],['# of Male_People with disabilities]]+WWWW[[#This Row],['# of Female_People with disabilities]]</f>
        <v>482</v>
      </c>
      <c r="DF51" s="898"/>
      <c r="DG51" s="906"/>
      <c r="DH51" s="906"/>
      <c r="DI51" s="906"/>
      <c r="DJ51" s="906">
        <f>VLOOKUP(WWWW[[#This Row],[Site Name]],SiteDB6[[Site Name]:[Pop
(CCCM as of Autust 2021)]],16,FALSE)</f>
        <v>1012</v>
      </c>
      <c r="DK51" s="906">
        <f>VLOOKUP(WWWW[[#This Row],[Site Name]],SiteDB6[[Site Name]:[Pop
(CCCM as of Autust 2021)]],17,FALSE)</f>
        <v>5066</v>
      </c>
    </row>
    <row r="52" spans="1:115">
      <c r="A52" s="896" t="s">
        <v>3145</v>
      </c>
      <c r="B52" s="896" t="s">
        <v>2270</v>
      </c>
      <c r="C52" s="897" t="s">
        <v>2270</v>
      </c>
      <c r="D52" s="897" t="s">
        <v>3184</v>
      </c>
      <c r="E52" s="845" t="s">
        <v>293</v>
      </c>
      <c r="F52" s="897" t="s">
        <v>294</v>
      </c>
      <c r="G52" s="898" t="s">
        <v>43</v>
      </c>
      <c r="H52" s="897" t="s">
        <v>426</v>
      </c>
      <c r="I52" s="899">
        <v>1346</v>
      </c>
      <c r="J52" s="899">
        <v>8728</v>
      </c>
      <c r="K52" s="684">
        <f>WWWW[[#This Row],[Total PoP ]]/WWWW[[#This Row],[Total HH]]</f>
        <v>6.4843982169390788</v>
      </c>
      <c r="L52" s="907">
        <v>44652</v>
      </c>
      <c r="M52" s="908">
        <v>44834</v>
      </c>
      <c r="N52" s="500">
        <v>501</v>
      </c>
      <c r="O52" s="500">
        <v>76</v>
      </c>
      <c r="P52" s="500">
        <v>80</v>
      </c>
      <c r="Q52" s="500"/>
      <c r="R52" s="500"/>
      <c r="S52" s="500"/>
      <c r="T52" s="500"/>
      <c r="U52" s="500"/>
      <c r="V52" s="450"/>
      <c r="W52" s="500"/>
      <c r="X52" s="450"/>
      <c r="Y52" s="500"/>
      <c r="Z52" s="500"/>
      <c r="AA52" s="500"/>
      <c r="AB52" s="909"/>
      <c r="AC52" s="500">
        <v>286</v>
      </c>
      <c r="AD52" s="500">
        <v>328</v>
      </c>
      <c r="AE52" s="500"/>
      <c r="AF52" s="500"/>
      <c r="AG52" s="450"/>
      <c r="AH52" s="450"/>
      <c r="AI52" s="450"/>
      <c r="AJ52" s="500">
        <v>2</v>
      </c>
      <c r="AK52" s="500">
        <v>173</v>
      </c>
      <c r="AL52" s="500"/>
      <c r="AM52" s="500"/>
      <c r="AN52" s="500" t="s">
        <v>41</v>
      </c>
      <c r="AO52" s="538" t="s">
        <v>3205</v>
      </c>
      <c r="AP52" s="500">
        <f>55/2</f>
        <v>27.5</v>
      </c>
      <c r="AQ52" s="500">
        <f>570/2</f>
        <v>285</v>
      </c>
      <c r="AR52" s="500">
        <f>378/2</f>
        <v>189</v>
      </c>
      <c r="AS52" s="500">
        <f>374/2</f>
        <v>187</v>
      </c>
      <c r="AT52" s="500">
        <v>1353</v>
      </c>
      <c r="AU52" s="500">
        <v>1797</v>
      </c>
      <c r="AV52" s="450">
        <v>0.94</v>
      </c>
      <c r="AW52" s="450">
        <v>1</v>
      </c>
      <c r="AX52" s="451">
        <v>1</v>
      </c>
      <c r="AY52" s="910" t="s">
        <v>3206</v>
      </c>
      <c r="AZ52" s="450"/>
      <c r="BA52" s="450"/>
      <c r="BB52" s="450"/>
      <c r="BC52" s="450"/>
      <c r="BD52" s="450"/>
      <c r="BE52" s="500"/>
      <c r="BF52" s="500"/>
      <c r="BG52" s="500"/>
      <c r="BH52" s="500"/>
      <c r="BI52" s="500"/>
      <c r="BJ52" s="500"/>
      <c r="BK52" s="500"/>
      <c r="BL52" s="901" t="str">
        <f>IF(WWWW[[#This Row],['#_Water samples_Tested_at_water_source]]="","no test","Tested")</f>
        <v>no test</v>
      </c>
      <c r="BM52" s="901" t="str">
        <f>IF(WWWW[[#This Row],['#_Water samples_Tested_at_HH]]="","no test","Tested")</f>
        <v>no test</v>
      </c>
      <c r="BN52" s="902" t="str">
        <f>IF(AND(WWWW[[#This Row],[Water_testing_at source]]="no test",WWWW[[#This Row],[Water_testing_at HH]]="no test"),"No Test","Tested")</f>
        <v>No Test</v>
      </c>
      <c r="BO52"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2" s="903">
        <f>WWWW[[#This Row],[% HRP1]]*WWWW[[#This Row],[Total PoP ]]</f>
        <v>8728</v>
      </c>
      <c r="BQ52" s="904">
        <f>WWWW[[#This Row],[HRP1]]/500</f>
        <v>17.456</v>
      </c>
      <c r="BR52" s="905">
        <f>1-WWWW[[#This Row],[% HRP1]]</f>
        <v>0</v>
      </c>
      <c r="BS52" s="904">
        <f>WWWW[[#This Row],[%equitable and continuous access to sufficient quantity of safe drinking and domestic water''s GAP]]*WWWW[[#This Row],[Total PoP ]]</f>
        <v>0</v>
      </c>
      <c r="BT52" s="451">
        <f>ROUND(IF(WWWW[[#This Row],[Total PoP ]]&lt;500,1,WWWW[[#This Row],[Total PoP ]]/500),0)</f>
        <v>17</v>
      </c>
      <c r="BU52" s="902">
        <f>IF(WWWW[[#This Row],[Total required water points]]-WWWW[[#This Row],['#Water points coverage]]&lt;0,0,WWWW[[#This Row],[Total required water points]]-WWWW[[#This Row],['#Water points coverage]])</f>
        <v>0</v>
      </c>
      <c r="BV52" s="452">
        <f>WWWW[[#This Row],[HRP2]]/WWWW[[#This Row],[Total PoP ]]</f>
        <v>0.67976626947754348</v>
      </c>
      <c r="BW52"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5933</v>
      </c>
      <c r="BX52" s="455">
        <f>IF(WWWW[[#This Row],['#_Functional_adult_latrines]]="","",WWWW[[#This Row],[Total PoP ]]/WWWW[[#This Row],['#_Functional_adult_latrines]])</f>
        <v>30.517482517482517</v>
      </c>
      <c r="BY52" s="902">
        <f>WWWW[[#This Row],['#_of_latrines_in_TLS/CFS]]*50</f>
        <v>0</v>
      </c>
      <c r="BZ52" s="451">
        <f>IF(WWWW[[#This Row],['#_of_latrines_in_THF]]="",0,WWWW[[#This Row],['#_of_latrines_in_THF]]*50)</f>
        <v>0</v>
      </c>
      <c r="CA52" s="902">
        <f>ROUND(IF(WWWW[[#This Row],[Location Type 1]]="camp",WWWW[[#This Row],[Total PoP ]]/20),0)</f>
        <v>436</v>
      </c>
      <c r="CB52" s="902">
        <f>IF(WWWW[[#This Row],[Total required Latrines]]-WWWW[[#This Row],['#_Existing_latrines]]&lt;0,0,WWWW[[#This Row],[Total required Latrines]]-WWWW[[#This Row],['#_Existing_latrines]])</f>
        <v>108</v>
      </c>
      <c r="CC52" s="905">
        <f>1-WWWW[[#This Row],[% HRP2]]</f>
        <v>0.32023373052245652</v>
      </c>
      <c r="CD52" s="901">
        <f>IF(WWWW[[#This Row],['#_Existing_latrines]]="","NA",(WWWW[[#This Row],['#_Existing_latrines]]-WWWW[[#This Row],['#_Functional_adult_latrines]])/WWWW[[#This Row],['#_Existing_latrines]])</f>
        <v>0.12804878048780488</v>
      </c>
      <c r="CE52"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688.5</v>
      </c>
      <c r="CF52" s="904">
        <f>SUM(WWWW[[#This Row],[_'#_of_Men_receiving_consultation_hygiene_promotion_messages_and_sessions]:[_'#_of_Girls_receiving_consultation_hygiene_promotion_messages_and_sessions]])-WWWW[[#This Row],['# people reached by regular dedicated hygiene promotion_5]]</f>
        <v>0</v>
      </c>
      <c r="CG52"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8728</v>
      </c>
      <c r="CH52" s="902">
        <f>IF(WWWW[[#This Row],['#_of_affected_women_and_girls_receiving_a_sufficient_quantity_of_sanitary_pads]]&gt;WWWW[[#This Row],[Total PoP ]],WWWW[[#This Row],[Total PoP ]],WWWW[[#This Row],['#_of_affected_women_and_girls_receiving_a_sufficient_quantity_of_sanitary_pads]])</f>
        <v>1797</v>
      </c>
      <c r="CI52" s="902">
        <f>IF(WWWW[[#This Row],['# People with access to soap]]&gt;WWWW[[#This Row],['# People with access to Sanity Pads]],WWWW[[#This Row],['# People with access to soap]],WWWW[[#This Row],['# People with access to Sanity Pads]])</f>
        <v>8728</v>
      </c>
      <c r="CJ52" s="902">
        <f>IF(WWWW[[#This Row],['# people reached by regular dedicated hygiene promotion_5]]&gt;WWWW[[#This Row],['# People received regular supply of hygiene items_6]],WWWW[[#This Row],['# people reached by regular dedicated hygiene promotion_5]],WWWW[[#This Row],['# People received regular supply of hygiene items_6]])</f>
        <v>8728</v>
      </c>
      <c r="CK52" s="905">
        <f>IF(WWWW[[#This Row],[HRP3]]/WWWW[[#This Row],[Total PoP ]]&gt;100%,100%,WWWW[[#This Row],[HRP3]]/WWWW[[#This Row],[Total PoP ]])</f>
        <v>1</v>
      </c>
      <c r="CL52" s="901">
        <f>1-WWWW[[#This Row],[Hygiene Coverage%]]</f>
        <v>0</v>
      </c>
      <c r="CM52" s="900">
        <f>WWWW[[#This Row],['# people reached by regular dedicated hygiene promotion_5]]/WWWW[[#This Row],[Total PoP ]]</f>
        <v>7.8884051329055918E-2</v>
      </c>
      <c r="CN52" s="901">
        <f>IF(WWWW[[#This Row],['#_of_affected_households_receiving_a_sufficient_quantity_of_soap]]/WWWW[[#This Row],[Total HH]]&gt;1,1,WWWW[[#This Row],['#_of_affected_households_receiving_a_sufficient_quantity_of_soap]]/WWWW[[#This Row],[Total HH]])</f>
        <v>1</v>
      </c>
      <c r="CO52" s="455" t="str">
        <f>IF(WWWW[[#This Row],['#_students at TLS_CFS]]="","No","Yes")</f>
        <v>Yes</v>
      </c>
      <c r="CP52" s="452">
        <f>WWWW[[#This Row],[%_of_affected_people_surveyed_who_report_feeling_informed_about_the_different_WASH_services_available_to_them]]</f>
        <v>0</v>
      </c>
      <c r="CQ5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52" s="500">
        <f>IF(WWWW[[#This Row],['#_PPL_accessed_water_in_TLS]]&gt;WWWW[[#This Row],['# students access to functioning school latrines_HRP5]],WWWW[[#This Row],['#_PPL_accessed_water_in_TLS]],WWWW[[#This Row],['# students access to functioning school latrines_HRP5]])</f>
        <v>0</v>
      </c>
      <c r="CS52" s="500">
        <f>IF(WWWW[[#This Row],['#_PPL_accessed_water_in_THF]]&gt;WWWW[[#This Row],['# people access to functioning latrines in THF_HRP6]],WWWW[[#This Row],['#_PPL_accessed_water_in_THF]],WWWW[[#This Row],['# people access to functioning latrines in THF_HRP6]])</f>
        <v>0</v>
      </c>
      <c r="CT52" s="898" t="str">
        <f>VLOOKUP(WWWW[[#This Row],[Site Name]],SiteDB6[[Site Name]:[CCCM Management]],6,FALSE)</f>
        <v>Yes</v>
      </c>
      <c r="CU52" s="898">
        <f>VLOOKUP(WWWW[[#This Row],[Site Name]],SiteDB6[[Site Name]:[CCCM Focal Agency]],7,FALSE)</f>
        <v>0</v>
      </c>
      <c r="CV52" s="898" t="str">
        <f>VLOOKUP(WWWW[[#This Row],[Site Name]],SiteDB6[[Site Name]:[Location Type 1]],9,FALSE)</f>
        <v>Camp</v>
      </c>
      <c r="CW52" s="898" t="str">
        <f>VLOOKUP(WWWW[[#This Row],[Site Name]],SiteDB6[[Site Name]:[Type of Accommodation]],10,FALSE)</f>
        <v>Planned Camp</v>
      </c>
      <c r="CX52" s="898" t="str">
        <f>VLOOKUP(WWWW[[#This Row],[Site Name]],SiteDB6[[Site Name]:[Ethnic or GCA/NGCA]],11,FALSE)</f>
        <v>Muslim</v>
      </c>
      <c r="CY52" s="898">
        <f>VLOOKUP(WWWW[[#This Row],[Site Name]],SiteDB6[[Site Name]:[Lat]],12,FALSE)</f>
        <v>20.181405999999999</v>
      </c>
      <c r="CZ52" s="898">
        <f>VLOOKUP(WWWW[[#This Row],[Site Name]],SiteDB6[[Site Name]:[Long]],13,FALSE)</f>
        <v>92.807552000000001</v>
      </c>
      <c r="DA52" s="898" t="str">
        <f>VLOOKUP(WWWW[[#This Row],[Site Name]],SiteDB6[[Site Name]:[Pcode]],3,FALSE)</f>
        <v>MMR012CMP114</v>
      </c>
      <c r="DB52" s="906" t="str">
        <f t="shared" si="2"/>
        <v>Covered</v>
      </c>
      <c r="DC52" s="477">
        <f>VLOOKUP(WWWW[[#This Row],[Site Name]],SiteDB6[[Site Name]:[PWD_Total]],22,FALSE)</f>
        <v>242</v>
      </c>
      <c r="DD52" s="477">
        <f>VLOOKUP(WWWW[[#This Row],[Site Name]],SiteDB6[[Site Name]:[PWD_Total]],23,FALSE)</f>
        <v>822</v>
      </c>
      <c r="DE52" s="477">
        <f>WWWW[[#This Row],['# of Male_People with disabilities]]+WWWW[[#This Row],['# of Female_People with disabilities]]</f>
        <v>1064</v>
      </c>
      <c r="DF52" s="898"/>
      <c r="DG52" s="906"/>
      <c r="DH52" s="906"/>
      <c r="DI52" s="906"/>
      <c r="DJ52" s="906">
        <f>VLOOKUP(WWWW[[#This Row],[Site Name]],SiteDB6[[Site Name]:[Pop
(CCCM as of Autust 2021)]],16,FALSE)</f>
        <v>1346</v>
      </c>
      <c r="DK52" s="906">
        <f>VLOOKUP(WWWW[[#This Row],[Site Name]],SiteDB6[[Site Name]:[Pop
(CCCM as of Autust 2021)]],17,FALSE)</f>
        <v>8414</v>
      </c>
    </row>
    <row r="53" spans="1:115">
      <c r="A53" s="896" t="s">
        <v>3145</v>
      </c>
      <c r="B53" s="896" t="s">
        <v>2270</v>
      </c>
      <c r="C53" s="897" t="s">
        <v>2270</v>
      </c>
      <c r="D53" s="897" t="s">
        <v>3184</v>
      </c>
      <c r="E53" s="845" t="s">
        <v>293</v>
      </c>
      <c r="F53" s="897" t="s">
        <v>294</v>
      </c>
      <c r="G53" s="898" t="s">
        <v>43</v>
      </c>
      <c r="H53" s="897" t="s">
        <v>423</v>
      </c>
      <c r="I53" s="899">
        <v>1753</v>
      </c>
      <c r="J53" s="899">
        <v>11715</v>
      </c>
      <c r="K53" s="684">
        <f>WWWW[[#This Row],[Total PoP ]]/WWWW[[#This Row],[Total HH]]</f>
        <v>6.6828294352538506</v>
      </c>
      <c r="L53" s="907">
        <v>44652</v>
      </c>
      <c r="M53" s="908">
        <v>44834</v>
      </c>
      <c r="N53" s="500">
        <v>896</v>
      </c>
      <c r="O53" s="500">
        <v>82</v>
      </c>
      <c r="P53" s="500">
        <v>85</v>
      </c>
      <c r="Q53" s="500"/>
      <c r="R53" s="500"/>
      <c r="S53" s="500"/>
      <c r="T53" s="500"/>
      <c r="U53" s="500">
        <v>54</v>
      </c>
      <c r="V53" s="450">
        <v>0.68500000000000005</v>
      </c>
      <c r="W53" s="500"/>
      <c r="X53" s="450"/>
      <c r="Y53" s="500"/>
      <c r="Z53" s="500"/>
      <c r="AA53" s="500"/>
      <c r="AB53" s="909"/>
      <c r="AC53" s="500">
        <v>530</v>
      </c>
      <c r="AD53" s="500">
        <v>554</v>
      </c>
      <c r="AE53" s="500">
        <v>248</v>
      </c>
      <c r="AF53" s="500">
        <v>398</v>
      </c>
      <c r="AG53" s="450">
        <v>1</v>
      </c>
      <c r="AH53" s="450">
        <v>0.92</v>
      </c>
      <c r="AI53" s="450">
        <v>0.45</v>
      </c>
      <c r="AJ53" s="500">
        <v>12</v>
      </c>
      <c r="AK53" s="500">
        <v>165</v>
      </c>
      <c r="AL53" s="500"/>
      <c r="AM53" s="500"/>
      <c r="AN53" s="500" t="s">
        <v>41</v>
      </c>
      <c r="AO53" s="538" t="s">
        <v>3205</v>
      </c>
      <c r="AP53" s="500">
        <v>22</v>
      </c>
      <c r="AQ53" s="500">
        <v>276</v>
      </c>
      <c r="AR53" s="500">
        <v>487</v>
      </c>
      <c r="AS53" s="500">
        <v>387</v>
      </c>
      <c r="AT53" s="500">
        <v>1850</v>
      </c>
      <c r="AU53" s="500">
        <v>2822</v>
      </c>
      <c r="AV53" s="450">
        <v>0.96</v>
      </c>
      <c r="AW53" s="450">
        <v>1</v>
      </c>
      <c r="AX53" s="451">
        <v>13</v>
      </c>
      <c r="AY53" s="910" t="s">
        <v>3206</v>
      </c>
      <c r="AZ53" s="450">
        <v>1</v>
      </c>
      <c r="BA53" s="450">
        <v>1</v>
      </c>
      <c r="BB53" s="450">
        <v>0.98</v>
      </c>
      <c r="BC53" s="450">
        <v>0.92</v>
      </c>
      <c r="BD53" s="450"/>
      <c r="BE53" s="500">
        <v>248</v>
      </c>
      <c r="BF53" s="500"/>
      <c r="BG53" s="500"/>
      <c r="BH53" s="500"/>
      <c r="BI53" s="500"/>
      <c r="BJ53" s="500"/>
      <c r="BK53" s="500"/>
      <c r="BL53" s="901" t="str">
        <f>IF(WWWW[[#This Row],['#_Water samples_Tested_at_water_source]]="","no test","Tested")</f>
        <v>Tested</v>
      </c>
      <c r="BM53" s="901" t="str">
        <f>IF(WWWW[[#This Row],['#_Water samples_Tested_at_HH]]="","no test","Tested")</f>
        <v>no test</v>
      </c>
      <c r="BN53" s="902" t="str">
        <f>IF(AND(WWWW[[#This Row],[Water_testing_at source]]="no test",WWWW[[#This Row],[Water_testing_at HH]]="no test"),"No Test","Tested")</f>
        <v>Tested</v>
      </c>
      <c r="BO53"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3" s="903">
        <f>WWWW[[#This Row],[% HRP1]]*WWWW[[#This Row],[Total PoP ]]</f>
        <v>11715</v>
      </c>
      <c r="BQ53" s="904">
        <f>WWWW[[#This Row],[HRP1]]/500</f>
        <v>23.43</v>
      </c>
      <c r="BR53" s="905">
        <f>1-WWWW[[#This Row],[% HRP1]]</f>
        <v>0</v>
      </c>
      <c r="BS53" s="904">
        <f>WWWW[[#This Row],[%equitable and continuous access to sufficient quantity of safe drinking and domestic water''s GAP]]*WWWW[[#This Row],[Total PoP ]]</f>
        <v>0</v>
      </c>
      <c r="BT53" s="451">
        <f>ROUND(IF(WWWW[[#This Row],[Total PoP ]]&lt;500,1,WWWW[[#This Row],[Total PoP ]]/500),0)</f>
        <v>23</v>
      </c>
      <c r="BU53" s="902">
        <f>IF(WWWW[[#This Row],[Total required water points]]-WWWW[[#This Row],['#Water points coverage]]&lt;0,0,WWWW[[#This Row],[Total required water points]]-WWWW[[#This Row],['#Water points coverage]])</f>
        <v>0</v>
      </c>
      <c r="BV53" s="452">
        <f>WWWW[[#This Row],[HRP2]]/WWWW[[#This Row],[Total PoP ]]</f>
        <v>0.93939393939393945</v>
      </c>
      <c r="BW53"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11005</v>
      </c>
      <c r="BX53" s="455">
        <f>IF(WWWW[[#This Row],['#_Functional_adult_latrines]]="","",WWWW[[#This Row],[Total PoP ]]/WWWW[[#This Row],['#_Functional_adult_latrines]])</f>
        <v>22.10377358490566</v>
      </c>
      <c r="BY53" s="902">
        <f>WWWW[[#This Row],['#_of_latrines_in_TLS/CFS]]*50</f>
        <v>0</v>
      </c>
      <c r="BZ53" s="451">
        <f>IF(WWWW[[#This Row],['#_of_latrines_in_THF]]="",0,WWWW[[#This Row],['#_of_latrines_in_THF]]*50)</f>
        <v>0</v>
      </c>
      <c r="CA53" s="902">
        <f>ROUND(IF(WWWW[[#This Row],[Location Type 1]]="camp",WWWW[[#This Row],[Total PoP ]]/20),0)</f>
        <v>586</v>
      </c>
      <c r="CB53" s="902">
        <f>IF(WWWW[[#This Row],[Total required Latrines]]-WWWW[[#This Row],['#_Existing_latrines]]&lt;0,0,WWWW[[#This Row],[Total required Latrines]]-WWWW[[#This Row],['#_Existing_latrines]])</f>
        <v>32</v>
      </c>
      <c r="CC53" s="905">
        <f>1-WWWW[[#This Row],[% HRP2]]</f>
        <v>6.0606060606060552E-2</v>
      </c>
      <c r="CD53" s="901">
        <f>IF(WWWW[[#This Row],['#_Existing_latrines]]="","NA",(WWWW[[#This Row],['#_Existing_latrines]]-WWWW[[#This Row],['#_Functional_adult_latrines]])/WWWW[[#This Row],['#_Existing_latrines]])</f>
        <v>4.3321299638989168E-2</v>
      </c>
      <c r="CE53"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1172</v>
      </c>
      <c r="CF53" s="904">
        <f>SUM(WWWW[[#This Row],[_'#_of_Men_receiving_consultation_hygiene_promotion_messages_and_sessions]:[_'#_of_Girls_receiving_consultation_hygiene_promotion_messages_and_sessions]])-WWWW[[#This Row],['# people reached by regular dedicated hygiene promotion_5]]</f>
        <v>0</v>
      </c>
      <c r="CG53"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H53" s="902">
        <f>IF(WWWW[[#This Row],['#_of_affected_women_and_girls_receiving_a_sufficient_quantity_of_sanitary_pads]]&gt;WWWW[[#This Row],[Total PoP ]],WWWW[[#This Row],[Total PoP ]],WWWW[[#This Row],['#_of_affected_women_and_girls_receiving_a_sufficient_quantity_of_sanitary_pads]])</f>
        <v>2822</v>
      </c>
      <c r="CI53" s="902">
        <f>IF(WWWW[[#This Row],['# People with access to soap]]&gt;WWWW[[#This Row],['# People with access to Sanity Pads]],WWWW[[#This Row],['# People with access to soap]],WWWW[[#This Row],['# People with access to Sanity Pads]])</f>
        <v>11715</v>
      </c>
      <c r="CJ53" s="902">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K53" s="905">
        <f>IF(WWWW[[#This Row],[HRP3]]/WWWW[[#This Row],[Total PoP ]]&gt;100%,100%,WWWW[[#This Row],[HRP3]]/WWWW[[#This Row],[Total PoP ]])</f>
        <v>1</v>
      </c>
      <c r="CL53" s="901">
        <f>1-WWWW[[#This Row],[Hygiene Coverage%]]</f>
        <v>0</v>
      </c>
      <c r="CM53" s="900">
        <f>WWWW[[#This Row],['# people reached by regular dedicated hygiene promotion_5]]/WWWW[[#This Row],[Total PoP ]]</f>
        <v>0.10004268032437047</v>
      </c>
      <c r="CN53" s="901">
        <f>IF(WWWW[[#This Row],['#_of_affected_households_receiving_a_sufficient_quantity_of_soap]]/WWWW[[#This Row],[Total HH]]&gt;1,1,WWWW[[#This Row],['#_of_affected_households_receiving_a_sufficient_quantity_of_soap]]/WWWW[[#This Row],[Total HH]])</f>
        <v>1</v>
      </c>
      <c r="CO53" s="455" t="str">
        <f>IF(WWWW[[#This Row],['#_students at TLS_CFS]]="","No","Yes")</f>
        <v>Yes</v>
      </c>
      <c r="CP53" s="452">
        <f>WWWW[[#This Row],[%_of_affected_people_surveyed_who_report_feeling_informed_about_the_different_WASH_services_available_to_them]]</f>
        <v>0.98</v>
      </c>
      <c r="CQ5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248</v>
      </c>
      <c r="CR53" s="500">
        <f>IF(WWWW[[#This Row],['#_PPL_accessed_water_in_TLS]]&gt;WWWW[[#This Row],['# students access to functioning school latrines_HRP5]],WWWW[[#This Row],['#_PPL_accessed_water_in_TLS]],WWWW[[#This Row],['# students access to functioning school latrines_HRP5]])</f>
        <v>0</v>
      </c>
      <c r="CS53" s="500">
        <f>IF(WWWW[[#This Row],['#_PPL_accessed_water_in_THF]]&gt;WWWW[[#This Row],['# people access to functioning latrines in THF_HRP6]],WWWW[[#This Row],['#_PPL_accessed_water_in_THF]],WWWW[[#This Row],['# people access to functioning latrines in THF_HRP6]])</f>
        <v>0</v>
      </c>
      <c r="CT53" s="898" t="str">
        <f>VLOOKUP(WWWW[[#This Row],[Site Name]],SiteDB6[[Site Name]:[CCCM Management]],6,FALSE)</f>
        <v>Yes</v>
      </c>
      <c r="CU53" s="898">
        <f>VLOOKUP(WWWW[[#This Row],[Site Name]],SiteDB6[[Site Name]:[CCCM Focal Agency]],7,FALSE)</f>
        <v>0</v>
      </c>
      <c r="CV53" s="898" t="str">
        <f>VLOOKUP(WWWW[[#This Row],[Site Name]],SiteDB6[[Site Name]:[Location Type 1]],9,FALSE)</f>
        <v>Camp</v>
      </c>
      <c r="CW53" s="898" t="str">
        <f>VLOOKUP(WWWW[[#This Row],[Site Name]],SiteDB6[[Site Name]:[Type of Accommodation]],10,FALSE)</f>
        <v>Planned Camp</v>
      </c>
      <c r="CX53" s="898" t="str">
        <f>VLOOKUP(WWWW[[#This Row],[Site Name]],SiteDB6[[Site Name]:[Ethnic or GCA/NGCA]],11,FALSE)</f>
        <v>Muslim</v>
      </c>
      <c r="CY53" s="898">
        <f>VLOOKUP(WWWW[[#This Row],[Site Name]],SiteDB6[[Site Name]:[Lat]],12,FALSE)</f>
        <v>20.16846</v>
      </c>
      <c r="CZ53" s="898">
        <f>VLOOKUP(WWWW[[#This Row],[Site Name]],SiteDB6[[Site Name]:[Long]],13,FALSE)</f>
        <v>92.827427</v>
      </c>
      <c r="DA53" s="898" t="str">
        <f>VLOOKUP(WWWW[[#This Row],[Site Name]],SiteDB6[[Site Name]:[Pcode]],3,FALSE)</f>
        <v>MMR012CMP041</v>
      </c>
      <c r="DB53" s="906" t="str">
        <f t="shared" si="2"/>
        <v>Covered</v>
      </c>
      <c r="DC53" s="477">
        <f>VLOOKUP(WWWW[[#This Row],[Site Name]],SiteDB6[[Site Name]:[PWD_Total]],22,FALSE)</f>
        <v>104</v>
      </c>
      <c r="DD53" s="477">
        <f>VLOOKUP(WWWW[[#This Row],[Site Name]],SiteDB6[[Site Name]:[PWD_Total]],23,FALSE)</f>
        <v>810</v>
      </c>
      <c r="DE53" s="477">
        <f>WWWW[[#This Row],['# of Male_People with disabilities]]+WWWW[[#This Row],['# of Female_People with disabilities]]</f>
        <v>914</v>
      </c>
      <c r="DF53" s="898"/>
      <c r="DG53" s="906"/>
      <c r="DH53" s="906"/>
      <c r="DI53" s="906"/>
      <c r="DJ53" s="906">
        <f>VLOOKUP(WWWW[[#This Row],[Site Name]],SiteDB6[[Site Name]:[Pop
(CCCM as of Autust 2021)]],16,FALSE)</f>
        <v>1713</v>
      </c>
      <c r="DK53" s="906">
        <f>VLOOKUP(WWWW[[#This Row],[Site Name]],SiteDB6[[Site Name]:[Pop
(CCCM as of Autust 2021)]],17,FALSE)</f>
        <v>11460</v>
      </c>
    </row>
    <row r="54" spans="1:115">
      <c r="A54" s="896" t="s">
        <v>3145</v>
      </c>
      <c r="B54" s="896" t="s">
        <v>2269</v>
      </c>
      <c r="C54" s="897" t="s">
        <v>2620</v>
      </c>
      <c r="D54" s="897" t="s">
        <v>3184</v>
      </c>
      <c r="E54" s="845" t="s">
        <v>293</v>
      </c>
      <c r="F54" s="897" t="s">
        <v>294</v>
      </c>
      <c r="G54" s="898" t="s">
        <v>43</v>
      </c>
      <c r="H54" s="897" t="s">
        <v>2271</v>
      </c>
      <c r="I54" s="899">
        <v>400</v>
      </c>
      <c r="J54" s="899">
        <v>2248</v>
      </c>
      <c r="K54" s="684">
        <f>WWWW[[#This Row],[Total PoP ]]/WWWW[[#This Row],[Total HH]]</f>
        <v>5.62</v>
      </c>
      <c r="L54" s="907">
        <v>44652</v>
      </c>
      <c r="M54" s="908">
        <v>44834</v>
      </c>
      <c r="N54" s="500">
        <v>550</v>
      </c>
      <c r="O54" s="500">
        <v>48</v>
      </c>
      <c r="P54" s="500">
        <v>53</v>
      </c>
      <c r="Q54" s="500"/>
      <c r="R54" s="500"/>
      <c r="S54" s="500"/>
      <c r="T54" s="500"/>
      <c r="U54" s="500">
        <v>65</v>
      </c>
      <c r="V54" s="450">
        <v>0.36899999999999999</v>
      </c>
      <c r="W54" s="500">
        <v>81</v>
      </c>
      <c r="X54" s="450">
        <v>0.24690000000000001</v>
      </c>
      <c r="Y54" s="500"/>
      <c r="Z54" s="500"/>
      <c r="AA54" s="500"/>
      <c r="AB54" s="909"/>
      <c r="AC54" s="500">
        <v>87</v>
      </c>
      <c r="AD54" s="500">
        <v>116</v>
      </c>
      <c r="AE54" s="500">
        <v>41</v>
      </c>
      <c r="AF54" s="500">
        <v>112</v>
      </c>
      <c r="AG54" s="450">
        <v>0.82</v>
      </c>
      <c r="AH54" s="450">
        <v>0.73</v>
      </c>
      <c r="AI54" s="450">
        <v>0.64</v>
      </c>
      <c r="AJ54" s="500">
        <v>10</v>
      </c>
      <c r="AK54" s="500">
        <v>29</v>
      </c>
      <c r="AL54" s="500">
        <v>4</v>
      </c>
      <c r="AM54" s="500"/>
      <c r="AN54" s="500" t="s">
        <v>41</v>
      </c>
      <c r="AO54" s="538" t="s">
        <v>3207</v>
      </c>
      <c r="AP54" s="500">
        <v>48</v>
      </c>
      <c r="AQ54" s="500">
        <v>388</v>
      </c>
      <c r="AR54" s="500">
        <v>2021</v>
      </c>
      <c r="AS54" s="500">
        <v>1969</v>
      </c>
      <c r="AT54" s="500">
        <v>392</v>
      </c>
      <c r="AU54" s="500">
        <v>805</v>
      </c>
      <c r="AV54" s="450">
        <v>0.56999999999999995</v>
      </c>
      <c r="AW54" s="450">
        <v>1</v>
      </c>
      <c r="AX54" s="451">
        <v>5</v>
      </c>
      <c r="AY54" s="910" t="s">
        <v>3208</v>
      </c>
      <c r="AZ54" s="450">
        <v>1</v>
      </c>
      <c r="BA54" s="450">
        <v>1</v>
      </c>
      <c r="BB54" s="450">
        <v>1</v>
      </c>
      <c r="BC54" s="450">
        <v>1</v>
      </c>
      <c r="BD54" s="450"/>
      <c r="BE54" s="500">
        <v>41</v>
      </c>
      <c r="BF54" s="500"/>
      <c r="BG54" s="500"/>
      <c r="BH54" s="500"/>
      <c r="BI54" s="500"/>
      <c r="BJ54" s="500"/>
      <c r="BK54" s="500"/>
      <c r="BL54" s="901" t="str">
        <f>IF(WWWW[[#This Row],['#_Water samples_Tested_at_water_source]]="","no test","Tested")</f>
        <v>Tested</v>
      </c>
      <c r="BM54" s="901" t="str">
        <f>IF(WWWW[[#This Row],['#_Water samples_Tested_at_HH]]="","no test","Tested")</f>
        <v>Tested</v>
      </c>
      <c r="BN54" s="902" t="str">
        <f>IF(AND(WWWW[[#This Row],[Water_testing_at source]]="no test",WWWW[[#This Row],[Water_testing_at HH]]="no test"),"No Test","Tested")</f>
        <v>Tested</v>
      </c>
      <c r="BO54"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4" s="903">
        <f>WWWW[[#This Row],[% HRP1]]*WWWW[[#This Row],[Total PoP ]]</f>
        <v>2248</v>
      </c>
      <c r="BQ54" s="904">
        <f>WWWW[[#This Row],[HRP1]]/500</f>
        <v>4.4960000000000004</v>
      </c>
      <c r="BR54" s="905">
        <f>1-WWWW[[#This Row],[% HRP1]]</f>
        <v>0</v>
      </c>
      <c r="BS54" s="904">
        <f>WWWW[[#This Row],[%equitable and continuous access to sufficient quantity of safe drinking and domestic water''s GAP]]*WWWW[[#This Row],[Total PoP ]]</f>
        <v>0</v>
      </c>
      <c r="BT54" s="451">
        <f>ROUND(IF(WWWW[[#This Row],[Total PoP ]]&lt;500,1,WWWW[[#This Row],[Total PoP ]]/500),0)</f>
        <v>4</v>
      </c>
      <c r="BU54" s="902">
        <f>IF(WWWW[[#This Row],[Total required water points]]-WWWW[[#This Row],['#Water points coverage]]&lt;0,0,WWWW[[#This Row],[Total required water points]]-WWWW[[#This Row],['#Water points coverage]])</f>
        <v>0</v>
      </c>
      <c r="BV54" s="452">
        <f>WWWW[[#This Row],[HRP2]]/WWWW[[#This Row],[Total PoP ]]</f>
        <v>0.87588967971530252</v>
      </c>
      <c r="BW54"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1969</v>
      </c>
      <c r="BX54" s="455">
        <f>IF(WWWW[[#This Row],['#_Functional_adult_latrines]]="","",WWWW[[#This Row],[Total PoP ]]/WWWW[[#This Row],['#_Functional_adult_latrines]])</f>
        <v>25.839080459770116</v>
      </c>
      <c r="BY54" s="902">
        <f>WWWW[[#This Row],['#_of_latrines_in_TLS/CFS]]*50</f>
        <v>200</v>
      </c>
      <c r="BZ54" s="451">
        <f>IF(WWWW[[#This Row],['#_of_latrines_in_THF]]="",0,WWWW[[#This Row],['#_of_latrines_in_THF]]*50)</f>
        <v>0</v>
      </c>
      <c r="CA54" s="902">
        <f>ROUND(IF(WWWW[[#This Row],[Location Type 1]]="camp",WWWW[[#This Row],[Total PoP ]]/20),0)</f>
        <v>112</v>
      </c>
      <c r="CB54" s="902">
        <f>IF(WWWW[[#This Row],[Total required Latrines]]-WWWW[[#This Row],['#_Existing_latrines]]&lt;0,0,WWWW[[#This Row],[Total required Latrines]]-WWWW[[#This Row],['#_Existing_latrines]])</f>
        <v>0</v>
      </c>
      <c r="CC54" s="905">
        <f>1-WWWW[[#This Row],[% HRP2]]</f>
        <v>0.12411032028469748</v>
      </c>
      <c r="CD54" s="901">
        <f>IF(WWWW[[#This Row],['#_Existing_latrines]]="","NA",(WWWW[[#This Row],['#_Existing_latrines]]-WWWW[[#This Row],['#_Functional_adult_latrines]])/WWWW[[#This Row],['#_Existing_latrines]])</f>
        <v>0.25</v>
      </c>
      <c r="CE54"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F54" s="904">
        <f>SUM(WWWW[[#This Row],[_'#_of_Men_receiving_consultation_hygiene_promotion_messages_and_sessions]:[_'#_of_Girls_receiving_consultation_hygiene_promotion_messages_and_sessions]])-WWWW[[#This Row],['# people reached by regular dedicated hygiene promotion_5]]</f>
        <v>2178</v>
      </c>
      <c r="CG54"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H54" s="902">
        <f>IF(WWWW[[#This Row],['#_of_affected_women_and_girls_receiving_a_sufficient_quantity_of_sanitary_pads]]&gt;WWWW[[#This Row],[Total PoP ]],WWWW[[#This Row],[Total PoP ]],WWWW[[#This Row],['#_of_affected_women_and_girls_receiving_a_sufficient_quantity_of_sanitary_pads]])</f>
        <v>805</v>
      </c>
      <c r="CI54" s="902">
        <f>IF(WWWW[[#This Row],['# People with access to soap]]&gt;WWWW[[#This Row],['# People with access to Sanity Pads]],WWWW[[#This Row],['# People with access to soap]],WWWW[[#This Row],['# People with access to Sanity Pads]])</f>
        <v>2203.04</v>
      </c>
      <c r="CJ54" s="902">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K54" s="905">
        <f>IF(WWWW[[#This Row],[HRP3]]/WWWW[[#This Row],[Total PoP ]]&gt;100%,100%,WWWW[[#This Row],[HRP3]]/WWWW[[#This Row],[Total PoP ]])</f>
        <v>1</v>
      </c>
      <c r="CL54" s="901">
        <f>1-WWWW[[#This Row],[Hygiene Coverage%]]</f>
        <v>0</v>
      </c>
      <c r="CM54" s="900">
        <f>WWWW[[#This Row],['# people reached by regular dedicated hygiene promotion_5]]/WWWW[[#This Row],[Total PoP ]]</f>
        <v>1</v>
      </c>
      <c r="CN54" s="901">
        <f>IF(WWWW[[#This Row],['#_of_affected_households_receiving_a_sufficient_quantity_of_soap]]/WWWW[[#This Row],[Total HH]]&gt;1,1,WWWW[[#This Row],['#_of_affected_households_receiving_a_sufficient_quantity_of_soap]]/WWWW[[#This Row],[Total HH]])</f>
        <v>0.98</v>
      </c>
      <c r="CO54" s="455" t="str">
        <f>IF(WWWW[[#This Row],['#_students at TLS_CFS]]="","No","Yes")</f>
        <v>Yes</v>
      </c>
      <c r="CP54" s="452">
        <f>WWWW[[#This Row],[%_of_affected_people_surveyed_who_report_feeling_informed_about_the_different_WASH_services_available_to_them]]</f>
        <v>1</v>
      </c>
      <c r="CQ5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41</v>
      </c>
      <c r="CR54" s="500">
        <f>IF(WWWW[[#This Row],['#_PPL_accessed_water_in_TLS]]&gt;WWWW[[#This Row],['# students access to functioning school latrines_HRP5]],WWWW[[#This Row],['#_PPL_accessed_water_in_TLS]],WWWW[[#This Row],['# students access to functioning school latrines_HRP5]])</f>
        <v>200</v>
      </c>
      <c r="CS54" s="500">
        <f>IF(WWWW[[#This Row],['#_PPL_accessed_water_in_THF]]&gt;WWWW[[#This Row],['# people access to functioning latrines in THF_HRP6]],WWWW[[#This Row],['#_PPL_accessed_water_in_THF]],WWWW[[#This Row],['# people access to functioning latrines in THF_HRP6]])</f>
        <v>0</v>
      </c>
      <c r="CT54" s="898" t="str">
        <f>VLOOKUP(WWWW[[#This Row],[Site Name]],SiteDB6[[Site Name]:[CCCM Management]],6,FALSE)</f>
        <v>Yes</v>
      </c>
      <c r="CU54" s="898">
        <f>VLOOKUP(WWWW[[#This Row],[Site Name]],SiteDB6[[Site Name]:[CCCM Focal Agency]],7,FALSE)</f>
        <v>0</v>
      </c>
      <c r="CV54" s="898" t="str">
        <f>VLOOKUP(WWWW[[#This Row],[Site Name]],SiteDB6[[Site Name]:[Location Type 1]],9,FALSE)</f>
        <v>Camp</v>
      </c>
      <c r="CW54" s="898" t="str">
        <f>VLOOKUP(WWWW[[#This Row],[Site Name]],SiteDB6[[Site Name]:[Type of Accommodation]],10,FALSE)</f>
        <v>Planned Camp</v>
      </c>
      <c r="CX54" s="898" t="str">
        <f>VLOOKUP(WWWW[[#This Row],[Site Name]],SiteDB6[[Site Name]:[Ethnic or GCA/NGCA]],11,FALSE)</f>
        <v>Muslim</v>
      </c>
      <c r="CY54" s="898">
        <f>VLOOKUP(WWWW[[#This Row],[Site Name]],SiteDB6[[Site Name]:[Lat]],12,FALSE)</f>
        <v>20.181778000000001</v>
      </c>
      <c r="CZ54" s="898">
        <f>VLOOKUP(WWWW[[#This Row],[Site Name]],SiteDB6[[Site Name]:[Long]],13,FALSE)</f>
        <v>92.823166999999998</v>
      </c>
      <c r="DA54" s="898" t="str">
        <f>VLOOKUP(WWWW[[#This Row],[Site Name]],SiteDB6[[Site Name]:[Pcode]],3,FALSE)</f>
        <v>MMR012CMP042</v>
      </c>
      <c r="DB54" s="906" t="str">
        <f t="shared" si="2"/>
        <v>Covered</v>
      </c>
      <c r="DC54" s="477">
        <f>VLOOKUP(WWWW[[#This Row],[Site Name]],SiteDB6[[Site Name]:[PWD_Total]],22,FALSE)</f>
        <v>47</v>
      </c>
      <c r="DD54" s="477">
        <f>VLOOKUP(WWWW[[#This Row],[Site Name]],SiteDB6[[Site Name]:[PWD_Total]],23,FALSE)</f>
        <v>306</v>
      </c>
      <c r="DE54" s="477">
        <f>WWWW[[#This Row],['# of Male_People with disabilities]]+WWWW[[#This Row],['# of Female_People with disabilities]]</f>
        <v>353</v>
      </c>
      <c r="DF54" s="898"/>
      <c r="DG54" s="906"/>
      <c r="DH54" s="906"/>
      <c r="DI54" s="906"/>
      <c r="DJ54" s="906">
        <f>VLOOKUP(WWWW[[#This Row],[Site Name]],SiteDB6[[Site Name]:[Pop
(CCCM as of Autust 2021)]],16,FALSE)</f>
        <v>392</v>
      </c>
      <c r="DK54" s="906">
        <f>VLOOKUP(WWWW[[#This Row],[Site Name]],SiteDB6[[Site Name]:[Pop
(CCCM as of Autust 2021)]],17,FALSE)</f>
        <v>2455</v>
      </c>
    </row>
    <row r="55" spans="1:115">
      <c r="A55" s="896" t="s">
        <v>3145</v>
      </c>
      <c r="B55" s="896" t="s">
        <v>2270</v>
      </c>
      <c r="C55" s="897" t="s">
        <v>2270</v>
      </c>
      <c r="D55" s="897" t="s">
        <v>3184</v>
      </c>
      <c r="E55" s="845" t="s">
        <v>293</v>
      </c>
      <c r="F55" s="897" t="s">
        <v>294</v>
      </c>
      <c r="G55" s="898" t="s">
        <v>43</v>
      </c>
      <c r="H55" s="897" t="s">
        <v>2272</v>
      </c>
      <c r="I55" s="899">
        <v>400</v>
      </c>
      <c r="J55" s="899">
        <v>2262</v>
      </c>
      <c r="K55" s="684">
        <f>WWWW[[#This Row],[Total PoP ]]/WWWW[[#This Row],[Total HH]]</f>
        <v>5.6550000000000002</v>
      </c>
      <c r="L55" s="907">
        <v>44652</v>
      </c>
      <c r="M55" s="908">
        <v>44834</v>
      </c>
      <c r="N55" s="500">
        <v>364</v>
      </c>
      <c r="O55" s="500">
        <v>21</v>
      </c>
      <c r="P55" s="500">
        <v>25</v>
      </c>
      <c r="Q55" s="500"/>
      <c r="R55" s="500"/>
      <c r="S55" s="500"/>
      <c r="T55" s="500"/>
      <c r="U55" s="500">
        <v>30</v>
      </c>
      <c r="V55" s="450">
        <v>0.7</v>
      </c>
      <c r="W55" s="500">
        <v>78</v>
      </c>
      <c r="X55" s="450">
        <v>0.15379999999999999</v>
      </c>
      <c r="Y55" s="500"/>
      <c r="Z55" s="500"/>
      <c r="AA55" s="500"/>
      <c r="AB55" s="909"/>
      <c r="AC55" s="500">
        <v>97</v>
      </c>
      <c r="AD55" s="500">
        <v>104</v>
      </c>
      <c r="AE55" s="500">
        <v>32</v>
      </c>
      <c r="AF55" s="500">
        <v>55</v>
      </c>
      <c r="AG55" s="450">
        <v>1</v>
      </c>
      <c r="AH55" s="450">
        <v>1</v>
      </c>
      <c r="AI55" s="450">
        <v>0.45</v>
      </c>
      <c r="AJ55" s="500">
        <v>5</v>
      </c>
      <c r="AK55" s="500">
        <v>198</v>
      </c>
      <c r="AL55" s="500"/>
      <c r="AM55" s="500"/>
      <c r="AN55" s="500" t="s">
        <v>41</v>
      </c>
      <c r="AO55" s="538" t="s">
        <v>3205</v>
      </c>
      <c r="AP55" s="500">
        <v>4</v>
      </c>
      <c r="AQ55" s="500">
        <v>192</v>
      </c>
      <c r="AR55" s="500">
        <v>99</v>
      </c>
      <c r="AS55" s="500">
        <v>80</v>
      </c>
      <c r="AT55" s="500">
        <v>400</v>
      </c>
      <c r="AU55" s="500">
        <v>568</v>
      </c>
      <c r="AV55" s="450">
        <v>0.88</v>
      </c>
      <c r="AW55" s="450">
        <v>1</v>
      </c>
      <c r="AX55" s="451">
        <v>2</v>
      </c>
      <c r="AY55" s="910" t="s">
        <v>3206</v>
      </c>
      <c r="AZ55" s="450">
        <v>1</v>
      </c>
      <c r="BA55" s="450">
        <v>1</v>
      </c>
      <c r="BB55" s="450">
        <v>1</v>
      </c>
      <c r="BC55" s="450">
        <v>1</v>
      </c>
      <c r="BD55" s="450"/>
      <c r="BE55" s="500">
        <v>32</v>
      </c>
      <c r="BF55" s="500"/>
      <c r="BG55" s="500"/>
      <c r="BH55" s="500"/>
      <c r="BI55" s="500"/>
      <c r="BJ55" s="500"/>
      <c r="BK55" s="500"/>
      <c r="BL55" s="901" t="str">
        <f>IF(WWWW[[#This Row],['#_Water samples_Tested_at_water_source]]="","no test","Tested")</f>
        <v>Tested</v>
      </c>
      <c r="BM55" s="901" t="str">
        <f>IF(WWWW[[#This Row],['#_Water samples_Tested_at_HH]]="","no test","Tested")</f>
        <v>Tested</v>
      </c>
      <c r="BN55" s="902" t="str">
        <f>IF(AND(WWWW[[#This Row],[Water_testing_at source]]="no test",WWWW[[#This Row],[Water_testing_at HH]]="no test"),"No Test","Tested")</f>
        <v>Tested</v>
      </c>
      <c r="BO55"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5" s="903">
        <f>WWWW[[#This Row],[% HRP1]]*WWWW[[#This Row],[Total PoP ]]</f>
        <v>2262</v>
      </c>
      <c r="BQ55" s="904">
        <f>WWWW[[#This Row],[HRP1]]/500</f>
        <v>4.524</v>
      </c>
      <c r="BR55" s="905">
        <f>1-WWWW[[#This Row],[% HRP1]]</f>
        <v>0</v>
      </c>
      <c r="BS55" s="904">
        <f>WWWW[[#This Row],[%equitable and continuous access to sufficient quantity of safe drinking and domestic water''s GAP]]*WWWW[[#This Row],[Total PoP ]]</f>
        <v>0</v>
      </c>
      <c r="BT55" s="451">
        <f>ROUND(IF(WWWW[[#This Row],[Total PoP ]]&lt;500,1,WWWW[[#This Row],[Total PoP ]]/500),0)</f>
        <v>5</v>
      </c>
      <c r="BU55" s="902">
        <f>IF(WWWW[[#This Row],[Total required water points]]-WWWW[[#This Row],['#Water points coverage]]&lt;0,0,WWWW[[#This Row],[Total required water points]]-WWWW[[#This Row],['#Water points coverage]])</f>
        <v>0.47599999999999998</v>
      </c>
      <c r="BV55" s="452">
        <f>WWWW[[#This Row],[HRP2]]/WWWW[[#This Row],[Total PoP ]]</f>
        <v>0.98938992042440321</v>
      </c>
      <c r="BW55"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2238</v>
      </c>
      <c r="BX55" s="455">
        <f>IF(WWWW[[#This Row],['#_Functional_adult_latrines]]="","",WWWW[[#This Row],[Total PoP ]]/WWWW[[#This Row],['#_Functional_adult_latrines]])</f>
        <v>23.319587628865978</v>
      </c>
      <c r="BY55" s="902">
        <f>WWWW[[#This Row],['#_of_latrines_in_TLS/CFS]]*50</f>
        <v>0</v>
      </c>
      <c r="BZ55" s="451">
        <f>IF(WWWW[[#This Row],['#_of_latrines_in_THF]]="",0,WWWW[[#This Row],['#_of_latrines_in_THF]]*50)</f>
        <v>0</v>
      </c>
      <c r="CA55" s="902">
        <f>ROUND(IF(WWWW[[#This Row],[Location Type 1]]="camp",WWWW[[#This Row],[Total PoP ]]/20),0)</f>
        <v>113</v>
      </c>
      <c r="CB55" s="902">
        <f>IF(WWWW[[#This Row],[Total required Latrines]]-WWWW[[#This Row],['#_Existing_latrines]]&lt;0,0,WWWW[[#This Row],[Total required Latrines]]-WWWW[[#This Row],['#_Existing_latrines]])</f>
        <v>9</v>
      </c>
      <c r="CC55" s="905">
        <f>1-WWWW[[#This Row],[% HRP2]]</f>
        <v>1.0610079575596787E-2</v>
      </c>
      <c r="CD55" s="901">
        <f>IF(WWWW[[#This Row],['#_Existing_latrines]]="","NA",(WWWW[[#This Row],['#_Existing_latrines]]-WWWW[[#This Row],['#_Functional_adult_latrines]])/WWWW[[#This Row],['#_Existing_latrines]])</f>
        <v>6.7307692307692304E-2</v>
      </c>
      <c r="CE55"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v>
      </c>
      <c r="CF55" s="904">
        <f>SUM(WWWW[[#This Row],[_'#_of_Men_receiving_consultation_hygiene_promotion_messages_and_sessions]:[_'#_of_Girls_receiving_consultation_hygiene_promotion_messages_and_sessions]])-WWWW[[#This Row],['# people reached by regular dedicated hygiene promotion_5]]</f>
        <v>0</v>
      </c>
      <c r="CG55"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H55" s="902">
        <f>IF(WWWW[[#This Row],['#_of_affected_women_and_girls_receiving_a_sufficient_quantity_of_sanitary_pads]]&gt;WWWW[[#This Row],[Total PoP ]],WWWW[[#This Row],[Total PoP ]],WWWW[[#This Row],['#_of_affected_women_and_girls_receiving_a_sufficient_quantity_of_sanitary_pads]])</f>
        <v>568</v>
      </c>
      <c r="CI55" s="902">
        <f>IF(WWWW[[#This Row],['# People with access to soap]]&gt;WWWW[[#This Row],['# People with access to Sanity Pads]],WWWW[[#This Row],['# People with access to soap]],WWWW[[#This Row],['# People with access to Sanity Pads]])</f>
        <v>2262</v>
      </c>
      <c r="CJ55" s="902">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K55" s="905">
        <f>IF(WWWW[[#This Row],[HRP3]]/WWWW[[#This Row],[Total PoP ]]&gt;100%,100%,WWWW[[#This Row],[HRP3]]/WWWW[[#This Row],[Total PoP ]])</f>
        <v>1</v>
      </c>
      <c r="CL55" s="901">
        <f>1-WWWW[[#This Row],[Hygiene Coverage%]]</f>
        <v>0</v>
      </c>
      <c r="CM55" s="900">
        <f>WWWW[[#This Row],['# people reached by regular dedicated hygiene promotion_5]]/WWWW[[#This Row],[Total PoP ]]</f>
        <v>0.16578249336870027</v>
      </c>
      <c r="CN55" s="901">
        <f>IF(WWWW[[#This Row],['#_of_affected_households_receiving_a_sufficient_quantity_of_soap]]/WWWW[[#This Row],[Total HH]]&gt;1,1,WWWW[[#This Row],['#_of_affected_households_receiving_a_sufficient_quantity_of_soap]]/WWWW[[#This Row],[Total HH]])</f>
        <v>1</v>
      </c>
      <c r="CO55" s="455" t="str">
        <f>IF(WWWW[[#This Row],['#_students at TLS_CFS]]="","No","Yes")</f>
        <v>Yes</v>
      </c>
      <c r="CP55" s="452">
        <f>WWWW[[#This Row],[%_of_affected_people_surveyed_who_report_feeling_informed_about_the_different_WASH_services_available_to_them]]</f>
        <v>1</v>
      </c>
      <c r="CQ5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v>
      </c>
      <c r="CR55" s="500">
        <f>IF(WWWW[[#This Row],['#_PPL_accessed_water_in_TLS]]&gt;WWWW[[#This Row],['# students access to functioning school latrines_HRP5]],WWWW[[#This Row],['#_PPL_accessed_water_in_TLS]],WWWW[[#This Row],['# students access to functioning school latrines_HRP5]])</f>
        <v>0</v>
      </c>
      <c r="CS55" s="500">
        <f>IF(WWWW[[#This Row],['#_PPL_accessed_water_in_THF]]&gt;WWWW[[#This Row],['# people access to functioning latrines in THF_HRP6]],WWWW[[#This Row],['#_PPL_accessed_water_in_THF]],WWWW[[#This Row],['# people access to functioning latrines in THF_HRP6]])</f>
        <v>0</v>
      </c>
      <c r="CT55" s="898">
        <f>VLOOKUP(WWWW[[#This Row],[Site Name]],SiteDB6[[Site Name]:[CCCM Management]],6,FALSE)</f>
        <v>0</v>
      </c>
      <c r="CU55" s="898">
        <f>VLOOKUP(WWWW[[#This Row],[Site Name]],SiteDB6[[Site Name]:[CCCM Focal Agency]],7,FALSE)</f>
        <v>0</v>
      </c>
      <c r="CV55" s="898" t="str">
        <f>VLOOKUP(WWWW[[#This Row],[Site Name]],SiteDB6[[Site Name]:[Location Type 1]],9,FALSE)</f>
        <v>Camp</v>
      </c>
      <c r="CW55" s="898" t="str">
        <f>VLOOKUP(WWWW[[#This Row],[Site Name]],SiteDB6[[Site Name]:[Type of Accommodation]],10,FALSE)</f>
        <v>Planned Camp</v>
      </c>
      <c r="CX55" s="898" t="str">
        <f>VLOOKUP(WWWW[[#This Row],[Site Name]],SiteDB6[[Site Name]:[Ethnic or GCA/NGCA]],11,FALSE)</f>
        <v>Muslim</v>
      </c>
      <c r="CY55" s="898">
        <f>VLOOKUP(WWWW[[#This Row],[Site Name]],SiteDB6[[Site Name]:[Lat]],12,FALSE)</f>
        <v>20.180194</v>
      </c>
      <c r="CZ55" s="898">
        <f>VLOOKUP(WWWW[[#This Row],[Site Name]],SiteDB6[[Site Name]:[Long]],13,FALSE)</f>
        <v>92.816638999999995</v>
      </c>
      <c r="DA55" s="898" t="str">
        <f>VLOOKUP(WWWW[[#This Row],[Site Name]],SiteDB6[[Site Name]:[Pcode]],3,FALSE)</f>
        <v>MMR012CMP042</v>
      </c>
      <c r="DB55" s="906" t="str">
        <f t="shared" si="2"/>
        <v>Covered</v>
      </c>
      <c r="DC55" s="477">
        <f>VLOOKUP(WWWW[[#This Row],[Site Name]],SiteDB6[[Site Name]:[PWD_Total]],22,FALSE)</f>
        <v>70</v>
      </c>
      <c r="DD55" s="477">
        <f>VLOOKUP(WWWW[[#This Row],[Site Name]],SiteDB6[[Site Name]:[PWD_Total]],23,FALSE)</f>
        <v>241</v>
      </c>
      <c r="DE55" s="477">
        <f>WWWW[[#This Row],['# of Male_People with disabilities]]+WWWW[[#This Row],['# of Female_People with disabilities]]</f>
        <v>311</v>
      </c>
      <c r="DF55" s="898"/>
      <c r="DG55" s="906"/>
      <c r="DH55" s="906"/>
      <c r="DI55" s="906"/>
      <c r="DJ55" s="906">
        <f>VLOOKUP(WWWW[[#This Row],[Site Name]],SiteDB6[[Site Name]:[Pop
(CCCM as of Autust 2021)]],16,FALSE)</f>
        <v>400</v>
      </c>
      <c r="DK55" s="906">
        <f>VLOOKUP(WWWW[[#This Row],[Site Name]],SiteDB6[[Site Name]:[Pop
(CCCM as of Autust 2021)]],17,FALSE)</f>
        <v>2228</v>
      </c>
    </row>
    <row r="56" spans="1:115">
      <c r="A56" s="896" t="s">
        <v>3145</v>
      </c>
      <c r="B56" s="896" t="s">
        <v>2256</v>
      </c>
      <c r="C56" s="897" t="s">
        <v>2256</v>
      </c>
      <c r="D56" s="897" t="s">
        <v>230</v>
      </c>
      <c r="E56" s="845" t="s">
        <v>293</v>
      </c>
      <c r="F56" s="897" t="s">
        <v>356</v>
      </c>
      <c r="G56" s="898" t="s">
        <v>43</v>
      </c>
      <c r="H56" s="897" t="s">
        <v>367</v>
      </c>
      <c r="I56" s="899">
        <v>386</v>
      </c>
      <c r="J56" s="899">
        <v>1086</v>
      </c>
      <c r="K56" s="684">
        <f>WWWW[[#This Row],[Total PoP ]]/WWWW[[#This Row],[Total HH]]</f>
        <v>2.8134715025906734</v>
      </c>
      <c r="L56" s="907">
        <v>44791</v>
      </c>
      <c r="M56" s="908">
        <v>45094</v>
      </c>
      <c r="N56" s="500">
        <v>196</v>
      </c>
      <c r="O56" s="500"/>
      <c r="P56" s="500"/>
      <c r="Q56" s="500">
        <v>14</v>
      </c>
      <c r="R56" s="500">
        <v>19</v>
      </c>
      <c r="S56" s="500"/>
      <c r="T56" s="500"/>
      <c r="U56" s="500">
        <v>80</v>
      </c>
      <c r="V56" s="450">
        <v>0.67</v>
      </c>
      <c r="W56" s="500">
        <v>56</v>
      </c>
      <c r="X56" s="450">
        <v>0.91</v>
      </c>
      <c r="Y56" s="500"/>
      <c r="Z56" s="500">
        <v>209</v>
      </c>
      <c r="AA56" s="500"/>
      <c r="AB56" s="909"/>
      <c r="AC56" s="500">
        <v>54</v>
      </c>
      <c r="AD56" s="500">
        <v>94</v>
      </c>
      <c r="AE56" s="500">
        <v>7</v>
      </c>
      <c r="AF56" s="500">
        <v>94</v>
      </c>
      <c r="AG56" s="450">
        <v>1</v>
      </c>
      <c r="AH56" s="450">
        <v>1</v>
      </c>
      <c r="AI56" s="450">
        <v>1</v>
      </c>
      <c r="AJ56" s="500"/>
      <c r="AK56" s="500">
        <v>22</v>
      </c>
      <c r="AL56" s="500">
        <v>8</v>
      </c>
      <c r="AM56" s="500"/>
      <c r="AN56" s="500" t="s">
        <v>41</v>
      </c>
      <c r="AO56" s="538"/>
      <c r="AP56" s="500">
        <v>60</v>
      </c>
      <c r="AQ56" s="500">
        <v>193</v>
      </c>
      <c r="AR56" s="500">
        <v>17</v>
      </c>
      <c r="AS56" s="500">
        <v>38</v>
      </c>
      <c r="AT56" s="500">
        <v>386</v>
      </c>
      <c r="AU56" s="500"/>
      <c r="AV56" s="450">
        <v>0</v>
      </c>
      <c r="AW56" s="450">
        <v>0.98</v>
      </c>
      <c r="AX56" s="451">
        <v>8</v>
      </c>
      <c r="AY56" s="910" t="s">
        <v>3209</v>
      </c>
      <c r="AZ56" s="450">
        <v>0.95</v>
      </c>
      <c r="BA56" s="450">
        <v>0.95</v>
      </c>
      <c r="BB56" s="450"/>
      <c r="BC56" s="450">
        <v>0</v>
      </c>
      <c r="BD56" s="500"/>
      <c r="BE56" s="500"/>
      <c r="BF56" s="500"/>
      <c r="BG56" s="500"/>
      <c r="BH56" s="500"/>
      <c r="BI56" s="500"/>
      <c r="BJ56" s="500"/>
      <c r="BK56" s="500"/>
      <c r="BL56" s="901" t="str">
        <f>IF(WWWW[[#This Row],['#_Water samples_Tested_at_water_source]]="","no test","Tested")</f>
        <v>Tested</v>
      </c>
      <c r="BM56" s="901" t="str">
        <f>IF(WWWW[[#This Row],['#_Water samples_Tested_at_HH]]="","no test","Tested")</f>
        <v>Tested</v>
      </c>
      <c r="BN56" s="902" t="str">
        <f>IF(AND(WWWW[[#This Row],[Water_testing_at source]]="no test",WWWW[[#This Row],[Water_testing_at HH]]="no test"),"No Test","Tested")</f>
        <v>Tested</v>
      </c>
      <c r="BO56"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6" s="903">
        <f>WWWW[[#This Row],[% HRP1]]*WWWW[[#This Row],[Total PoP ]]</f>
        <v>1086</v>
      </c>
      <c r="BQ56" s="904">
        <f>WWWW[[#This Row],[HRP1]]/500</f>
        <v>2.1720000000000002</v>
      </c>
      <c r="BR56" s="905">
        <f>1-WWWW[[#This Row],[% HRP1]]</f>
        <v>0</v>
      </c>
      <c r="BS56" s="904">
        <f>WWWW[[#This Row],[%equitable and continuous access to sufficient quantity of safe drinking and domestic water''s GAP]]*WWWW[[#This Row],[Total PoP ]]</f>
        <v>0</v>
      </c>
      <c r="BT56" s="451">
        <f>ROUND(IF(WWWW[[#This Row],[Total PoP ]]&lt;500,1,WWWW[[#This Row],[Total PoP ]]/500),0)</f>
        <v>2</v>
      </c>
      <c r="BU56" s="902">
        <f>IF(WWWW[[#This Row],[Total required water points]]-WWWW[[#This Row],['#Water points coverage]]&lt;0,0,WWWW[[#This Row],[Total required water points]]-WWWW[[#This Row],['#Water points coverage]])</f>
        <v>0</v>
      </c>
      <c r="BV56" s="452">
        <f>WWWW[[#This Row],[HRP2]]/WWWW[[#This Row],[Total PoP ]]</f>
        <v>1</v>
      </c>
      <c r="BW56"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BX56" s="455">
        <f>IF(WWWW[[#This Row],['#_Functional_adult_latrines]]="","",WWWW[[#This Row],[Total PoP ]]/WWWW[[#This Row],['#_Functional_adult_latrines]])</f>
        <v>20.111111111111111</v>
      </c>
      <c r="BY56" s="902">
        <f>WWWW[[#This Row],['#_of_latrines_in_TLS/CFS]]*50</f>
        <v>400</v>
      </c>
      <c r="BZ56" s="451">
        <f>IF(WWWW[[#This Row],['#_of_latrines_in_THF]]="",0,WWWW[[#This Row],['#_of_latrines_in_THF]]*50)</f>
        <v>0</v>
      </c>
      <c r="CA56" s="902">
        <f>ROUND(IF(WWWW[[#This Row],[Location Type 1]]="camp",WWWW[[#This Row],[Total PoP ]]/20),0)</f>
        <v>54</v>
      </c>
      <c r="CB56" s="902">
        <f>IF(WWWW[[#This Row],[Total required Latrines]]-WWWW[[#This Row],['#_Existing_latrines]]&lt;0,0,WWWW[[#This Row],[Total required Latrines]]-WWWW[[#This Row],['#_Existing_latrines]])</f>
        <v>0</v>
      </c>
      <c r="CC56" s="905">
        <f>1-WWWW[[#This Row],[% HRP2]]</f>
        <v>0</v>
      </c>
      <c r="CD56" s="901">
        <f>IF(WWWW[[#This Row],['#_Existing_latrines]]="","NA",(WWWW[[#This Row],['#_Existing_latrines]]-WWWW[[#This Row],['#_Functional_adult_latrines]])/WWWW[[#This Row],['#_Existing_latrines]])</f>
        <v>0.42553191489361702</v>
      </c>
      <c r="CE56"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308</v>
      </c>
      <c r="CF56" s="904">
        <f>SUM(WWWW[[#This Row],[_'#_of_Men_receiving_consultation_hygiene_promotion_messages_and_sessions]:[_'#_of_Girls_receiving_consultation_hygiene_promotion_messages_and_sessions]])-WWWW[[#This Row],['# people reached by regular dedicated hygiene promotion_5]]</f>
        <v>0</v>
      </c>
      <c r="CG56"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H56" s="902">
        <f>IF(WWWW[[#This Row],['#_of_affected_women_and_girls_receiving_a_sufficient_quantity_of_sanitary_pads]]&gt;WWWW[[#This Row],[Total PoP ]],WWWW[[#This Row],[Total PoP ]],WWWW[[#This Row],['#_of_affected_women_and_girls_receiving_a_sufficient_quantity_of_sanitary_pads]])</f>
        <v>0</v>
      </c>
      <c r="CI56" s="902">
        <f>IF(WWWW[[#This Row],['# People with access to soap]]&gt;WWWW[[#This Row],['# People with access to Sanity Pads]],WWWW[[#This Row],['# People with access to soap]],WWWW[[#This Row],['# People with access to Sanity Pads]])</f>
        <v>1086</v>
      </c>
      <c r="CJ56" s="902">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K56" s="905">
        <f>IF(WWWW[[#This Row],[HRP3]]/WWWW[[#This Row],[Total PoP ]]&gt;100%,100%,WWWW[[#This Row],[HRP3]]/WWWW[[#This Row],[Total PoP ]])</f>
        <v>1</v>
      </c>
      <c r="CL56" s="901">
        <f>1-WWWW[[#This Row],[Hygiene Coverage%]]</f>
        <v>0</v>
      </c>
      <c r="CM56" s="900">
        <f>WWWW[[#This Row],['# people reached by regular dedicated hygiene promotion_5]]/WWWW[[#This Row],[Total PoP ]]</f>
        <v>0.28360957642725598</v>
      </c>
      <c r="CN56" s="901">
        <f>IF(WWWW[[#This Row],['#_of_affected_households_receiving_a_sufficient_quantity_of_soap]]/WWWW[[#This Row],[Total HH]]&gt;1,1,WWWW[[#This Row],['#_of_affected_households_receiving_a_sufficient_quantity_of_soap]]/WWWW[[#This Row],[Total HH]])</f>
        <v>1</v>
      </c>
      <c r="CO56" s="455" t="str">
        <f>IF(WWWW[[#This Row],['#_students at TLS_CFS]]="","No","Yes")</f>
        <v>Yes</v>
      </c>
      <c r="CP56" s="452">
        <f>WWWW[[#This Row],[%_of_affected_people_surveyed_who_report_feeling_informed_about_the_different_WASH_services_available_to_them]]</f>
        <v>0</v>
      </c>
      <c r="CQ5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56" s="500">
        <f>IF(WWWW[[#This Row],['#_PPL_accessed_water_in_TLS]]&gt;WWWW[[#This Row],['# students access to functioning school latrines_HRP5]],WWWW[[#This Row],['#_PPL_accessed_water_in_TLS]],WWWW[[#This Row],['# students access to functioning school latrines_HRP5]])</f>
        <v>400</v>
      </c>
      <c r="CS56" s="500">
        <f>IF(WWWW[[#This Row],['#_PPL_accessed_water_in_THF]]&gt;WWWW[[#This Row],['# people access to functioning latrines in THF_HRP6]],WWWW[[#This Row],['#_PPL_accessed_water_in_THF]],WWWW[[#This Row],['# people access to functioning latrines in THF_HRP6]])</f>
        <v>0</v>
      </c>
      <c r="CT56" s="898" t="str">
        <f>VLOOKUP(WWWW[[#This Row],[Site Name]],SiteDB6[[Site Name]:[CCCM Management]],6,FALSE)</f>
        <v>Yes</v>
      </c>
      <c r="CU56" s="898" t="str">
        <f>VLOOKUP(WWWW[[#This Row],[Site Name]],SiteDB6[[Site Name]:[CCCM Focal Agency]],7,FALSE)</f>
        <v>UNHCR</v>
      </c>
      <c r="CV56" s="898" t="str">
        <f>VLOOKUP(WWWW[[#This Row],[Site Name]],SiteDB6[[Site Name]:[Location Type 1]],9,FALSE)</f>
        <v>Camp</v>
      </c>
      <c r="CW56" s="898" t="str">
        <f>VLOOKUP(WWWW[[#This Row],[Site Name]],SiteDB6[[Site Name]:[Type of Accommodation]],10,FALSE)</f>
        <v>Planned Camp</v>
      </c>
      <c r="CX56" s="898" t="str">
        <f>VLOOKUP(WWWW[[#This Row],[Site Name]],SiteDB6[[Site Name]:[Ethnic or GCA/NGCA]],11,FALSE)</f>
        <v>Muslim</v>
      </c>
      <c r="CY56" s="898">
        <f>VLOOKUP(WWWW[[#This Row],[Site Name]],SiteDB6[[Site Name]:[Lat]],12,FALSE)</f>
        <v>19.424576999999999</v>
      </c>
      <c r="CZ56" s="898">
        <f>VLOOKUP(WWWW[[#This Row],[Site Name]],SiteDB6[[Site Name]:[Long]],13,FALSE)</f>
        <v>93.512326000000002</v>
      </c>
      <c r="DA56" s="898" t="str">
        <f>VLOOKUP(WWWW[[#This Row],[Site Name]],SiteDB6[[Site Name]:[Pcode]],3,FALSE)</f>
        <v>MMR012CMP035</v>
      </c>
      <c r="DB56" s="906" t="str">
        <f t="shared" si="2"/>
        <v>Covered</v>
      </c>
      <c r="DC56" s="477">
        <f>VLOOKUP(WWWW[[#This Row],[Site Name]],SiteDB6[[Site Name]:[PWD_Total]],22,FALSE)</f>
        <v>0</v>
      </c>
      <c r="DD56" s="477">
        <f>VLOOKUP(WWWW[[#This Row],[Site Name]],SiteDB6[[Site Name]:[PWD_Total]],23,FALSE)</f>
        <v>0</v>
      </c>
      <c r="DE56" s="477">
        <f>WWWW[[#This Row],['# of Male_People with disabilities]]+WWWW[[#This Row],['# of Female_People with disabilities]]</f>
        <v>0</v>
      </c>
      <c r="DF56" s="898"/>
      <c r="DG56" s="906"/>
      <c r="DH56" s="906"/>
      <c r="DI56" s="906"/>
      <c r="DJ56" s="906">
        <f>VLOOKUP(WWWW[[#This Row],[Site Name]],SiteDB6[[Site Name]:[Pop
(CCCM as of Autust 2021)]],16,FALSE)</f>
        <v>334</v>
      </c>
      <c r="DK56" s="906">
        <f>VLOOKUP(WWWW[[#This Row],[Site Name]],SiteDB6[[Site Name]:[Pop
(CCCM as of Autust 2021)]],17,FALSE)</f>
        <v>1001</v>
      </c>
    </row>
    <row r="57" spans="1:115">
      <c r="A57" s="896" t="s">
        <v>3145</v>
      </c>
      <c r="B57" s="896" t="s">
        <v>265</v>
      </c>
      <c r="C57" s="897" t="s">
        <v>265</v>
      </c>
      <c r="D57" s="897" t="s">
        <v>2952</v>
      </c>
      <c r="E57" s="845" t="s">
        <v>293</v>
      </c>
      <c r="F57" s="897" t="s">
        <v>401</v>
      </c>
      <c r="G57" s="898" t="s">
        <v>43</v>
      </c>
      <c r="H57" s="897" t="s">
        <v>409</v>
      </c>
      <c r="I57" s="899">
        <v>1389</v>
      </c>
      <c r="J57" s="899">
        <v>6680</v>
      </c>
      <c r="K57" s="684">
        <f>WWWW[[#This Row],[Total PoP ]]/WWWW[[#This Row],[Total HH]]</f>
        <v>4.8092152627789773</v>
      </c>
      <c r="L57" s="907" t="s">
        <v>3201</v>
      </c>
      <c r="M57" s="908" t="s">
        <v>3202</v>
      </c>
      <c r="N57" s="500"/>
      <c r="O57" s="500"/>
      <c r="P57" s="500"/>
      <c r="Q57" s="500">
        <v>36</v>
      </c>
      <c r="R57" s="500">
        <v>36</v>
      </c>
      <c r="S57" s="500"/>
      <c r="T57" s="500">
        <v>6680</v>
      </c>
      <c r="U57" s="500"/>
      <c r="V57" s="500"/>
      <c r="W57" s="500">
        <v>5</v>
      </c>
      <c r="X57" s="450">
        <v>1</v>
      </c>
      <c r="Y57" s="500"/>
      <c r="Z57" s="500"/>
      <c r="AA57" s="500"/>
      <c r="AB57" s="909" t="s">
        <v>3203</v>
      </c>
      <c r="AC57" s="500">
        <v>230</v>
      </c>
      <c r="AD57" s="500">
        <v>238</v>
      </c>
      <c r="AE57" s="500">
        <v>176</v>
      </c>
      <c r="AF57" s="500">
        <v>238</v>
      </c>
      <c r="AG57" s="450">
        <v>0.99</v>
      </c>
      <c r="AH57" s="450">
        <v>0.99</v>
      </c>
      <c r="AI57" s="450">
        <v>0.99</v>
      </c>
      <c r="AJ57" s="500">
        <v>18</v>
      </c>
      <c r="AK57" s="500">
        <v>114</v>
      </c>
      <c r="AL57" s="500"/>
      <c r="AM57" s="500"/>
      <c r="AN57" s="500" t="s">
        <v>41</v>
      </c>
      <c r="AO57" s="538" t="s">
        <v>3204</v>
      </c>
      <c r="AP57" s="500">
        <v>1376</v>
      </c>
      <c r="AQ57" s="500">
        <v>1499</v>
      </c>
      <c r="AR57" s="500">
        <v>1070</v>
      </c>
      <c r="AS57" s="500">
        <v>1009</v>
      </c>
      <c r="AT57" s="500">
        <v>1389</v>
      </c>
      <c r="AU57" s="500">
        <v>1763</v>
      </c>
      <c r="AV57" s="450">
        <v>0.24</v>
      </c>
      <c r="AW57" s="450">
        <v>0.38</v>
      </c>
      <c r="AX57" s="451">
        <v>2</v>
      </c>
      <c r="AY57" s="910"/>
      <c r="AZ57" s="450">
        <v>1</v>
      </c>
      <c r="BA57" s="450"/>
      <c r="BB57" s="450">
        <v>0.95</v>
      </c>
      <c r="BC57" s="450">
        <v>1</v>
      </c>
      <c r="BD57" s="450">
        <v>0.01</v>
      </c>
      <c r="BE57" s="500">
        <v>176</v>
      </c>
      <c r="BF57" s="500">
        <f t="shared" ref="BF57" si="3">202+895</f>
        <v>1097</v>
      </c>
      <c r="BG57" s="500"/>
      <c r="BH57" s="500"/>
      <c r="BI57" s="500"/>
      <c r="BJ57" s="500"/>
      <c r="BK57" s="500"/>
      <c r="BL57" s="901" t="str">
        <f>IF(WWWW[[#This Row],['#_Water samples_Tested_at_water_source]]="","no test","Tested")</f>
        <v>no test</v>
      </c>
      <c r="BM57" s="901" t="str">
        <f>IF(WWWW[[#This Row],['#_Water samples_Tested_at_HH]]="","no test","Tested")</f>
        <v>Tested</v>
      </c>
      <c r="BN57" s="902" t="str">
        <f>IF(AND(WWWW[[#This Row],[Water_testing_at source]]="no test",WWWW[[#This Row],[Water_testing_at HH]]="no test"),"No Test","Tested")</f>
        <v>Tested</v>
      </c>
      <c r="BO57"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7" s="903">
        <f>WWWW[[#This Row],[% HRP1]]*WWWW[[#This Row],[Total PoP ]]</f>
        <v>6680</v>
      </c>
      <c r="BQ57" s="904">
        <f>WWWW[[#This Row],[HRP1]]/500</f>
        <v>13.36</v>
      </c>
      <c r="BR57" s="905">
        <f>1-WWWW[[#This Row],[% HRP1]]</f>
        <v>0</v>
      </c>
      <c r="BS57" s="904">
        <f>WWWW[[#This Row],[%equitable and continuous access to sufficient quantity of safe drinking and domestic water''s GAP]]*WWWW[[#This Row],[Total PoP ]]</f>
        <v>0</v>
      </c>
      <c r="BT57" s="451">
        <f>ROUND(IF(WWWW[[#This Row],[Total PoP ]]&lt;500,1,WWWW[[#This Row],[Total PoP ]]/500),0)</f>
        <v>13</v>
      </c>
      <c r="BU57" s="902">
        <f>IF(WWWW[[#This Row],[Total required water points]]-WWWW[[#This Row],['#Water points coverage]]&lt;0,0,WWWW[[#This Row],[Total required water points]]-WWWW[[#This Row],['#Water points coverage]])</f>
        <v>0</v>
      </c>
      <c r="BV57" s="452">
        <f>WWWW[[#This Row],[HRP2]]/WWWW[[#This Row],[Total PoP ]]</f>
        <v>0.75958083832335332</v>
      </c>
      <c r="BW57"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57" s="455">
        <f>IF(WWWW[[#This Row],['#_Functional_adult_latrines]]="","",WWWW[[#This Row],[Total PoP ]]/WWWW[[#This Row],['#_Functional_adult_latrines]])</f>
        <v>29.043478260869566</v>
      </c>
      <c r="BY57" s="902">
        <f>WWWW[[#This Row],['#_of_latrines_in_TLS/CFS]]*50</f>
        <v>0</v>
      </c>
      <c r="BZ57" s="451">
        <f>IF(WWWW[[#This Row],['#_of_latrines_in_THF]]="",0,WWWW[[#This Row],['#_of_latrines_in_THF]]*50)</f>
        <v>0</v>
      </c>
      <c r="CA57" s="902">
        <f>ROUND(IF(WWWW[[#This Row],[Location Type 1]]="camp",WWWW[[#This Row],[Total PoP ]]/20),0)</f>
        <v>334</v>
      </c>
      <c r="CB57" s="902">
        <f>IF(WWWW[[#This Row],[Total required Latrines]]-WWWW[[#This Row],['#_Existing_latrines]]&lt;0,0,WWWW[[#This Row],[Total required Latrines]]-WWWW[[#This Row],['#_Existing_latrines]])</f>
        <v>96</v>
      </c>
      <c r="CC57" s="905">
        <f>1-WWWW[[#This Row],[% HRP2]]</f>
        <v>0.24041916167664668</v>
      </c>
      <c r="CD57" s="901">
        <f>IF(WWWW[[#This Row],['#_Existing_latrines]]="","NA",(WWWW[[#This Row],['#_Existing_latrines]]-WWWW[[#This Row],['#_Functional_adult_latrines]])/WWWW[[#This Row],['#_Existing_latrines]])</f>
        <v>3.3613445378151259E-2</v>
      </c>
      <c r="CE57"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F57" s="904">
        <f>SUM(WWWW[[#This Row],[_'#_of_Men_receiving_consultation_hygiene_promotion_messages_and_sessions]:[_'#_of_Girls_receiving_consultation_hygiene_promotion_messages_and_sessions]])-WWWW[[#This Row],['# people reached by regular dedicated hygiene promotion_5]]</f>
        <v>0</v>
      </c>
      <c r="CG57"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H57" s="902">
        <f>IF(WWWW[[#This Row],['#_of_affected_women_and_girls_receiving_a_sufficient_quantity_of_sanitary_pads]]&gt;WWWW[[#This Row],[Total PoP ]],WWWW[[#This Row],[Total PoP ]],WWWW[[#This Row],['#_of_affected_women_and_girls_receiving_a_sufficient_quantity_of_sanitary_pads]])</f>
        <v>1763</v>
      </c>
      <c r="CI57" s="902">
        <f>IF(WWWW[[#This Row],['# People with access to soap]]&gt;WWWW[[#This Row],['# People with access to Sanity Pads]],WWWW[[#This Row],['# People with access to soap]],WWWW[[#This Row],['# People with access to Sanity Pads]])</f>
        <v>6680</v>
      </c>
      <c r="CJ57" s="902">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K57" s="905">
        <f>IF(WWWW[[#This Row],[HRP3]]/WWWW[[#This Row],[Total PoP ]]&gt;100%,100%,WWWW[[#This Row],[HRP3]]/WWWW[[#This Row],[Total PoP ]])</f>
        <v>1</v>
      </c>
      <c r="CL57" s="901">
        <f>1-WWWW[[#This Row],[Hygiene Coverage%]]</f>
        <v>0</v>
      </c>
      <c r="CM57" s="900">
        <f>WWWW[[#This Row],['# people reached by regular dedicated hygiene promotion_5]]/WWWW[[#This Row],[Total PoP ]]</f>
        <v>0.74161676646706587</v>
      </c>
      <c r="CN57" s="901">
        <f>IF(WWWW[[#This Row],['#_of_affected_households_receiving_a_sufficient_quantity_of_soap]]/WWWW[[#This Row],[Total HH]]&gt;1,1,WWWW[[#This Row],['#_of_affected_households_receiving_a_sufficient_quantity_of_soap]]/WWWW[[#This Row],[Total HH]])</f>
        <v>1</v>
      </c>
      <c r="CO57" s="455" t="str">
        <f>IF(WWWW[[#This Row],['#_students at TLS_CFS]]="","No","Yes")</f>
        <v>No</v>
      </c>
      <c r="CP57" s="452">
        <f>WWWW[[#This Row],[%_of_affected_people_surveyed_who_report_feeling_informed_about_the_different_WASH_services_available_to_them]]</f>
        <v>0.95</v>
      </c>
      <c r="CQ5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1273</v>
      </c>
      <c r="CR57" s="500">
        <f>IF(WWWW[[#This Row],['#_PPL_accessed_water_in_TLS]]&gt;WWWW[[#This Row],['# students access to functioning school latrines_HRP5]],WWWW[[#This Row],['#_PPL_accessed_water_in_TLS]],WWWW[[#This Row],['# students access to functioning school latrines_HRP5]])</f>
        <v>0</v>
      </c>
      <c r="CS57" s="500">
        <f>IF(WWWW[[#This Row],['#_PPL_accessed_water_in_THF]]&gt;WWWW[[#This Row],['# people access to functioning latrines in THF_HRP6]],WWWW[[#This Row],['#_PPL_accessed_water_in_THF]],WWWW[[#This Row],['# people access to functioning latrines in THF_HRP6]])</f>
        <v>0</v>
      </c>
      <c r="CT57" s="898" t="str">
        <f>VLOOKUP(WWWW[[#This Row],[Site Name]],SiteDB6[[Site Name]:[CCCM Management]],6,FALSE)</f>
        <v>Yes</v>
      </c>
      <c r="CU57" s="898" t="str">
        <f>VLOOKUP(WWWW[[#This Row],[Site Name]],SiteDB6[[Site Name]:[CCCM Focal Agency]],7,FALSE)</f>
        <v>DRC</v>
      </c>
      <c r="CV57" s="898" t="str">
        <f>VLOOKUP(WWWW[[#This Row],[Site Name]],SiteDB6[[Site Name]:[Location Type 1]],9,FALSE)</f>
        <v>Camp</v>
      </c>
      <c r="CW57" s="898" t="str">
        <f>VLOOKUP(WWWW[[#This Row],[Site Name]],SiteDB6[[Site Name]:[Type of Accommodation]],10,FALSE)</f>
        <v>Planned Camp</v>
      </c>
      <c r="CX57" s="898" t="str">
        <f>VLOOKUP(WWWW[[#This Row],[Site Name]],SiteDB6[[Site Name]:[Ethnic or GCA/NGCA]],11,FALSE)</f>
        <v>Muslim</v>
      </c>
      <c r="CY57" s="898">
        <f>VLOOKUP(WWWW[[#This Row],[Site Name]],SiteDB6[[Site Name]:[Lat]],12,FALSE)</f>
        <v>20.090183</v>
      </c>
      <c r="CZ57" s="898">
        <f>VLOOKUP(WWWW[[#This Row],[Site Name]],SiteDB6[[Site Name]:[Long]],13,FALSE)</f>
        <v>93.010368999999997</v>
      </c>
      <c r="DA57" s="898" t="str">
        <f>VLOOKUP(WWWW[[#This Row],[Site Name]],SiteDB6[[Site Name]:[Pcode]],3,FALSE)</f>
        <v>MMR012CMP018</v>
      </c>
      <c r="DB57" s="906" t="str">
        <f t="shared" si="2"/>
        <v>Covered</v>
      </c>
      <c r="DC57" s="477">
        <f>VLOOKUP(WWWW[[#This Row],[Site Name]],SiteDB6[[Site Name]:[PWD_Total]],22,FALSE)</f>
        <v>95</v>
      </c>
      <c r="DD57" s="477">
        <f>VLOOKUP(WWWW[[#This Row],[Site Name]],SiteDB6[[Site Name]:[PWD_Total]],23,FALSE)</f>
        <v>1102</v>
      </c>
      <c r="DE57" s="477">
        <f>WWWW[[#This Row],['# of Male_People with disabilities]]+WWWW[[#This Row],['# of Female_People with disabilities]]</f>
        <v>1197</v>
      </c>
      <c r="DF57" s="898"/>
      <c r="DG57" s="906"/>
      <c r="DH57" s="906"/>
      <c r="DI57" s="906"/>
      <c r="DJ57" s="906">
        <f>VLOOKUP(WWWW[[#This Row],[Site Name]],SiteDB6[[Site Name]:[Pop
(CCCM as of Autust 2021)]],16,FALSE)</f>
        <v>1387</v>
      </c>
      <c r="DK57" s="906">
        <f>VLOOKUP(WWWW[[#This Row],[Site Name]],SiteDB6[[Site Name]:[Pop
(CCCM as of Autust 2021)]],17,FALSE)</f>
        <v>6674</v>
      </c>
    </row>
    <row r="58" spans="1:115">
      <c r="A58" s="896" t="s">
        <v>3145</v>
      </c>
      <c r="B58" s="896" t="s">
        <v>2620</v>
      </c>
      <c r="C58" s="897" t="s">
        <v>2269</v>
      </c>
      <c r="D58" s="897" t="s">
        <v>3184</v>
      </c>
      <c r="E58" s="845" t="s">
        <v>293</v>
      </c>
      <c r="F58" s="897" t="s">
        <v>294</v>
      </c>
      <c r="G58" s="898" t="s">
        <v>43</v>
      </c>
      <c r="H58" s="897" t="s">
        <v>430</v>
      </c>
      <c r="I58" s="899">
        <v>656</v>
      </c>
      <c r="J58" s="899">
        <v>3486</v>
      </c>
      <c r="K58" s="684">
        <f>WWWW[[#This Row],[Total PoP ]]/WWWW[[#This Row],[Total HH]]</f>
        <v>5.3140243902439028</v>
      </c>
      <c r="L58" s="907">
        <v>44652</v>
      </c>
      <c r="M58" s="908">
        <v>44834</v>
      </c>
      <c r="N58" s="500">
        <v>537</v>
      </c>
      <c r="O58" s="500">
        <v>32</v>
      </c>
      <c r="P58" s="500">
        <v>36</v>
      </c>
      <c r="Q58" s="500"/>
      <c r="R58" s="500"/>
      <c r="S58" s="500"/>
      <c r="T58" s="500"/>
      <c r="U58" s="500">
        <v>44</v>
      </c>
      <c r="V58" s="450">
        <v>0.56799999999999995</v>
      </c>
      <c r="W58" s="500">
        <v>85</v>
      </c>
      <c r="X58" s="450">
        <v>0.188</v>
      </c>
      <c r="Y58" s="500"/>
      <c r="Z58" s="500"/>
      <c r="AA58" s="500"/>
      <c r="AB58" s="909"/>
      <c r="AC58" s="500">
        <v>176</v>
      </c>
      <c r="AD58" s="500">
        <v>205</v>
      </c>
      <c r="AE58" s="500">
        <v>174</v>
      </c>
      <c r="AF58" s="500">
        <v>92</v>
      </c>
      <c r="AG58" s="450">
        <v>1</v>
      </c>
      <c r="AH58" s="450">
        <v>0.94</v>
      </c>
      <c r="AI58" s="450">
        <v>0.18</v>
      </c>
      <c r="AJ58" s="500">
        <v>4</v>
      </c>
      <c r="AK58" s="500">
        <v>42</v>
      </c>
      <c r="AL58" s="500">
        <v>3</v>
      </c>
      <c r="AM58" s="500"/>
      <c r="AN58" s="500" t="s">
        <v>41</v>
      </c>
      <c r="AO58" s="538" t="s">
        <v>3207</v>
      </c>
      <c r="AP58" s="500">
        <v>65</v>
      </c>
      <c r="AQ58" s="500">
        <v>345</v>
      </c>
      <c r="AR58" s="500">
        <v>338</v>
      </c>
      <c r="AS58" s="500">
        <v>371</v>
      </c>
      <c r="AT58" s="500">
        <v>656</v>
      </c>
      <c r="AU58" s="500">
        <v>1239</v>
      </c>
      <c r="AV58" s="450">
        <v>1</v>
      </c>
      <c r="AW58" s="450">
        <v>1</v>
      </c>
      <c r="AX58" s="451"/>
      <c r="AY58" s="910" t="s">
        <v>3208</v>
      </c>
      <c r="AZ58" s="450">
        <v>0.94</v>
      </c>
      <c r="BA58" s="450">
        <v>1</v>
      </c>
      <c r="BB58" s="450">
        <v>1</v>
      </c>
      <c r="BC58" s="450">
        <v>1</v>
      </c>
      <c r="BD58" s="450"/>
      <c r="BE58" s="500">
        <v>174</v>
      </c>
      <c r="BF58" s="500"/>
      <c r="BG58" s="500"/>
      <c r="BH58" s="500"/>
      <c r="BI58" s="500"/>
      <c r="BJ58" s="500"/>
      <c r="BK58" s="500"/>
      <c r="BL58" s="901" t="str">
        <f>IF(WWWW[[#This Row],['#_Water samples_Tested_at_water_source]]="","no test","Tested")</f>
        <v>Tested</v>
      </c>
      <c r="BM58" s="901" t="str">
        <f>IF(WWWW[[#This Row],['#_Water samples_Tested_at_HH]]="","no test","Tested")</f>
        <v>Tested</v>
      </c>
      <c r="BN58" s="902" t="str">
        <f>IF(AND(WWWW[[#This Row],[Water_testing_at source]]="no test",WWWW[[#This Row],[Water_testing_at HH]]="no test"),"No Test","Tested")</f>
        <v>Tested</v>
      </c>
      <c r="BO58"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8" s="903">
        <f>WWWW[[#This Row],[% HRP1]]*WWWW[[#This Row],[Total PoP ]]</f>
        <v>3486</v>
      </c>
      <c r="BQ58" s="904">
        <f>WWWW[[#This Row],[HRP1]]/500</f>
        <v>6.9720000000000004</v>
      </c>
      <c r="BR58" s="905">
        <f>1-WWWW[[#This Row],[% HRP1]]</f>
        <v>0</v>
      </c>
      <c r="BS58" s="904">
        <f>WWWW[[#This Row],[%equitable and continuous access to sufficient quantity of safe drinking and domestic water''s GAP]]*WWWW[[#This Row],[Total PoP ]]</f>
        <v>0</v>
      </c>
      <c r="BT58" s="451">
        <f>ROUND(IF(WWWW[[#This Row],[Total PoP ]]&lt;500,1,WWWW[[#This Row],[Total PoP ]]/500),0)</f>
        <v>7</v>
      </c>
      <c r="BU58" s="902">
        <f>IF(WWWW[[#This Row],[Total required water points]]-WWWW[[#This Row],['#Water points coverage]]&lt;0,0,WWWW[[#This Row],[Total required water points]]-WWWW[[#This Row],['#Water points coverage]])</f>
        <v>2.7999999999999581E-2</v>
      </c>
      <c r="BV58" s="452">
        <f>WWWW[[#This Row],[HRP2]]/WWWW[[#This Row],[Total PoP ]]</f>
        <v>1</v>
      </c>
      <c r="BW58"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58" s="455">
        <f>IF(WWWW[[#This Row],['#_Functional_adult_latrines]]="","",WWWW[[#This Row],[Total PoP ]]/WWWW[[#This Row],['#_Functional_adult_latrines]])</f>
        <v>19.806818181818183</v>
      </c>
      <c r="BY58" s="902">
        <f>WWWW[[#This Row],['#_of_latrines_in_TLS/CFS]]*50</f>
        <v>150</v>
      </c>
      <c r="BZ58" s="451">
        <f>IF(WWWW[[#This Row],['#_of_latrines_in_THF]]="",0,WWWW[[#This Row],['#_of_latrines_in_THF]]*50)</f>
        <v>0</v>
      </c>
      <c r="CA58" s="902">
        <f>ROUND(IF(WWWW[[#This Row],[Location Type 1]]="camp",WWWW[[#This Row],[Total PoP ]]/20),0)</f>
        <v>174</v>
      </c>
      <c r="CB58" s="902">
        <f>IF(WWWW[[#This Row],[Total required Latrines]]-WWWW[[#This Row],['#_Existing_latrines]]&lt;0,0,WWWW[[#This Row],[Total required Latrines]]-WWWW[[#This Row],['#_Existing_latrines]])</f>
        <v>0</v>
      </c>
      <c r="CC58" s="905">
        <f>1-WWWW[[#This Row],[% HRP2]]</f>
        <v>0</v>
      </c>
      <c r="CD58" s="901">
        <f>IF(WWWW[[#This Row],['#_Existing_latrines]]="","NA",(WWWW[[#This Row],['#_Existing_latrines]]-WWWW[[#This Row],['#_Functional_adult_latrines]])/WWWW[[#This Row],['#_Existing_latrines]])</f>
        <v>0.14146341463414633</v>
      </c>
      <c r="CE58"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1119</v>
      </c>
      <c r="CF58" s="904">
        <f>SUM(WWWW[[#This Row],[_'#_of_Men_receiving_consultation_hygiene_promotion_messages_and_sessions]:[_'#_of_Girls_receiving_consultation_hygiene_promotion_messages_and_sessions]])-WWWW[[#This Row],['# people reached by regular dedicated hygiene promotion_5]]</f>
        <v>0</v>
      </c>
      <c r="CG58"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H58" s="902">
        <f>IF(WWWW[[#This Row],['#_of_affected_women_and_girls_receiving_a_sufficient_quantity_of_sanitary_pads]]&gt;WWWW[[#This Row],[Total PoP ]],WWWW[[#This Row],[Total PoP ]],WWWW[[#This Row],['#_of_affected_women_and_girls_receiving_a_sufficient_quantity_of_sanitary_pads]])</f>
        <v>1239</v>
      </c>
      <c r="CI58" s="902">
        <f>IF(WWWW[[#This Row],['# People with access to soap]]&gt;WWWW[[#This Row],['# People with access to Sanity Pads]],WWWW[[#This Row],['# People with access to soap]],WWWW[[#This Row],['# People with access to Sanity Pads]])</f>
        <v>3486</v>
      </c>
      <c r="CJ58" s="902">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K58" s="905">
        <f>IF(WWWW[[#This Row],[HRP3]]/WWWW[[#This Row],[Total PoP ]]&gt;100%,100%,WWWW[[#This Row],[HRP3]]/WWWW[[#This Row],[Total PoP ]])</f>
        <v>1</v>
      </c>
      <c r="CL58" s="901">
        <f>1-WWWW[[#This Row],[Hygiene Coverage%]]</f>
        <v>0</v>
      </c>
      <c r="CM58" s="900">
        <f>WWWW[[#This Row],['# people reached by regular dedicated hygiene promotion_5]]/WWWW[[#This Row],[Total PoP ]]</f>
        <v>0.32099827882960413</v>
      </c>
      <c r="CN58" s="901">
        <f>IF(WWWW[[#This Row],['#_of_affected_households_receiving_a_sufficient_quantity_of_soap]]/WWWW[[#This Row],[Total HH]]&gt;1,1,WWWW[[#This Row],['#_of_affected_households_receiving_a_sufficient_quantity_of_soap]]/WWWW[[#This Row],[Total HH]])</f>
        <v>1</v>
      </c>
      <c r="CO58" s="455" t="str">
        <f>IF(WWWW[[#This Row],['#_students at TLS_CFS]]="","No","Yes")</f>
        <v>Yes</v>
      </c>
      <c r="CP58" s="452">
        <f>WWWW[[#This Row],[%_of_affected_people_surveyed_who_report_feeling_informed_about_the_different_WASH_services_available_to_them]]</f>
        <v>1</v>
      </c>
      <c r="CQ5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174</v>
      </c>
      <c r="CR58" s="500">
        <f>IF(WWWW[[#This Row],['#_PPL_accessed_water_in_TLS]]&gt;WWWW[[#This Row],['# students access to functioning school latrines_HRP5]],WWWW[[#This Row],['#_PPL_accessed_water_in_TLS]],WWWW[[#This Row],['# students access to functioning school latrines_HRP5]])</f>
        <v>150</v>
      </c>
      <c r="CS58" s="500">
        <f>IF(WWWW[[#This Row],['#_PPL_accessed_water_in_THF]]&gt;WWWW[[#This Row],['# people access to functioning latrines in THF_HRP6]],WWWW[[#This Row],['#_PPL_accessed_water_in_THF]],WWWW[[#This Row],['# people access to functioning latrines in THF_HRP6]])</f>
        <v>0</v>
      </c>
      <c r="CT58" s="898" t="str">
        <f>VLOOKUP(WWWW[[#This Row],[Site Name]],SiteDB6[[Site Name]:[CCCM Management]],6,FALSE)</f>
        <v>Yes</v>
      </c>
      <c r="CU58" s="898">
        <f>VLOOKUP(WWWW[[#This Row],[Site Name]],SiteDB6[[Site Name]:[CCCM Focal Agency]],7,FALSE)</f>
        <v>0</v>
      </c>
      <c r="CV58" s="898" t="str">
        <f>VLOOKUP(WWWW[[#This Row],[Site Name]],SiteDB6[[Site Name]:[Location Type 1]],9,FALSE)</f>
        <v>Camp</v>
      </c>
      <c r="CW58" s="898" t="str">
        <f>VLOOKUP(WWWW[[#This Row],[Site Name]],SiteDB6[[Site Name]:[Type of Accommodation]],10,FALSE)</f>
        <v>Planned Camp</v>
      </c>
      <c r="CX58" s="898" t="str">
        <f>VLOOKUP(WWWW[[#This Row],[Site Name]],SiteDB6[[Site Name]:[Ethnic or GCA/NGCA]],11,FALSE)</f>
        <v>Muslim</v>
      </c>
      <c r="CY58" s="898">
        <f>VLOOKUP(WWWW[[#This Row],[Site Name]],SiteDB6[[Site Name]:[Lat]],12,FALSE)</f>
        <v>20.185917</v>
      </c>
      <c r="CZ58" s="898">
        <f>VLOOKUP(WWWW[[#This Row],[Site Name]],SiteDB6[[Site Name]:[Long]],13,FALSE)</f>
        <v>92.831000000000003</v>
      </c>
      <c r="DA58" s="898" t="str">
        <f>VLOOKUP(WWWW[[#This Row],[Site Name]],SiteDB6[[Site Name]:[Pcode]],3,FALSE)</f>
        <v>MMR012CMP092</v>
      </c>
      <c r="DB58" s="906" t="str">
        <f t="shared" si="2"/>
        <v>Covered</v>
      </c>
      <c r="DC58" s="477">
        <f>VLOOKUP(WWWW[[#This Row],[Site Name]],SiteDB6[[Site Name]:[PWD_Total]],22,FALSE)</f>
        <v>88</v>
      </c>
      <c r="DD58" s="477">
        <f>VLOOKUP(WWWW[[#This Row],[Site Name]],SiteDB6[[Site Name]:[PWD_Total]],23,FALSE)</f>
        <v>397</v>
      </c>
      <c r="DE58" s="477">
        <f>WWWW[[#This Row],['# of Male_People with disabilities]]+WWWW[[#This Row],['# of Female_People with disabilities]]</f>
        <v>485</v>
      </c>
      <c r="DF58" s="898"/>
      <c r="DG58" s="906"/>
      <c r="DH58" s="906"/>
      <c r="DI58" s="906"/>
      <c r="DJ58" s="906">
        <f>VLOOKUP(WWWW[[#This Row],[Site Name]],SiteDB6[[Site Name]:[Pop
(CCCM as of Autust 2021)]],16,FALSE)</f>
        <v>657</v>
      </c>
      <c r="DK58" s="906">
        <f>VLOOKUP(WWWW[[#This Row],[Site Name]],SiteDB6[[Site Name]:[Pop
(CCCM as of Autust 2021)]],17,FALSE)</f>
        <v>3906</v>
      </c>
    </row>
    <row r="59" spans="1:115">
      <c r="A59" s="896" t="s">
        <v>3145</v>
      </c>
      <c r="B59" s="896" t="s">
        <v>265</v>
      </c>
      <c r="C59" s="897" t="s">
        <v>265</v>
      </c>
      <c r="D59" s="897" t="s">
        <v>2983</v>
      </c>
      <c r="E59" s="845" t="s">
        <v>293</v>
      </c>
      <c r="F59" s="897" t="s">
        <v>401</v>
      </c>
      <c r="G59" s="898" t="s">
        <v>43</v>
      </c>
      <c r="H59" s="897" t="s">
        <v>405</v>
      </c>
      <c r="I59" s="899">
        <v>1076</v>
      </c>
      <c r="J59" s="899">
        <v>5024</v>
      </c>
      <c r="K59" s="684">
        <f>WWWW[[#This Row],[Total PoP ]]/WWWW[[#This Row],[Total HH]]</f>
        <v>4.6691449814126393</v>
      </c>
      <c r="L59" s="907" t="s">
        <v>3201</v>
      </c>
      <c r="M59" s="908" t="s">
        <v>3202</v>
      </c>
      <c r="N59" s="500"/>
      <c r="O59" s="500"/>
      <c r="P59" s="500"/>
      <c r="Q59" s="500">
        <v>3</v>
      </c>
      <c r="R59" s="500">
        <v>3</v>
      </c>
      <c r="S59" s="500"/>
      <c r="T59" s="500">
        <v>5024</v>
      </c>
      <c r="U59" s="500"/>
      <c r="V59" s="500"/>
      <c r="W59" s="500">
        <v>3</v>
      </c>
      <c r="X59" s="450">
        <v>0.67</v>
      </c>
      <c r="Y59" s="500"/>
      <c r="Z59" s="500"/>
      <c r="AA59" s="500"/>
      <c r="AB59" s="909" t="s">
        <v>3210</v>
      </c>
      <c r="AC59" s="500">
        <v>158</v>
      </c>
      <c r="AD59" s="500">
        <v>158</v>
      </c>
      <c r="AE59" s="500">
        <v>100</v>
      </c>
      <c r="AF59" s="500">
        <v>158</v>
      </c>
      <c r="AG59" s="450">
        <v>0.99</v>
      </c>
      <c r="AH59" s="450">
        <v>1</v>
      </c>
      <c r="AI59" s="450">
        <v>0.99</v>
      </c>
      <c r="AJ59" s="500">
        <v>26</v>
      </c>
      <c r="AK59" s="500">
        <v>127</v>
      </c>
      <c r="AL59" s="500"/>
      <c r="AM59" s="500"/>
      <c r="AN59" s="500" t="s">
        <v>41</v>
      </c>
      <c r="AO59" s="538" t="s">
        <v>3204</v>
      </c>
      <c r="AP59" s="500">
        <v>974</v>
      </c>
      <c r="AQ59" s="500">
        <v>1090</v>
      </c>
      <c r="AR59" s="500">
        <v>901</v>
      </c>
      <c r="AS59" s="500">
        <v>792</v>
      </c>
      <c r="AT59" s="500">
        <v>1076</v>
      </c>
      <c r="AU59" s="500">
        <v>1294</v>
      </c>
      <c r="AV59" s="450">
        <v>0.94</v>
      </c>
      <c r="AW59" s="450">
        <v>0.56999999999999995</v>
      </c>
      <c r="AX59" s="451">
        <v>2</v>
      </c>
      <c r="AY59" s="910"/>
      <c r="AZ59" s="450">
        <v>1</v>
      </c>
      <c r="BA59" s="450"/>
      <c r="BB59" s="450">
        <v>1</v>
      </c>
      <c r="BC59" s="450">
        <v>1</v>
      </c>
      <c r="BD59" s="450">
        <v>0.03</v>
      </c>
      <c r="BE59" s="500">
        <v>100</v>
      </c>
      <c r="BF59" s="500">
        <f>145+692</f>
        <v>837</v>
      </c>
      <c r="BG59" s="500"/>
      <c r="BH59" s="500"/>
      <c r="BI59" s="500"/>
      <c r="BJ59" s="500"/>
      <c r="BK59" s="500"/>
      <c r="BL59" s="901" t="str">
        <f>IF(WWWW[[#This Row],['#_Water samples_Tested_at_water_source]]="","no test","Tested")</f>
        <v>no test</v>
      </c>
      <c r="BM59" s="901" t="str">
        <f>IF(WWWW[[#This Row],['#_Water samples_Tested_at_HH]]="","no test","Tested")</f>
        <v>Tested</v>
      </c>
      <c r="BN59" s="902" t="str">
        <f>IF(AND(WWWW[[#This Row],[Water_testing_at source]]="no test",WWWW[[#This Row],[Water_testing_at HH]]="no test"),"No Test","Tested")</f>
        <v>Tested</v>
      </c>
      <c r="BO59"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9" s="903">
        <f>WWWW[[#This Row],[% HRP1]]*WWWW[[#This Row],[Total PoP ]]</f>
        <v>5024</v>
      </c>
      <c r="BQ59" s="904">
        <f>WWWW[[#This Row],[HRP1]]/500</f>
        <v>10.048</v>
      </c>
      <c r="BR59" s="905">
        <f>1-WWWW[[#This Row],[% HRP1]]</f>
        <v>0</v>
      </c>
      <c r="BS59" s="904">
        <f>WWWW[[#This Row],[%equitable and continuous access to sufficient quantity of safe drinking and domestic water''s GAP]]*WWWW[[#This Row],[Total PoP ]]</f>
        <v>0</v>
      </c>
      <c r="BT59" s="451">
        <f>ROUND(IF(WWWW[[#This Row],[Total PoP ]]&lt;500,1,WWWW[[#This Row],[Total PoP ]]/500),0)</f>
        <v>10</v>
      </c>
      <c r="BU59" s="902">
        <f>IF(WWWW[[#This Row],[Total required water points]]-WWWW[[#This Row],['#Water points coverage]]&lt;0,0,WWWW[[#This Row],[Total required water points]]-WWWW[[#This Row],['#Water points coverage]])</f>
        <v>0</v>
      </c>
      <c r="BV59" s="452">
        <f>WWWW[[#This Row],[HRP2]]/WWWW[[#This Row],[Total PoP ]]</f>
        <v>0.7577627388535032</v>
      </c>
      <c r="BW59"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3807</v>
      </c>
      <c r="BX59" s="455">
        <f>IF(WWWW[[#This Row],['#_Functional_adult_latrines]]="","",WWWW[[#This Row],[Total PoP ]]/WWWW[[#This Row],['#_Functional_adult_latrines]])</f>
        <v>31.797468354430379</v>
      </c>
      <c r="BY59" s="902">
        <f>WWWW[[#This Row],['#_of_latrines_in_TLS/CFS]]*50</f>
        <v>0</v>
      </c>
      <c r="BZ59" s="451">
        <f>IF(WWWW[[#This Row],['#_of_latrines_in_THF]]="",0,WWWW[[#This Row],['#_of_latrines_in_THF]]*50)</f>
        <v>0</v>
      </c>
      <c r="CA59" s="902">
        <f>ROUND(IF(WWWW[[#This Row],[Location Type 1]]="camp",WWWW[[#This Row],[Total PoP ]]/20),0)</f>
        <v>251</v>
      </c>
      <c r="CB59" s="902">
        <f>IF(WWWW[[#This Row],[Total required Latrines]]-WWWW[[#This Row],['#_Existing_latrines]]&lt;0,0,WWWW[[#This Row],[Total required Latrines]]-WWWW[[#This Row],['#_Existing_latrines]])</f>
        <v>93</v>
      </c>
      <c r="CC59" s="905">
        <f>1-WWWW[[#This Row],[% HRP2]]</f>
        <v>0.2422372611464968</v>
      </c>
      <c r="CD59" s="901">
        <f>IF(WWWW[[#This Row],['#_Existing_latrines]]="","NA",(WWWW[[#This Row],['#_Existing_latrines]]-WWWW[[#This Row],['#_Functional_adult_latrines]])/WWWW[[#This Row],['#_Existing_latrines]])</f>
        <v>0</v>
      </c>
      <c r="CE59"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F59" s="904">
        <f>SUM(WWWW[[#This Row],[_'#_of_Men_receiving_consultation_hygiene_promotion_messages_and_sessions]:[_'#_of_Girls_receiving_consultation_hygiene_promotion_messages_and_sessions]])-WWWW[[#This Row],['# people reached by regular dedicated hygiene promotion_5]]</f>
        <v>0</v>
      </c>
      <c r="CG59"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H59" s="902">
        <f>IF(WWWW[[#This Row],['#_of_affected_women_and_girls_receiving_a_sufficient_quantity_of_sanitary_pads]]&gt;WWWW[[#This Row],[Total PoP ]],WWWW[[#This Row],[Total PoP ]],WWWW[[#This Row],['#_of_affected_women_and_girls_receiving_a_sufficient_quantity_of_sanitary_pads]])</f>
        <v>1294</v>
      </c>
      <c r="CI59" s="902">
        <f>IF(WWWW[[#This Row],['# People with access to soap]]&gt;WWWW[[#This Row],['# People with access to Sanity Pads]],WWWW[[#This Row],['# People with access to soap]],WWWW[[#This Row],['# People with access to Sanity Pads]])</f>
        <v>5024</v>
      </c>
      <c r="CJ59" s="902">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K59" s="905">
        <f>IF(WWWW[[#This Row],[HRP3]]/WWWW[[#This Row],[Total PoP ]]&gt;100%,100%,WWWW[[#This Row],[HRP3]]/WWWW[[#This Row],[Total PoP ]])</f>
        <v>1</v>
      </c>
      <c r="CL59" s="901">
        <f>1-WWWW[[#This Row],[Hygiene Coverage%]]</f>
        <v>0</v>
      </c>
      <c r="CM59" s="900">
        <f>WWWW[[#This Row],['# people reached by regular dedicated hygiene promotion_5]]/WWWW[[#This Row],[Total PoP ]]</f>
        <v>0.74781050955414008</v>
      </c>
      <c r="CN59" s="901">
        <f>IF(WWWW[[#This Row],['#_of_affected_households_receiving_a_sufficient_quantity_of_soap]]/WWWW[[#This Row],[Total HH]]&gt;1,1,WWWW[[#This Row],['#_of_affected_households_receiving_a_sufficient_quantity_of_soap]]/WWWW[[#This Row],[Total HH]])</f>
        <v>1</v>
      </c>
      <c r="CO59" s="455" t="str">
        <f>IF(WWWW[[#This Row],['#_students at TLS_CFS]]="","No","Yes")</f>
        <v>No</v>
      </c>
      <c r="CP59" s="452">
        <f>WWWW[[#This Row],[%_of_affected_people_surveyed_who_report_feeling_informed_about_the_different_WASH_services_available_to_them]]</f>
        <v>1</v>
      </c>
      <c r="CQ5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937</v>
      </c>
      <c r="CR59" s="500">
        <f>IF(WWWW[[#This Row],['#_PPL_accessed_water_in_TLS]]&gt;WWWW[[#This Row],['# students access to functioning school latrines_HRP5]],WWWW[[#This Row],['#_PPL_accessed_water_in_TLS]],WWWW[[#This Row],['# students access to functioning school latrines_HRP5]])</f>
        <v>0</v>
      </c>
      <c r="CS59" s="500">
        <f>IF(WWWW[[#This Row],['#_PPL_accessed_water_in_THF]]&gt;WWWW[[#This Row],['# people access to functioning latrines in THF_HRP6]],WWWW[[#This Row],['#_PPL_accessed_water_in_THF]],WWWW[[#This Row],['# people access to functioning latrines in THF_HRP6]])</f>
        <v>0</v>
      </c>
      <c r="CT59" s="898" t="str">
        <f>VLOOKUP(WWWW[[#This Row],[Site Name]],SiteDB6[[Site Name]:[CCCM Management]],6,FALSE)</f>
        <v>Yes</v>
      </c>
      <c r="CU59" s="898" t="str">
        <f>VLOOKUP(WWWW[[#This Row],[Site Name]],SiteDB6[[Site Name]:[CCCM Focal Agency]],7,FALSE)</f>
        <v>LWF</v>
      </c>
      <c r="CV59" s="898" t="str">
        <f>VLOOKUP(WWWW[[#This Row],[Site Name]],SiteDB6[[Site Name]:[Location Type 1]],9,FALSE)</f>
        <v>Camp</v>
      </c>
      <c r="CW59" s="898" t="str">
        <f>VLOOKUP(WWWW[[#This Row],[Site Name]],SiteDB6[[Site Name]:[Type of Accommodation]],10,FALSE)</f>
        <v>Individual House</v>
      </c>
      <c r="CX59" s="898" t="str">
        <f>VLOOKUP(WWWW[[#This Row],[Site Name]],SiteDB6[[Site Name]:[Ethnic or GCA/NGCA]],11,FALSE)</f>
        <v>Muslim</v>
      </c>
      <c r="CY59" s="898">
        <f>VLOOKUP(WWWW[[#This Row],[Site Name]],SiteDB6[[Site Name]:[Lat]],12,FALSE)</f>
        <v>20.073437999999999</v>
      </c>
      <c r="CZ59" s="898">
        <f>VLOOKUP(WWWW[[#This Row],[Site Name]],SiteDB6[[Site Name]:[Long]],13,FALSE)</f>
        <v>93.154551999999995</v>
      </c>
      <c r="DA59" s="898" t="str">
        <f>VLOOKUP(WWWW[[#This Row],[Site Name]],SiteDB6[[Site Name]:[Pcode]],3,FALSE)</f>
        <v>MMR012CMP017</v>
      </c>
      <c r="DB59" s="906" t="str">
        <f t="shared" si="2"/>
        <v>Covered</v>
      </c>
      <c r="DC59" s="477">
        <f>VLOOKUP(WWWW[[#This Row],[Site Name]],SiteDB6[[Site Name]:[PWD_Total]],22,FALSE)</f>
        <v>159</v>
      </c>
      <c r="DD59" s="477">
        <f>VLOOKUP(WWWW[[#This Row],[Site Name]],SiteDB6[[Site Name]:[PWD_Total]],23,FALSE)</f>
        <v>923</v>
      </c>
      <c r="DE59" s="477">
        <f>WWWW[[#This Row],['# of Male_People with disabilities]]+WWWW[[#This Row],['# of Female_People with disabilities]]</f>
        <v>1082</v>
      </c>
      <c r="DF59" s="898"/>
      <c r="DG59" s="906"/>
      <c r="DH59" s="906"/>
      <c r="DI59" s="906"/>
      <c r="DJ59" s="906">
        <f>VLOOKUP(WWWW[[#This Row],[Site Name]],SiteDB6[[Site Name]:[Pop
(CCCM as of Autust 2021)]],16,FALSE)</f>
        <v>1059</v>
      </c>
      <c r="DK59" s="906">
        <f>VLOOKUP(WWWW[[#This Row],[Site Name]],SiteDB6[[Site Name]:[Pop
(CCCM as of Autust 2021)]],17,FALSE)</f>
        <v>5004</v>
      </c>
    </row>
    <row r="60" spans="1:115">
      <c r="A60" s="896" t="s">
        <v>3145</v>
      </c>
      <c r="B60" s="896" t="s">
        <v>265</v>
      </c>
      <c r="C60" s="897" t="s">
        <v>265</v>
      </c>
      <c r="D60" s="897" t="s">
        <v>2983</v>
      </c>
      <c r="E60" s="845" t="s">
        <v>293</v>
      </c>
      <c r="F60" s="897" t="s">
        <v>401</v>
      </c>
      <c r="G60" s="898" t="s">
        <v>43</v>
      </c>
      <c r="H60" s="897" t="s">
        <v>406</v>
      </c>
      <c r="I60" s="899">
        <v>1064</v>
      </c>
      <c r="J60" s="899">
        <v>5137</v>
      </c>
      <c r="K60" s="684">
        <f>WWWW[[#This Row],[Total PoP ]]/WWWW[[#This Row],[Total HH]]</f>
        <v>4.8280075187969924</v>
      </c>
      <c r="L60" s="907" t="s">
        <v>3201</v>
      </c>
      <c r="M60" s="908" t="s">
        <v>3202</v>
      </c>
      <c r="N60" s="500"/>
      <c r="O60" s="500"/>
      <c r="P60" s="500"/>
      <c r="Q60" s="500">
        <v>2</v>
      </c>
      <c r="R60" s="500">
        <v>2</v>
      </c>
      <c r="S60" s="500"/>
      <c r="T60" s="500">
        <v>5137</v>
      </c>
      <c r="U60" s="500"/>
      <c r="V60" s="500"/>
      <c r="W60" s="500">
        <v>4</v>
      </c>
      <c r="X60" s="450">
        <v>0</v>
      </c>
      <c r="Y60" s="500"/>
      <c r="Z60" s="500"/>
      <c r="AA60" s="500"/>
      <c r="AB60" s="909" t="s">
        <v>3210</v>
      </c>
      <c r="AC60" s="500">
        <v>191</v>
      </c>
      <c r="AD60" s="500">
        <v>197</v>
      </c>
      <c r="AE60" s="500">
        <v>75</v>
      </c>
      <c r="AF60" s="500">
        <v>197</v>
      </c>
      <c r="AG60" s="450">
        <v>0.99</v>
      </c>
      <c r="AH60" s="450">
        <v>0.99</v>
      </c>
      <c r="AI60" s="450">
        <v>0.99</v>
      </c>
      <c r="AJ60" s="500">
        <v>36</v>
      </c>
      <c r="AK60" s="500">
        <v>91</v>
      </c>
      <c r="AL60" s="500"/>
      <c r="AM60" s="500"/>
      <c r="AN60" s="500" t="s">
        <v>41</v>
      </c>
      <c r="AO60" s="538" t="s">
        <v>3204</v>
      </c>
      <c r="AP60" s="500">
        <v>1051</v>
      </c>
      <c r="AQ60" s="500">
        <v>1120</v>
      </c>
      <c r="AR60" s="500">
        <v>932</v>
      </c>
      <c r="AS60" s="500">
        <v>769</v>
      </c>
      <c r="AT60" s="500">
        <v>1064</v>
      </c>
      <c r="AU60" s="500">
        <v>1366</v>
      </c>
      <c r="AV60" s="450">
        <v>0.45</v>
      </c>
      <c r="AW60" s="450">
        <v>0.37</v>
      </c>
      <c r="AX60" s="451"/>
      <c r="AY60" s="910"/>
      <c r="AZ60" s="450">
        <v>0.92</v>
      </c>
      <c r="BA60" s="450"/>
      <c r="BB60" s="450">
        <v>0.99</v>
      </c>
      <c r="BC60" s="450">
        <v>1</v>
      </c>
      <c r="BD60" s="450"/>
      <c r="BE60" s="500">
        <v>75</v>
      </c>
      <c r="BF60" s="500">
        <f>128+720</f>
        <v>848</v>
      </c>
      <c r="BG60" s="500"/>
      <c r="BH60" s="500"/>
      <c r="BI60" s="500"/>
      <c r="BJ60" s="500"/>
      <c r="BK60" s="500"/>
      <c r="BL60" s="901" t="str">
        <f>IF(WWWW[[#This Row],['#_Water samples_Tested_at_water_source]]="","no test","Tested")</f>
        <v>no test</v>
      </c>
      <c r="BM60" s="901" t="str">
        <f>IF(WWWW[[#This Row],['#_Water samples_Tested_at_HH]]="","no test","Tested")</f>
        <v>Tested</v>
      </c>
      <c r="BN60" s="902" t="str">
        <f>IF(AND(WWWW[[#This Row],[Water_testing_at source]]="no test",WWWW[[#This Row],[Water_testing_at HH]]="no test"),"No Test","Tested")</f>
        <v>Tested</v>
      </c>
      <c r="BO60"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0" s="903">
        <f>WWWW[[#This Row],[% HRP1]]*WWWW[[#This Row],[Total PoP ]]</f>
        <v>5137</v>
      </c>
      <c r="BQ60" s="904">
        <f>WWWW[[#This Row],[HRP1]]/500</f>
        <v>10.273999999999999</v>
      </c>
      <c r="BR60" s="905">
        <f>1-WWWW[[#This Row],[% HRP1]]</f>
        <v>0</v>
      </c>
      <c r="BS60" s="904">
        <f>WWWW[[#This Row],[%equitable and continuous access to sufficient quantity of safe drinking and domestic water''s GAP]]*WWWW[[#This Row],[Total PoP ]]</f>
        <v>0</v>
      </c>
      <c r="BT60" s="451">
        <f>ROUND(IF(WWWW[[#This Row],[Total PoP ]]&lt;500,1,WWWW[[#This Row],[Total PoP ]]/500),0)</f>
        <v>10</v>
      </c>
      <c r="BU60" s="902">
        <f>IF(WWWW[[#This Row],[Total required water points]]-WWWW[[#This Row],['#Water points coverage]]&lt;0,0,WWWW[[#This Row],[Total required water points]]-WWWW[[#This Row],['#Water points coverage]])</f>
        <v>0</v>
      </c>
      <c r="BV60" s="452">
        <f>WWWW[[#This Row],[HRP2]]/WWWW[[#This Row],[Total PoP ]]</f>
        <v>0.90149892933618847</v>
      </c>
      <c r="BW60"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4631</v>
      </c>
      <c r="BX60" s="455">
        <f>IF(WWWW[[#This Row],['#_Functional_adult_latrines]]="","",WWWW[[#This Row],[Total PoP ]]/WWWW[[#This Row],['#_Functional_adult_latrines]])</f>
        <v>26.895287958115183</v>
      </c>
      <c r="BY60" s="902">
        <f>WWWW[[#This Row],['#_of_latrines_in_TLS/CFS]]*50</f>
        <v>0</v>
      </c>
      <c r="BZ60" s="451">
        <f>IF(WWWW[[#This Row],['#_of_latrines_in_THF]]="",0,WWWW[[#This Row],['#_of_latrines_in_THF]]*50)</f>
        <v>0</v>
      </c>
      <c r="CA60" s="902">
        <f>ROUND(IF(WWWW[[#This Row],[Location Type 1]]="camp",WWWW[[#This Row],[Total PoP ]]/20),0)</f>
        <v>257</v>
      </c>
      <c r="CB60" s="902">
        <f>IF(WWWW[[#This Row],[Total required Latrines]]-WWWW[[#This Row],['#_Existing_latrines]]&lt;0,0,WWWW[[#This Row],[Total required Latrines]]-WWWW[[#This Row],['#_Existing_latrines]])</f>
        <v>60</v>
      </c>
      <c r="CC60" s="905">
        <f>1-WWWW[[#This Row],[% HRP2]]</f>
        <v>9.850107066381153E-2</v>
      </c>
      <c r="CD60" s="901">
        <f>IF(WWWW[[#This Row],['#_Existing_latrines]]="","NA",(WWWW[[#This Row],['#_Existing_latrines]]-WWWW[[#This Row],['#_Functional_adult_latrines]])/WWWW[[#This Row],['#_Existing_latrines]])</f>
        <v>3.0456852791878174E-2</v>
      </c>
      <c r="CE60"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F60" s="904">
        <f>SUM(WWWW[[#This Row],[_'#_of_Men_receiving_consultation_hygiene_promotion_messages_and_sessions]:[_'#_of_Girls_receiving_consultation_hygiene_promotion_messages_and_sessions]])-WWWW[[#This Row],['# people reached by regular dedicated hygiene promotion_5]]</f>
        <v>0</v>
      </c>
      <c r="CG60"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H60" s="902">
        <f>IF(WWWW[[#This Row],['#_of_affected_women_and_girls_receiving_a_sufficient_quantity_of_sanitary_pads]]&gt;WWWW[[#This Row],[Total PoP ]],WWWW[[#This Row],[Total PoP ]],WWWW[[#This Row],['#_of_affected_women_and_girls_receiving_a_sufficient_quantity_of_sanitary_pads]])</f>
        <v>1366</v>
      </c>
      <c r="CI60" s="902">
        <f>IF(WWWW[[#This Row],['# People with access to soap]]&gt;WWWW[[#This Row],['# People with access to Sanity Pads]],WWWW[[#This Row],['# People with access to soap]],WWWW[[#This Row],['# People with access to Sanity Pads]])</f>
        <v>5137</v>
      </c>
      <c r="CJ60" s="902">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K60" s="905">
        <f>IF(WWWW[[#This Row],[HRP3]]/WWWW[[#This Row],[Total PoP ]]&gt;100%,100%,WWWW[[#This Row],[HRP3]]/WWWW[[#This Row],[Total PoP ]])</f>
        <v>1</v>
      </c>
      <c r="CL60" s="901">
        <f>1-WWWW[[#This Row],[Hygiene Coverage%]]</f>
        <v>0</v>
      </c>
      <c r="CM60" s="900">
        <f>WWWW[[#This Row],['# people reached by regular dedicated hygiene promotion_5]]/WWWW[[#This Row],[Total PoP ]]</f>
        <v>0.75374732334047112</v>
      </c>
      <c r="CN60" s="901">
        <f>IF(WWWW[[#This Row],['#_of_affected_households_receiving_a_sufficient_quantity_of_soap]]/WWWW[[#This Row],[Total HH]]&gt;1,1,WWWW[[#This Row],['#_of_affected_households_receiving_a_sufficient_quantity_of_soap]]/WWWW[[#This Row],[Total HH]])</f>
        <v>1</v>
      </c>
      <c r="CO60" s="455" t="str">
        <f>IF(WWWW[[#This Row],['#_students at TLS_CFS]]="","No","Yes")</f>
        <v>No</v>
      </c>
      <c r="CP60" s="452">
        <f>WWWW[[#This Row],[%_of_affected_people_surveyed_who_report_feeling_informed_about_the_different_WASH_services_available_to_them]]</f>
        <v>0.99</v>
      </c>
      <c r="CQ6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923</v>
      </c>
      <c r="CR60" s="500">
        <f>IF(WWWW[[#This Row],['#_PPL_accessed_water_in_TLS]]&gt;WWWW[[#This Row],['# students access to functioning school latrines_HRP5]],WWWW[[#This Row],['#_PPL_accessed_water_in_TLS]],WWWW[[#This Row],['# students access to functioning school latrines_HRP5]])</f>
        <v>0</v>
      </c>
      <c r="CS60" s="500">
        <f>IF(WWWW[[#This Row],['#_PPL_accessed_water_in_THF]]&gt;WWWW[[#This Row],['# people access to functioning latrines in THF_HRP6]],WWWW[[#This Row],['#_PPL_accessed_water_in_THF]],WWWW[[#This Row],['# people access to functioning latrines in THF_HRP6]])</f>
        <v>0</v>
      </c>
      <c r="CT60" s="898" t="str">
        <f>VLOOKUP(WWWW[[#This Row],[Site Name]],SiteDB6[[Site Name]:[CCCM Management]],6,FALSE)</f>
        <v>Yes</v>
      </c>
      <c r="CU60" s="898" t="str">
        <f>VLOOKUP(WWWW[[#This Row],[Site Name]],SiteDB6[[Site Name]:[CCCM Focal Agency]],7,FALSE)</f>
        <v>LWF</v>
      </c>
      <c r="CV60" s="898" t="str">
        <f>VLOOKUP(WWWW[[#This Row],[Site Name]],SiteDB6[[Site Name]:[Location Type 1]],9,FALSE)</f>
        <v>Camp</v>
      </c>
      <c r="CW60" s="898" t="str">
        <f>VLOOKUP(WWWW[[#This Row],[Site Name]],SiteDB6[[Site Name]:[Type of Accommodation]],10,FALSE)</f>
        <v>Planned Camp</v>
      </c>
      <c r="CX60" s="898" t="str">
        <f>VLOOKUP(WWWW[[#This Row],[Site Name]],SiteDB6[[Site Name]:[Ethnic or GCA/NGCA]],11,FALSE)</f>
        <v>Muslim</v>
      </c>
      <c r="CY60" s="898">
        <f>VLOOKUP(WWWW[[#This Row],[Site Name]],SiteDB6[[Site Name]:[Lat]],12,FALSE)</f>
        <v>20.073437999999999</v>
      </c>
      <c r="CZ60" s="898">
        <f>VLOOKUP(WWWW[[#This Row],[Site Name]],SiteDB6[[Site Name]:[Long]],13,FALSE)</f>
        <v>93.154551999999995</v>
      </c>
      <c r="DA60" s="898" t="str">
        <f>VLOOKUP(WWWW[[#This Row],[Site Name]],SiteDB6[[Site Name]:[Pcode]],3,FALSE)</f>
        <v>MMR012CMP017</v>
      </c>
      <c r="DB60" s="906" t="str">
        <f t="shared" si="2"/>
        <v>Covered</v>
      </c>
      <c r="DC60" s="477">
        <f>VLOOKUP(WWWW[[#This Row],[Site Name]],SiteDB6[[Site Name]:[PWD_Total]],22,FALSE)</f>
        <v>116</v>
      </c>
      <c r="DD60" s="477">
        <f>VLOOKUP(WWWW[[#This Row],[Site Name]],SiteDB6[[Site Name]:[PWD_Total]],23,FALSE)</f>
        <v>693</v>
      </c>
      <c r="DE60" s="477">
        <f>WWWW[[#This Row],['# of Male_People with disabilities]]+WWWW[[#This Row],['# of Female_People with disabilities]]</f>
        <v>809</v>
      </c>
      <c r="DF60" s="898"/>
      <c r="DG60" s="906"/>
      <c r="DH60" s="906"/>
      <c r="DI60" s="906"/>
      <c r="DJ60" s="906">
        <f>VLOOKUP(WWWW[[#This Row],[Site Name]],SiteDB6[[Site Name]:[Pop
(CCCM as of Autust 2021)]],16,FALSE)</f>
        <v>982</v>
      </c>
      <c r="DK60" s="906">
        <f>VLOOKUP(WWWW[[#This Row],[Site Name]],SiteDB6[[Site Name]:[Pop
(CCCM as of Autust 2021)]],17,FALSE)</f>
        <v>4828</v>
      </c>
    </row>
    <row r="61" spans="1:115">
      <c r="A61" s="896" t="s">
        <v>3145</v>
      </c>
      <c r="B61" s="896" t="s">
        <v>2269</v>
      </c>
      <c r="C61" s="897" t="s">
        <v>2269</v>
      </c>
      <c r="D61" s="897" t="s">
        <v>3184</v>
      </c>
      <c r="E61" s="845" t="s">
        <v>293</v>
      </c>
      <c r="F61" s="897" t="s">
        <v>294</v>
      </c>
      <c r="G61" s="898" t="s">
        <v>43</v>
      </c>
      <c r="H61" s="897" t="s">
        <v>440</v>
      </c>
      <c r="I61" s="899">
        <v>774</v>
      </c>
      <c r="J61" s="899">
        <v>3095</v>
      </c>
      <c r="K61" s="684">
        <f>WWWW[[#This Row],[Total PoP ]]/WWWW[[#This Row],[Total HH]]</f>
        <v>3.9987080103359172</v>
      </c>
      <c r="L61" s="907">
        <v>44652</v>
      </c>
      <c r="M61" s="908">
        <v>44834</v>
      </c>
      <c r="N61" s="500">
        <v>719</v>
      </c>
      <c r="O61" s="500">
        <v>69</v>
      </c>
      <c r="P61" s="500">
        <v>76</v>
      </c>
      <c r="Q61" s="500"/>
      <c r="R61" s="500"/>
      <c r="S61" s="500"/>
      <c r="T61" s="500"/>
      <c r="U61" s="500">
        <v>93</v>
      </c>
      <c r="V61" s="450">
        <v>0.51600000000000001</v>
      </c>
      <c r="W61" s="500">
        <v>84</v>
      </c>
      <c r="X61" s="450">
        <v>0.28599999999999998</v>
      </c>
      <c r="Y61" s="500"/>
      <c r="Z61" s="500"/>
      <c r="AA61" s="500"/>
      <c r="AB61" s="909"/>
      <c r="AC61" s="500">
        <v>159</v>
      </c>
      <c r="AD61" s="500">
        <v>187</v>
      </c>
      <c r="AE61" s="500">
        <v>91</v>
      </c>
      <c r="AF61" s="500">
        <v>114</v>
      </c>
      <c r="AG61" s="450">
        <v>1</v>
      </c>
      <c r="AH61" s="450">
        <v>1</v>
      </c>
      <c r="AI61" s="450">
        <v>0.1</v>
      </c>
      <c r="AJ61" s="500"/>
      <c r="AK61" s="500">
        <v>19</v>
      </c>
      <c r="AL61" s="500">
        <v>2</v>
      </c>
      <c r="AM61" s="500"/>
      <c r="AN61" s="500" t="s">
        <v>41</v>
      </c>
      <c r="AO61" s="538" t="s">
        <v>3207</v>
      </c>
      <c r="AP61" s="500">
        <v>109</v>
      </c>
      <c r="AQ61" s="500">
        <v>408</v>
      </c>
      <c r="AR61" s="500">
        <v>862</v>
      </c>
      <c r="AS61" s="500">
        <v>738</v>
      </c>
      <c r="AT61" s="500">
        <v>774</v>
      </c>
      <c r="AU61" s="500">
        <v>1122</v>
      </c>
      <c r="AV61" s="450">
        <v>1</v>
      </c>
      <c r="AW61" s="450">
        <v>1</v>
      </c>
      <c r="AX61" s="451"/>
      <c r="AY61" s="910" t="s">
        <v>3208</v>
      </c>
      <c r="AZ61" s="450">
        <v>1</v>
      </c>
      <c r="BA61" s="450">
        <v>1</v>
      </c>
      <c r="BB61" s="450">
        <v>1</v>
      </c>
      <c r="BC61" s="450">
        <v>1</v>
      </c>
      <c r="BD61" s="450"/>
      <c r="BE61" s="500">
        <v>91</v>
      </c>
      <c r="BF61" s="500"/>
      <c r="BG61" s="500"/>
      <c r="BH61" s="500"/>
      <c r="BI61" s="500"/>
      <c r="BJ61" s="500"/>
      <c r="BK61" s="500"/>
      <c r="BL61" s="901" t="str">
        <f>IF(WWWW[[#This Row],['#_Water samples_Tested_at_water_source]]="","no test","Tested")</f>
        <v>Tested</v>
      </c>
      <c r="BM61" s="901" t="str">
        <f>IF(WWWW[[#This Row],['#_Water samples_Tested_at_HH]]="","no test","Tested")</f>
        <v>Tested</v>
      </c>
      <c r="BN61" s="902" t="str">
        <f>IF(AND(WWWW[[#This Row],[Water_testing_at source]]="no test",WWWW[[#This Row],[Water_testing_at HH]]="no test"),"No Test","Tested")</f>
        <v>Tested</v>
      </c>
      <c r="BO61"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1" s="903">
        <f>WWWW[[#This Row],[% HRP1]]*WWWW[[#This Row],[Total PoP ]]</f>
        <v>3095</v>
      </c>
      <c r="BQ61" s="904">
        <f>WWWW[[#This Row],[HRP1]]/500</f>
        <v>6.19</v>
      </c>
      <c r="BR61" s="905">
        <f>1-WWWW[[#This Row],[% HRP1]]</f>
        <v>0</v>
      </c>
      <c r="BS61" s="904">
        <f>WWWW[[#This Row],[%equitable and continuous access to sufficient quantity of safe drinking and domestic water''s GAP]]*WWWW[[#This Row],[Total PoP ]]</f>
        <v>0</v>
      </c>
      <c r="BT61" s="451">
        <f>ROUND(IF(WWWW[[#This Row],[Total PoP ]]&lt;500,1,WWWW[[#This Row],[Total PoP ]]/500),0)</f>
        <v>6</v>
      </c>
      <c r="BU61" s="902">
        <f>IF(WWWW[[#This Row],[Total required water points]]-WWWW[[#This Row],['#Water points coverage]]&lt;0,0,WWWW[[#This Row],[Total required water points]]-WWWW[[#This Row],['#Water points coverage]])</f>
        <v>0</v>
      </c>
      <c r="BV61" s="452">
        <f>WWWW[[#This Row],[HRP2]]/WWWW[[#This Row],[Total PoP ]]</f>
        <v>1</v>
      </c>
      <c r="BW61"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61" s="455">
        <f>IF(WWWW[[#This Row],['#_Functional_adult_latrines]]="","",WWWW[[#This Row],[Total PoP ]]/WWWW[[#This Row],['#_Functional_adult_latrines]])</f>
        <v>19.465408805031448</v>
      </c>
      <c r="BY61" s="902">
        <f>WWWW[[#This Row],['#_of_latrines_in_TLS/CFS]]*50</f>
        <v>100</v>
      </c>
      <c r="BZ61" s="451">
        <f>IF(WWWW[[#This Row],['#_of_latrines_in_THF]]="",0,WWWW[[#This Row],['#_of_latrines_in_THF]]*50)</f>
        <v>0</v>
      </c>
      <c r="CA61" s="902">
        <f>ROUND(IF(WWWW[[#This Row],[Location Type 1]]="camp",WWWW[[#This Row],[Total PoP ]]/20),0)</f>
        <v>155</v>
      </c>
      <c r="CB61" s="902">
        <f>IF(WWWW[[#This Row],[Total required Latrines]]-WWWW[[#This Row],['#_Existing_latrines]]&lt;0,0,WWWW[[#This Row],[Total required Latrines]]-WWWW[[#This Row],['#_Existing_latrines]])</f>
        <v>0</v>
      </c>
      <c r="CC61" s="905">
        <f>1-WWWW[[#This Row],[% HRP2]]</f>
        <v>0</v>
      </c>
      <c r="CD61" s="901">
        <f>IF(WWWW[[#This Row],['#_Existing_latrines]]="","NA",(WWWW[[#This Row],['#_Existing_latrines]]-WWWW[[#This Row],['#_Functional_adult_latrines]])/WWWW[[#This Row],['#_Existing_latrines]])</f>
        <v>0.1497326203208556</v>
      </c>
      <c r="CE61"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2117</v>
      </c>
      <c r="CF61" s="904">
        <f>SUM(WWWW[[#This Row],[_'#_of_Men_receiving_consultation_hygiene_promotion_messages_and_sessions]:[_'#_of_Girls_receiving_consultation_hygiene_promotion_messages_and_sessions]])-WWWW[[#This Row],['# people reached by regular dedicated hygiene promotion_5]]</f>
        <v>0</v>
      </c>
      <c r="CG61"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H61" s="902">
        <f>IF(WWWW[[#This Row],['#_of_affected_women_and_girls_receiving_a_sufficient_quantity_of_sanitary_pads]]&gt;WWWW[[#This Row],[Total PoP ]],WWWW[[#This Row],[Total PoP ]],WWWW[[#This Row],['#_of_affected_women_and_girls_receiving_a_sufficient_quantity_of_sanitary_pads]])</f>
        <v>1122</v>
      </c>
      <c r="CI61" s="902">
        <f>IF(WWWW[[#This Row],['# People with access to soap]]&gt;WWWW[[#This Row],['# People with access to Sanity Pads]],WWWW[[#This Row],['# People with access to soap]],WWWW[[#This Row],['# People with access to Sanity Pads]])</f>
        <v>3095</v>
      </c>
      <c r="CJ61" s="902">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K61" s="905">
        <f>IF(WWWW[[#This Row],[HRP3]]/WWWW[[#This Row],[Total PoP ]]&gt;100%,100%,WWWW[[#This Row],[HRP3]]/WWWW[[#This Row],[Total PoP ]])</f>
        <v>1</v>
      </c>
      <c r="CL61" s="901">
        <f>1-WWWW[[#This Row],[Hygiene Coverage%]]</f>
        <v>0</v>
      </c>
      <c r="CM61" s="900">
        <f>WWWW[[#This Row],['# people reached by regular dedicated hygiene promotion_5]]/WWWW[[#This Row],[Total PoP ]]</f>
        <v>0.68400646203554116</v>
      </c>
      <c r="CN61" s="901">
        <f>IF(WWWW[[#This Row],['#_of_affected_households_receiving_a_sufficient_quantity_of_soap]]/WWWW[[#This Row],[Total HH]]&gt;1,1,WWWW[[#This Row],['#_of_affected_households_receiving_a_sufficient_quantity_of_soap]]/WWWW[[#This Row],[Total HH]])</f>
        <v>1</v>
      </c>
      <c r="CO61" s="455" t="str">
        <f>IF(WWWW[[#This Row],['#_students at TLS_CFS]]="","No","Yes")</f>
        <v>Yes</v>
      </c>
      <c r="CP61" s="452">
        <f>WWWW[[#This Row],[%_of_affected_people_surveyed_who_report_feeling_informed_about_the_different_WASH_services_available_to_them]]</f>
        <v>1</v>
      </c>
      <c r="CQ6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91</v>
      </c>
      <c r="CR61" s="500">
        <f>IF(WWWW[[#This Row],['#_PPL_accessed_water_in_TLS]]&gt;WWWW[[#This Row],['# students access to functioning school latrines_HRP5]],WWWW[[#This Row],['#_PPL_accessed_water_in_TLS]],WWWW[[#This Row],['# students access to functioning school latrines_HRP5]])</f>
        <v>100</v>
      </c>
      <c r="CS61" s="500">
        <f>IF(WWWW[[#This Row],['#_PPL_accessed_water_in_THF]]&gt;WWWW[[#This Row],['# people access to functioning latrines in THF_HRP6]],WWWW[[#This Row],['#_PPL_accessed_water_in_THF]],WWWW[[#This Row],['# people access to functioning latrines in THF_HRP6]])</f>
        <v>0</v>
      </c>
      <c r="CT61" s="898" t="str">
        <f>VLOOKUP(WWWW[[#This Row],[Site Name]],SiteDB6[[Site Name]:[CCCM Management]],6,FALSE)</f>
        <v>Yes</v>
      </c>
      <c r="CU61" s="898">
        <f>VLOOKUP(WWWW[[#This Row],[Site Name]],SiteDB6[[Site Name]:[CCCM Focal Agency]],7,FALSE)</f>
        <v>0</v>
      </c>
      <c r="CV61" s="898" t="str">
        <f>VLOOKUP(WWWW[[#This Row],[Site Name]],SiteDB6[[Site Name]:[Location Type 1]],9,FALSE)</f>
        <v>Camp</v>
      </c>
      <c r="CW61" s="898" t="str">
        <f>VLOOKUP(WWWW[[#This Row],[Site Name]],SiteDB6[[Site Name]:[Type of Accommodation]],10,FALSE)</f>
        <v>Planned Camp</v>
      </c>
      <c r="CX61" s="898" t="str">
        <f>VLOOKUP(WWWW[[#This Row],[Site Name]],SiteDB6[[Site Name]:[Ethnic or GCA/NGCA]],11,FALSE)</f>
        <v>Muslim</v>
      </c>
      <c r="CY61" s="898">
        <f>VLOOKUP(WWWW[[#This Row],[Site Name]],SiteDB6[[Site Name]:[Lat]],12,FALSE)</f>
        <v>20.206778</v>
      </c>
      <c r="CZ61" s="898">
        <f>VLOOKUP(WWWW[[#This Row],[Site Name]],SiteDB6[[Site Name]:[Long]],13,FALSE)</f>
        <v>92.774193999999994</v>
      </c>
      <c r="DA61" s="898" t="str">
        <f>VLOOKUP(WWWW[[#This Row],[Site Name]],SiteDB6[[Site Name]:[Pcode]],3,FALSE)</f>
        <v>MMR012CMP098</v>
      </c>
      <c r="DB61" s="906" t="str">
        <f t="shared" si="2"/>
        <v>Covered</v>
      </c>
      <c r="DC61" s="477">
        <f>VLOOKUP(WWWW[[#This Row],[Site Name]],SiteDB6[[Site Name]:[PWD_Total]],22,FALSE)</f>
        <v>42</v>
      </c>
      <c r="DD61" s="477">
        <f>VLOOKUP(WWWW[[#This Row],[Site Name]],SiteDB6[[Site Name]:[PWD_Total]],23,FALSE)</f>
        <v>432</v>
      </c>
      <c r="DE61" s="477">
        <f>WWWW[[#This Row],['# of Male_People with disabilities]]+WWWW[[#This Row],['# of Female_People with disabilities]]</f>
        <v>474</v>
      </c>
      <c r="DF61" s="898"/>
      <c r="DG61" s="906"/>
      <c r="DH61" s="906"/>
      <c r="DI61" s="906"/>
      <c r="DJ61" s="906">
        <f>VLOOKUP(WWWW[[#This Row],[Site Name]],SiteDB6[[Site Name]:[Pop
(CCCM as of Autust 2021)]],16,FALSE)</f>
        <v>777</v>
      </c>
      <c r="DK61" s="906">
        <f>VLOOKUP(WWWW[[#This Row],[Site Name]],SiteDB6[[Site Name]:[Pop
(CCCM as of Autust 2021)]],17,FALSE)</f>
        <v>4735</v>
      </c>
    </row>
    <row r="62" spans="1:115">
      <c r="A62" s="896" t="s">
        <v>3145</v>
      </c>
      <c r="B62" s="896" t="s">
        <v>2269</v>
      </c>
      <c r="C62" s="897" t="s">
        <v>2269</v>
      </c>
      <c r="D62" s="897" t="s">
        <v>3184</v>
      </c>
      <c r="E62" s="845" t="s">
        <v>293</v>
      </c>
      <c r="F62" s="897" t="s">
        <v>294</v>
      </c>
      <c r="G62" s="898" t="s">
        <v>43</v>
      </c>
      <c r="H62" s="897" t="s">
        <v>431</v>
      </c>
      <c r="I62" s="899">
        <v>2728</v>
      </c>
      <c r="J62" s="899">
        <v>13302</v>
      </c>
      <c r="K62" s="684">
        <f>WWWW[[#This Row],[Total PoP ]]/WWWW[[#This Row],[Total HH]]</f>
        <v>4.8760997067448679</v>
      </c>
      <c r="L62" s="907">
        <v>44652</v>
      </c>
      <c r="M62" s="908">
        <v>44834</v>
      </c>
      <c r="N62" s="500">
        <v>2058</v>
      </c>
      <c r="O62" s="500">
        <v>224</v>
      </c>
      <c r="P62" s="500">
        <v>226</v>
      </c>
      <c r="Q62" s="500"/>
      <c r="R62" s="500"/>
      <c r="S62" s="500"/>
      <c r="T62" s="500"/>
      <c r="U62" s="500">
        <v>135</v>
      </c>
      <c r="V62" s="450">
        <v>0.67400000000000004</v>
      </c>
      <c r="W62" s="500">
        <v>177</v>
      </c>
      <c r="X62" s="450">
        <v>0.20899999999999999</v>
      </c>
      <c r="Y62" s="500"/>
      <c r="Z62" s="500"/>
      <c r="AA62" s="500"/>
      <c r="AB62" s="909"/>
      <c r="AC62" s="500">
        <v>628</v>
      </c>
      <c r="AD62" s="500">
        <v>688</v>
      </c>
      <c r="AE62" s="500">
        <v>168</v>
      </c>
      <c r="AF62" s="500">
        <v>362</v>
      </c>
      <c r="AG62" s="450">
        <v>0.99</v>
      </c>
      <c r="AH62" s="450">
        <v>1</v>
      </c>
      <c r="AI62" s="450">
        <v>0.09</v>
      </c>
      <c r="AJ62" s="500">
        <v>4</v>
      </c>
      <c r="AK62" s="500">
        <v>120</v>
      </c>
      <c r="AL62" s="500">
        <v>21</v>
      </c>
      <c r="AM62" s="500"/>
      <c r="AN62" s="500" t="s">
        <v>41</v>
      </c>
      <c r="AO62" s="538" t="s">
        <v>3207</v>
      </c>
      <c r="AP62" s="500">
        <v>23</v>
      </c>
      <c r="AQ62" s="500">
        <v>967</v>
      </c>
      <c r="AR62" s="500">
        <v>1381</v>
      </c>
      <c r="AS62" s="500">
        <v>1265</v>
      </c>
      <c r="AT62" s="500">
        <v>2728</v>
      </c>
      <c r="AU62" s="500">
        <v>6512</v>
      </c>
      <c r="AV62" s="450">
        <v>0.96</v>
      </c>
      <c r="AW62" s="450">
        <v>1</v>
      </c>
      <c r="AX62" s="451">
        <v>13</v>
      </c>
      <c r="AY62" s="910" t="s">
        <v>3208</v>
      </c>
      <c r="AZ62" s="450">
        <v>1</v>
      </c>
      <c r="BA62" s="450">
        <v>1</v>
      </c>
      <c r="BB62" s="450">
        <v>1</v>
      </c>
      <c r="BC62" s="450">
        <v>1</v>
      </c>
      <c r="BD62" s="450"/>
      <c r="BE62" s="500">
        <v>168</v>
      </c>
      <c r="BF62" s="500"/>
      <c r="BG62" s="500"/>
      <c r="BH62" s="500"/>
      <c r="BI62" s="500"/>
      <c r="BJ62" s="500"/>
      <c r="BK62" s="500"/>
      <c r="BL62" s="901" t="str">
        <f>IF(WWWW[[#This Row],['#_Water samples_Tested_at_water_source]]="","no test","Tested")</f>
        <v>Tested</v>
      </c>
      <c r="BM62" s="901" t="str">
        <f>IF(WWWW[[#This Row],['#_Water samples_Tested_at_HH]]="","no test","Tested")</f>
        <v>Tested</v>
      </c>
      <c r="BN62" s="902" t="str">
        <f>IF(AND(WWWW[[#This Row],[Water_testing_at source]]="no test",WWWW[[#This Row],[Water_testing_at HH]]="no test"),"No Test","Tested")</f>
        <v>Tested</v>
      </c>
      <c r="BO62"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2" s="903">
        <f>WWWW[[#This Row],[% HRP1]]*WWWW[[#This Row],[Total PoP ]]</f>
        <v>13302</v>
      </c>
      <c r="BQ62" s="904">
        <f>WWWW[[#This Row],[HRP1]]/500</f>
        <v>26.603999999999999</v>
      </c>
      <c r="BR62" s="905">
        <f>1-WWWW[[#This Row],[% HRP1]]</f>
        <v>0</v>
      </c>
      <c r="BS62" s="904">
        <f>WWWW[[#This Row],[%equitable and continuous access to sufficient quantity of safe drinking and domestic water''s GAP]]*WWWW[[#This Row],[Total PoP ]]</f>
        <v>0</v>
      </c>
      <c r="BT62" s="451">
        <f>ROUND(IF(WWWW[[#This Row],[Total PoP ]]&lt;500,1,WWWW[[#This Row],[Total PoP ]]/500),0)</f>
        <v>27</v>
      </c>
      <c r="BU62" s="902">
        <f>IF(WWWW[[#This Row],[Total required water points]]-WWWW[[#This Row],['#Water points coverage]]&lt;0,0,WWWW[[#This Row],[Total required water points]]-WWWW[[#This Row],['#Water points coverage]])</f>
        <v>0.3960000000000008</v>
      </c>
      <c r="BV62" s="452">
        <f>WWWW[[#This Row],[HRP2]]/WWWW[[#This Row],[Total PoP ]]</f>
        <v>0.95925424748158172</v>
      </c>
      <c r="BW62"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12760</v>
      </c>
      <c r="BX62" s="455">
        <f>IF(WWWW[[#This Row],['#_Functional_adult_latrines]]="","",WWWW[[#This Row],[Total PoP ]]/WWWW[[#This Row],['#_Functional_adult_latrines]])</f>
        <v>21.181528662420384</v>
      </c>
      <c r="BY62" s="902">
        <f>WWWW[[#This Row],['#_of_latrines_in_TLS/CFS]]*50</f>
        <v>1050</v>
      </c>
      <c r="BZ62" s="451">
        <f>IF(WWWW[[#This Row],['#_of_latrines_in_THF]]="",0,WWWW[[#This Row],['#_of_latrines_in_THF]]*50)</f>
        <v>0</v>
      </c>
      <c r="CA62" s="902">
        <f>ROUND(IF(WWWW[[#This Row],[Location Type 1]]="camp",WWWW[[#This Row],[Total PoP ]]/20),0)</f>
        <v>665</v>
      </c>
      <c r="CB62" s="902">
        <f>IF(WWWW[[#This Row],[Total required Latrines]]-WWWW[[#This Row],['#_Existing_latrines]]&lt;0,0,WWWW[[#This Row],[Total required Latrines]]-WWWW[[#This Row],['#_Existing_latrines]])</f>
        <v>0</v>
      </c>
      <c r="CC62" s="905">
        <f>1-WWWW[[#This Row],[% HRP2]]</f>
        <v>4.0745752518418277E-2</v>
      </c>
      <c r="CD62" s="901">
        <f>IF(WWWW[[#This Row],['#_Existing_latrines]]="","NA",(WWWW[[#This Row],['#_Existing_latrines]]-WWWW[[#This Row],['#_Functional_adult_latrines]])/WWWW[[#This Row],['#_Existing_latrines]])</f>
        <v>8.7209302325581398E-2</v>
      </c>
      <c r="CE62"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3636</v>
      </c>
      <c r="CF62" s="904">
        <f>SUM(WWWW[[#This Row],[_'#_of_Men_receiving_consultation_hygiene_promotion_messages_and_sessions]:[_'#_of_Girls_receiving_consultation_hygiene_promotion_messages_and_sessions]])-WWWW[[#This Row],['# people reached by regular dedicated hygiene promotion_5]]</f>
        <v>0</v>
      </c>
      <c r="CG62"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H62" s="902">
        <f>IF(WWWW[[#This Row],['#_of_affected_women_and_girls_receiving_a_sufficient_quantity_of_sanitary_pads]]&gt;WWWW[[#This Row],[Total PoP ]],WWWW[[#This Row],[Total PoP ]],WWWW[[#This Row],['#_of_affected_women_and_girls_receiving_a_sufficient_quantity_of_sanitary_pads]])</f>
        <v>6512</v>
      </c>
      <c r="CI62" s="902">
        <f>IF(WWWW[[#This Row],['# People with access to soap]]&gt;WWWW[[#This Row],['# People with access to Sanity Pads]],WWWW[[#This Row],['# People with access to soap]],WWWW[[#This Row],['# People with access to Sanity Pads]])</f>
        <v>13302</v>
      </c>
      <c r="CJ62" s="902">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K62" s="905">
        <f>IF(WWWW[[#This Row],[HRP3]]/WWWW[[#This Row],[Total PoP ]]&gt;100%,100%,WWWW[[#This Row],[HRP3]]/WWWW[[#This Row],[Total PoP ]])</f>
        <v>1</v>
      </c>
      <c r="CL62" s="901">
        <f>1-WWWW[[#This Row],[Hygiene Coverage%]]</f>
        <v>0</v>
      </c>
      <c r="CM62" s="900">
        <f>WWWW[[#This Row],['# people reached by regular dedicated hygiene promotion_5]]/WWWW[[#This Row],[Total PoP ]]</f>
        <v>0.27334235453315292</v>
      </c>
      <c r="CN62" s="901">
        <f>IF(WWWW[[#This Row],['#_of_affected_households_receiving_a_sufficient_quantity_of_soap]]/WWWW[[#This Row],[Total HH]]&gt;1,1,WWWW[[#This Row],['#_of_affected_households_receiving_a_sufficient_quantity_of_soap]]/WWWW[[#This Row],[Total HH]])</f>
        <v>1</v>
      </c>
      <c r="CO62" s="455" t="str">
        <f>IF(WWWW[[#This Row],['#_students at TLS_CFS]]="","No","Yes")</f>
        <v>Yes</v>
      </c>
      <c r="CP62" s="452">
        <f>WWWW[[#This Row],[%_of_affected_people_surveyed_who_report_feeling_informed_about_the_different_WASH_services_available_to_them]]</f>
        <v>1</v>
      </c>
      <c r="CQ6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168</v>
      </c>
      <c r="CR62" s="500">
        <f>IF(WWWW[[#This Row],['#_PPL_accessed_water_in_TLS]]&gt;WWWW[[#This Row],['# students access to functioning school latrines_HRP5]],WWWW[[#This Row],['#_PPL_accessed_water_in_TLS]],WWWW[[#This Row],['# students access to functioning school latrines_HRP5]])</f>
        <v>1050</v>
      </c>
      <c r="CS62" s="500">
        <f>IF(WWWW[[#This Row],['#_PPL_accessed_water_in_THF]]&gt;WWWW[[#This Row],['# people access to functioning latrines in THF_HRP6]],WWWW[[#This Row],['#_PPL_accessed_water_in_THF]],WWWW[[#This Row],['# people access to functioning latrines in THF_HRP6]])</f>
        <v>0</v>
      </c>
      <c r="CT62" s="898" t="str">
        <f>VLOOKUP(WWWW[[#This Row],[Site Name]],SiteDB6[[Site Name]:[CCCM Management]],6,FALSE)</f>
        <v>Yes</v>
      </c>
      <c r="CU62" s="898">
        <f>VLOOKUP(WWWW[[#This Row],[Site Name]],SiteDB6[[Site Name]:[CCCM Focal Agency]],7,FALSE)</f>
        <v>0</v>
      </c>
      <c r="CV62" s="898" t="str">
        <f>VLOOKUP(WWWW[[#This Row],[Site Name]],SiteDB6[[Site Name]:[Location Type 1]],9,FALSE)</f>
        <v>Camp</v>
      </c>
      <c r="CW62" s="898" t="str">
        <f>VLOOKUP(WWWW[[#This Row],[Site Name]],SiteDB6[[Site Name]:[Type of Accommodation]],10,FALSE)</f>
        <v>Planned Camp</v>
      </c>
      <c r="CX62" s="898" t="str">
        <f>VLOOKUP(WWWW[[#This Row],[Site Name]],SiteDB6[[Site Name]:[Ethnic or GCA/NGCA]],11,FALSE)</f>
        <v>Muslim</v>
      </c>
      <c r="CY62" s="898">
        <f>VLOOKUP(WWWW[[#This Row],[Site Name]],SiteDB6[[Site Name]:[Lat]],12,FALSE)</f>
        <v>20.18994</v>
      </c>
      <c r="CZ62" s="898">
        <f>VLOOKUP(WWWW[[#This Row],[Site Name]],SiteDB6[[Site Name]:[Long]],13,FALSE)</f>
        <v>92.798880999999994</v>
      </c>
      <c r="DA62" s="898" t="str">
        <f>VLOOKUP(WWWW[[#This Row],[Site Name]],SiteDB6[[Site Name]:[Pcode]],3,FALSE)</f>
        <v>MMR012CMP115</v>
      </c>
      <c r="DB62" s="906" t="str">
        <f t="shared" si="2"/>
        <v>Covered</v>
      </c>
      <c r="DC62" s="477">
        <f>VLOOKUP(WWWW[[#This Row],[Site Name]],SiteDB6[[Site Name]:[PWD_Total]],22,FALSE)</f>
        <v>168</v>
      </c>
      <c r="DD62" s="477">
        <f>VLOOKUP(WWWW[[#This Row],[Site Name]],SiteDB6[[Site Name]:[PWD_Total]],23,FALSE)</f>
        <v>1744</v>
      </c>
      <c r="DE62" s="477">
        <f>WWWW[[#This Row],['# of Male_People with disabilities]]+WWWW[[#This Row],['# of Female_People with disabilities]]</f>
        <v>1912</v>
      </c>
      <c r="DF62" s="898"/>
      <c r="DG62" s="906"/>
      <c r="DH62" s="906"/>
      <c r="DI62" s="906"/>
      <c r="DJ62" s="906">
        <f>VLOOKUP(WWWW[[#This Row],[Site Name]],SiteDB6[[Site Name]:[Pop
(CCCM as of Autust 2021)]],16,FALSE)</f>
        <v>2640</v>
      </c>
      <c r="DK62" s="906">
        <f>VLOOKUP(WWWW[[#This Row],[Site Name]],SiteDB6[[Site Name]:[Pop
(CCCM as of Autust 2021)]],17,FALSE)</f>
        <v>15778</v>
      </c>
    </row>
    <row r="63" spans="1:115">
      <c r="A63" s="896" t="s">
        <v>3145</v>
      </c>
      <c r="B63" s="896" t="s">
        <v>286</v>
      </c>
      <c r="C63" s="897" t="s">
        <v>286</v>
      </c>
      <c r="D63" s="897" t="s">
        <v>233</v>
      </c>
      <c r="E63" s="845" t="s">
        <v>293</v>
      </c>
      <c r="F63" s="897" t="s">
        <v>294</v>
      </c>
      <c r="G63" s="898" t="s">
        <v>43</v>
      </c>
      <c r="H63" s="897" t="s">
        <v>429</v>
      </c>
      <c r="I63" s="899">
        <v>2275</v>
      </c>
      <c r="J63" s="899">
        <v>12495</v>
      </c>
      <c r="K63" s="684">
        <f>WWWW[[#This Row],[Total PoP ]]/WWWW[[#This Row],[Total HH]]</f>
        <v>5.4923076923076923</v>
      </c>
      <c r="L63" s="907">
        <v>44713</v>
      </c>
      <c r="M63" s="908">
        <v>45077</v>
      </c>
      <c r="N63" s="500"/>
      <c r="O63" s="500">
        <v>176</v>
      </c>
      <c r="P63" s="500">
        <v>213</v>
      </c>
      <c r="Q63" s="500"/>
      <c r="R63" s="500"/>
      <c r="S63" s="500"/>
      <c r="T63" s="500"/>
      <c r="U63" s="500">
        <v>240</v>
      </c>
      <c r="V63" s="450">
        <v>0.65</v>
      </c>
      <c r="W63" s="500">
        <v>240</v>
      </c>
      <c r="X63" s="450"/>
      <c r="Y63" s="500"/>
      <c r="Z63" s="500"/>
      <c r="AA63" s="500"/>
      <c r="AB63" s="909"/>
      <c r="AC63" s="500">
        <v>825</v>
      </c>
      <c r="AD63" s="500">
        <v>830</v>
      </c>
      <c r="AE63" s="500">
        <v>215</v>
      </c>
      <c r="AF63" s="500">
        <v>387</v>
      </c>
      <c r="AG63" s="450"/>
      <c r="AH63" s="450"/>
      <c r="AI63" s="450"/>
      <c r="AJ63" s="500">
        <v>2</v>
      </c>
      <c r="AK63" s="500">
        <v>45</v>
      </c>
      <c r="AL63" s="500"/>
      <c r="AM63" s="500"/>
      <c r="AN63" s="500" t="s">
        <v>41</v>
      </c>
      <c r="AO63" s="538"/>
      <c r="AP63" s="500">
        <v>1513</v>
      </c>
      <c r="AQ63" s="500">
        <v>2327</v>
      </c>
      <c r="AR63" s="500">
        <v>1442</v>
      </c>
      <c r="AS63" s="500">
        <v>1529</v>
      </c>
      <c r="AT63" s="500"/>
      <c r="AU63" s="500"/>
      <c r="AV63" s="450"/>
      <c r="AW63" s="450"/>
      <c r="AX63" s="451"/>
      <c r="AY63" s="910"/>
      <c r="AZ63" s="450"/>
      <c r="BA63" s="450"/>
      <c r="BB63" s="450"/>
      <c r="BC63" s="450"/>
      <c r="BD63" s="500"/>
      <c r="BE63" s="500"/>
      <c r="BF63" s="500"/>
      <c r="BG63" s="500"/>
      <c r="BH63" s="500"/>
      <c r="BI63" s="500"/>
      <c r="BJ63" s="500"/>
      <c r="BK63" s="500"/>
      <c r="BL63" s="901" t="str">
        <f>IF(WWWW[[#This Row],['#_Water samples_Tested_at_water_source]]="","no test","Tested")</f>
        <v>Tested</v>
      </c>
      <c r="BM63" s="901" t="str">
        <f>IF(WWWW[[#This Row],['#_Water samples_Tested_at_HH]]="","no test","Tested")</f>
        <v>Tested</v>
      </c>
      <c r="BN63" s="902" t="str">
        <f>IF(AND(WWWW[[#This Row],[Water_testing_at source]]="no test",WWWW[[#This Row],[Water_testing_at HH]]="no test"),"No Test","Tested")</f>
        <v>Tested</v>
      </c>
      <c r="BO63"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3" s="903">
        <f>WWWW[[#This Row],[% HRP1]]*WWWW[[#This Row],[Total PoP ]]</f>
        <v>12495</v>
      </c>
      <c r="BQ63" s="904">
        <f>WWWW[[#This Row],[HRP1]]/500</f>
        <v>24.99</v>
      </c>
      <c r="BR63" s="905">
        <f>1-WWWW[[#This Row],[% HRP1]]</f>
        <v>0</v>
      </c>
      <c r="BS63" s="904">
        <f>WWWW[[#This Row],[%equitable and continuous access to sufficient quantity of safe drinking and domestic water''s GAP]]*WWWW[[#This Row],[Total PoP ]]</f>
        <v>0</v>
      </c>
      <c r="BT63" s="451">
        <f>ROUND(IF(WWWW[[#This Row],[Total PoP ]]&lt;500,1,WWWW[[#This Row],[Total PoP ]]/500),0)</f>
        <v>25</v>
      </c>
      <c r="BU63" s="902">
        <f>IF(WWWW[[#This Row],[Total required water points]]-WWWW[[#This Row],['#Water points coverage]]&lt;0,0,WWWW[[#This Row],[Total required water points]]-WWWW[[#This Row],['#Water points coverage]])</f>
        <v>1.0000000000001563E-2</v>
      </c>
      <c r="BV63" s="452">
        <f>WWWW[[#This Row],[HRP2]]/WWWW[[#This Row],[Total PoP ]]</f>
        <v>1</v>
      </c>
      <c r="BW63"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63" s="455">
        <f>IF(WWWW[[#This Row],['#_Functional_adult_latrines]]="","",WWWW[[#This Row],[Total PoP ]]/WWWW[[#This Row],['#_Functional_adult_latrines]])</f>
        <v>15.145454545454545</v>
      </c>
      <c r="BY63" s="902">
        <f>WWWW[[#This Row],['#_of_latrines_in_TLS/CFS]]*50</f>
        <v>0</v>
      </c>
      <c r="BZ63" s="451">
        <f>IF(WWWW[[#This Row],['#_of_latrines_in_THF]]="",0,WWWW[[#This Row],['#_of_latrines_in_THF]]*50)</f>
        <v>0</v>
      </c>
      <c r="CA63" s="902">
        <f>ROUND(IF(WWWW[[#This Row],[Location Type 1]]="camp",WWWW[[#This Row],[Total PoP ]]/20),0)</f>
        <v>625</v>
      </c>
      <c r="CB63" s="902">
        <f>IF(WWWW[[#This Row],[Total required Latrines]]-WWWW[[#This Row],['#_Existing_latrines]]&lt;0,0,WWWW[[#This Row],[Total required Latrines]]-WWWW[[#This Row],['#_Existing_latrines]])</f>
        <v>0</v>
      </c>
      <c r="CC63" s="905">
        <f>1-WWWW[[#This Row],[% HRP2]]</f>
        <v>0</v>
      </c>
      <c r="CD63" s="901">
        <f>IF(WWWW[[#This Row],['#_Existing_latrines]]="","NA",(WWWW[[#This Row],['#_Existing_latrines]]-WWWW[[#This Row],['#_Functional_adult_latrines]])/WWWW[[#This Row],['#_Existing_latrines]])</f>
        <v>6.024096385542169E-3</v>
      </c>
      <c r="CE63"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6811</v>
      </c>
      <c r="CF63" s="904">
        <f>SUM(WWWW[[#This Row],[_'#_of_Men_receiving_consultation_hygiene_promotion_messages_and_sessions]:[_'#_of_Girls_receiving_consultation_hygiene_promotion_messages_and_sessions]])-WWWW[[#This Row],['# people reached by regular dedicated hygiene promotion_5]]</f>
        <v>0</v>
      </c>
      <c r="CG63"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63" s="902">
        <f>IF(WWWW[[#This Row],['#_of_affected_women_and_girls_receiving_a_sufficient_quantity_of_sanitary_pads]]&gt;WWWW[[#This Row],[Total PoP ]],WWWW[[#This Row],[Total PoP ]],WWWW[[#This Row],['#_of_affected_women_and_girls_receiving_a_sufficient_quantity_of_sanitary_pads]])</f>
        <v>0</v>
      </c>
      <c r="CI63" s="902">
        <f>IF(WWWW[[#This Row],['# People with access to soap]]&gt;WWWW[[#This Row],['# People with access to Sanity Pads]],WWWW[[#This Row],['# People with access to soap]],WWWW[[#This Row],['# People with access to Sanity Pads]])</f>
        <v>0</v>
      </c>
      <c r="CJ63" s="902">
        <f>IF(WWWW[[#This Row],['# people reached by regular dedicated hygiene promotion_5]]&gt;WWWW[[#This Row],['# People received regular supply of hygiene items_6]],WWWW[[#This Row],['# people reached by regular dedicated hygiene promotion_5]],WWWW[[#This Row],['# People received regular supply of hygiene items_6]])</f>
        <v>6811</v>
      </c>
      <c r="CK63" s="905">
        <f>IF(WWWW[[#This Row],[HRP3]]/WWWW[[#This Row],[Total PoP ]]&gt;100%,100%,WWWW[[#This Row],[HRP3]]/WWWW[[#This Row],[Total PoP ]])</f>
        <v>0.54509803921568623</v>
      </c>
      <c r="CL63" s="901">
        <f>1-WWWW[[#This Row],[Hygiene Coverage%]]</f>
        <v>0.45490196078431377</v>
      </c>
      <c r="CM63" s="900">
        <f>WWWW[[#This Row],['# people reached by regular dedicated hygiene promotion_5]]/WWWW[[#This Row],[Total PoP ]]</f>
        <v>0.54509803921568623</v>
      </c>
      <c r="CN63" s="901">
        <f>IF(WWWW[[#This Row],['#_of_affected_households_receiving_a_sufficient_quantity_of_soap]]/WWWW[[#This Row],[Total HH]]&gt;1,1,WWWW[[#This Row],['#_of_affected_households_receiving_a_sufficient_quantity_of_soap]]/WWWW[[#This Row],[Total HH]])</f>
        <v>0</v>
      </c>
      <c r="CO63" s="455" t="str">
        <f>IF(WWWW[[#This Row],['#_students at TLS_CFS]]="","No","Yes")</f>
        <v>No</v>
      </c>
      <c r="CP63" s="452">
        <f>WWWW[[#This Row],[%_of_affected_people_surveyed_who_report_feeling_informed_about_the_different_WASH_services_available_to_them]]</f>
        <v>0</v>
      </c>
      <c r="CQ6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63" s="500">
        <f>IF(WWWW[[#This Row],['#_PPL_accessed_water_in_TLS]]&gt;WWWW[[#This Row],['# students access to functioning school latrines_HRP5]],WWWW[[#This Row],['#_PPL_accessed_water_in_TLS]],WWWW[[#This Row],['# students access to functioning school latrines_HRP5]])</f>
        <v>0</v>
      </c>
      <c r="CS63" s="500">
        <f>IF(WWWW[[#This Row],['#_PPL_accessed_water_in_THF]]&gt;WWWW[[#This Row],['# people access to functioning latrines in THF_HRP6]],WWWW[[#This Row],['#_PPL_accessed_water_in_THF]],WWWW[[#This Row],['# people access to functioning latrines in THF_HRP6]])</f>
        <v>0</v>
      </c>
      <c r="CT63" s="898" t="str">
        <f>VLOOKUP(WWWW[[#This Row],[Site Name]],SiteDB6[[Site Name]:[CCCM Management]],6,FALSE)</f>
        <v>Yes</v>
      </c>
      <c r="CU63" s="898">
        <f>VLOOKUP(WWWW[[#This Row],[Site Name]],SiteDB6[[Site Name]:[CCCM Focal Agency]],7,FALSE)</f>
        <v>0</v>
      </c>
      <c r="CV63" s="898" t="str">
        <f>VLOOKUP(WWWW[[#This Row],[Site Name]],SiteDB6[[Site Name]:[Location Type 1]],9,FALSE)</f>
        <v>Camp</v>
      </c>
      <c r="CW63" s="898" t="str">
        <f>VLOOKUP(WWWW[[#This Row],[Site Name]],SiteDB6[[Site Name]:[Type of Accommodation]],10,FALSE)</f>
        <v>Planned Camp</v>
      </c>
      <c r="CX63" s="898" t="str">
        <f>VLOOKUP(WWWW[[#This Row],[Site Name]],SiteDB6[[Site Name]:[Ethnic or GCA/NGCA]],11,FALSE)</f>
        <v>Muslim</v>
      </c>
      <c r="CY63" s="898">
        <f>VLOOKUP(WWWW[[#This Row],[Site Name]],SiteDB6[[Site Name]:[Lat]],12,FALSE)</f>
        <v>20.185092000000001</v>
      </c>
      <c r="CZ63" s="898">
        <f>VLOOKUP(WWWW[[#This Row],[Site Name]],SiteDB6[[Site Name]:[Long]],13,FALSE)</f>
        <v>92.802295999999998</v>
      </c>
      <c r="DA63" s="898" t="str">
        <f>VLOOKUP(WWWW[[#This Row],[Site Name]],SiteDB6[[Site Name]:[Pcode]],3,FALSE)</f>
        <v>MMR012CMP116</v>
      </c>
      <c r="DB63" s="906" t="str">
        <f t="shared" si="2"/>
        <v>Covered</v>
      </c>
      <c r="DC63" s="477">
        <f>VLOOKUP(WWWW[[#This Row],[Site Name]],SiteDB6[[Site Name]:[PWD_Total]],22,FALSE)</f>
        <v>223</v>
      </c>
      <c r="DD63" s="477">
        <f>VLOOKUP(WWWW[[#This Row],[Site Name]],SiteDB6[[Site Name]:[PWD_Total]],23,FALSE)</f>
        <v>1507</v>
      </c>
      <c r="DE63" s="477">
        <f>WWWW[[#This Row],['# of Male_People with disabilities]]+WWWW[[#This Row],['# of Female_People with disabilities]]</f>
        <v>1730</v>
      </c>
      <c r="DF63" s="898"/>
      <c r="DG63" s="906"/>
      <c r="DH63" s="906"/>
      <c r="DI63" s="906"/>
      <c r="DJ63" s="906">
        <f>VLOOKUP(WWWW[[#This Row],[Site Name]],SiteDB6[[Site Name]:[Pop
(CCCM as of Autust 2021)]],16,FALSE)</f>
        <v>2275</v>
      </c>
      <c r="DK63" s="906">
        <f>VLOOKUP(WWWW[[#This Row],[Site Name]],SiteDB6[[Site Name]:[Pop
(CCCM as of Autust 2021)]],17,FALSE)</f>
        <v>12341</v>
      </c>
    </row>
    <row r="64" spans="1:115">
      <c r="A64" s="896" t="s">
        <v>3145</v>
      </c>
      <c r="B64" s="896" t="s">
        <v>286</v>
      </c>
      <c r="C64" s="897" t="s">
        <v>286</v>
      </c>
      <c r="D64" s="897" t="s">
        <v>233</v>
      </c>
      <c r="E64" s="845" t="s">
        <v>293</v>
      </c>
      <c r="F64" s="897" t="s">
        <v>294</v>
      </c>
      <c r="G64" s="898" t="s">
        <v>43</v>
      </c>
      <c r="H64" s="897" t="s">
        <v>2273</v>
      </c>
      <c r="I64" s="899">
        <v>400</v>
      </c>
      <c r="J64" s="899">
        <v>2698</v>
      </c>
      <c r="K64" s="684">
        <f>WWWW[[#This Row],[Total PoP ]]/WWWW[[#This Row],[Total HH]]</f>
        <v>6.7450000000000001</v>
      </c>
      <c r="L64" s="907">
        <v>44713</v>
      </c>
      <c r="M64" s="908">
        <v>45077</v>
      </c>
      <c r="N64" s="500"/>
      <c r="O64" s="500">
        <v>32</v>
      </c>
      <c r="P64" s="500">
        <v>42</v>
      </c>
      <c r="Q64" s="500"/>
      <c r="R64" s="500"/>
      <c r="S64" s="500"/>
      <c r="T64" s="500"/>
      <c r="U64" s="500">
        <v>122</v>
      </c>
      <c r="V64" s="450">
        <v>0.69</v>
      </c>
      <c r="W64" s="500">
        <v>122</v>
      </c>
      <c r="X64" s="450"/>
      <c r="Y64" s="500"/>
      <c r="Z64" s="500"/>
      <c r="AA64" s="500"/>
      <c r="AB64" s="909"/>
      <c r="AC64" s="500">
        <v>140</v>
      </c>
      <c r="AD64" s="500">
        <v>149</v>
      </c>
      <c r="AE64" s="500">
        <v>89</v>
      </c>
      <c r="AF64" s="500">
        <v>162</v>
      </c>
      <c r="AG64" s="450"/>
      <c r="AH64" s="450"/>
      <c r="AI64" s="450"/>
      <c r="AJ64" s="500">
        <v>3</v>
      </c>
      <c r="AK64" s="500">
        <v>9</v>
      </c>
      <c r="AL64" s="500"/>
      <c r="AM64" s="500"/>
      <c r="AN64" s="500" t="s">
        <v>41</v>
      </c>
      <c r="AO64" s="538"/>
      <c r="AP64" s="500">
        <v>349</v>
      </c>
      <c r="AQ64" s="500">
        <v>556</v>
      </c>
      <c r="AR64" s="500">
        <v>330</v>
      </c>
      <c r="AS64" s="500">
        <v>211</v>
      </c>
      <c r="AT64" s="500"/>
      <c r="AU64" s="500"/>
      <c r="AV64" s="450"/>
      <c r="AW64" s="450"/>
      <c r="AX64" s="451"/>
      <c r="AY64" s="910"/>
      <c r="AZ64" s="450"/>
      <c r="BA64" s="450"/>
      <c r="BB64" s="450"/>
      <c r="BC64" s="450"/>
      <c r="BD64" s="500"/>
      <c r="BE64" s="500"/>
      <c r="BF64" s="500"/>
      <c r="BG64" s="500"/>
      <c r="BH64" s="500"/>
      <c r="BI64" s="500"/>
      <c r="BJ64" s="500"/>
      <c r="BK64" s="500"/>
      <c r="BL64" s="901" t="str">
        <f>IF(WWWW[[#This Row],['#_Water samples_Tested_at_water_source]]="","no test","Tested")</f>
        <v>Tested</v>
      </c>
      <c r="BM64" s="901" t="str">
        <f>IF(WWWW[[#This Row],['#_Water samples_Tested_at_HH]]="","no test","Tested")</f>
        <v>Tested</v>
      </c>
      <c r="BN64" s="902" t="str">
        <f>IF(AND(WWWW[[#This Row],[Water_testing_at source]]="no test",WWWW[[#This Row],[Water_testing_at HH]]="no test"),"No Test","Tested")</f>
        <v>Tested</v>
      </c>
      <c r="BO64"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4" s="903">
        <f>WWWW[[#This Row],[% HRP1]]*WWWW[[#This Row],[Total PoP ]]</f>
        <v>2698</v>
      </c>
      <c r="BQ64" s="904">
        <f>WWWW[[#This Row],[HRP1]]/500</f>
        <v>5.3959999999999999</v>
      </c>
      <c r="BR64" s="905">
        <f>1-WWWW[[#This Row],[% HRP1]]</f>
        <v>0</v>
      </c>
      <c r="BS64" s="904">
        <f>WWWW[[#This Row],[%equitable and continuous access to sufficient quantity of safe drinking and domestic water''s GAP]]*WWWW[[#This Row],[Total PoP ]]</f>
        <v>0</v>
      </c>
      <c r="BT64" s="451">
        <f>ROUND(IF(WWWW[[#This Row],[Total PoP ]]&lt;500,1,WWWW[[#This Row],[Total PoP ]]/500),0)</f>
        <v>5</v>
      </c>
      <c r="BU64" s="902">
        <f>IF(WWWW[[#This Row],[Total required water points]]-WWWW[[#This Row],['#Water points coverage]]&lt;0,0,WWWW[[#This Row],[Total required water points]]-WWWW[[#This Row],['#Water points coverage]])</f>
        <v>0</v>
      </c>
      <c r="BV64" s="452">
        <f>WWWW[[#This Row],[HRP2]]/WWWW[[#This Row],[Total PoP ]]</f>
        <v>1</v>
      </c>
      <c r="BW64"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64" s="455">
        <f>IF(WWWW[[#This Row],['#_Functional_adult_latrines]]="","",WWWW[[#This Row],[Total PoP ]]/WWWW[[#This Row],['#_Functional_adult_latrines]])</f>
        <v>19.271428571428572</v>
      </c>
      <c r="BY64" s="902">
        <f>WWWW[[#This Row],['#_of_latrines_in_TLS/CFS]]*50</f>
        <v>0</v>
      </c>
      <c r="BZ64" s="451">
        <f>IF(WWWW[[#This Row],['#_of_latrines_in_THF]]="",0,WWWW[[#This Row],['#_of_latrines_in_THF]]*50)</f>
        <v>0</v>
      </c>
      <c r="CA64" s="902">
        <f>ROUND(IF(WWWW[[#This Row],[Location Type 1]]="camp",WWWW[[#This Row],[Total PoP ]]/20),0)</f>
        <v>135</v>
      </c>
      <c r="CB64" s="902">
        <f>IF(WWWW[[#This Row],[Total required Latrines]]-WWWW[[#This Row],['#_Existing_latrines]]&lt;0,0,WWWW[[#This Row],[Total required Latrines]]-WWWW[[#This Row],['#_Existing_latrines]])</f>
        <v>0</v>
      </c>
      <c r="CC64" s="905">
        <f>1-WWWW[[#This Row],[% HRP2]]</f>
        <v>0</v>
      </c>
      <c r="CD64" s="901">
        <f>IF(WWWW[[#This Row],['#_Existing_latrines]]="","NA",(WWWW[[#This Row],['#_Existing_latrines]]-WWWW[[#This Row],['#_Functional_adult_latrines]])/WWWW[[#This Row],['#_Existing_latrines]])</f>
        <v>6.0402684563758392E-2</v>
      </c>
      <c r="CE64"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1446</v>
      </c>
      <c r="CF64" s="904">
        <f>SUM(WWWW[[#This Row],[_'#_of_Men_receiving_consultation_hygiene_promotion_messages_and_sessions]:[_'#_of_Girls_receiving_consultation_hygiene_promotion_messages_and_sessions]])-WWWW[[#This Row],['# people reached by regular dedicated hygiene promotion_5]]</f>
        <v>0</v>
      </c>
      <c r="CG64"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64" s="902">
        <f>IF(WWWW[[#This Row],['#_of_affected_women_and_girls_receiving_a_sufficient_quantity_of_sanitary_pads]]&gt;WWWW[[#This Row],[Total PoP ]],WWWW[[#This Row],[Total PoP ]],WWWW[[#This Row],['#_of_affected_women_and_girls_receiving_a_sufficient_quantity_of_sanitary_pads]])</f>
        <v>0</v>
      </c>
      <c r="CI64" s="902">
        <f>IF(WWWW[[#This Row],['# People with access to soap]]&gt;WWWW[[#This Row],['# People with access to Sanity Pads]],WWWW[[#This Row],['# People with access to soap]],WWWW[[#This Row],['# People with access to Sanity Pads]])</f>
        <v>0</v>
      </c>
      <c r="CJ64" s="902">
        <f>IF(WWWW[[#This Row],['# people reached by regular dedicated hygiene promotion_5]]&gt;WWWW[[#This Row],['# People received regular supply of hygiene items_6]],WWWW[[#This Row],['# people reached by regular dedicated hygiene promotion_5]],WWWW[[#This Row],['# People received regular supply of hygiene items_6]])</f>
        <v>1446</v>
      </c>
      <c r="CK64" s="905">
        <f>IF(WWWW[[#This Row],[HRP3]]/WWWW[[#This Row],[Total PoP ]]&gt;100%,100%,WWWW[[#This Row],[HRP3]]/WWWW[[#This Row],[Total PoP ]])</f>
        <v>0.53595255744996295</v>
      </c>
      <c r="CL64" s="901">
        <f>1-WWWW[[#This Row],[Hygiene Coverage%]]</f>
        <v>0.46404744255003705</v>
      </c>
      <c r="CM64" s="900">
        <f>WWWW[[#This Row],['# people reached by regular dedicated hygiene promotion_5]]/WWWW[[#This Row],[Total PoP ]]</f>
        <v>0.53595255744996295</v>
      </c>
      <c r="CN64" s="901">
        <f>IF(WWWW[[#This Row],['#_of_affected_households_receiving_a_sufficient_quantity_of_soap]]/WWWW[[#This Row],[Total HH]]&gt;1,1,WWWW[[#This Row],['#_of_affected_households_receiving_a_sufficient_quantity_of_soap]]/WWWW[[#This Row],[Total HH]])</f>
        <v>0</v>
      </c>
      <c r="CO64" s="455" t="str">
        <f>IF(WWWW[[#This Row],['#_students at TLS_CFS]]="","No","Yes")</f>
        <v>No</v>
      </c>
      <c r="CP64" s="452">
        <f>WWWW[[#This Row],[%_of_affected_people_surveyed_who_report_feeling_informed_about_the_different_WASH_services_available_to_them]]</f>
        <v>0</v>
      </c>
      <c r="CQ6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64" s="500">
        <f>IF(WWWW[[#This Row],['#_PPL_accessed_water_in_TLS]]&gt;WWWW[[#This Row],['# students access to functioning school latrines_HRP5]],WWWW[[#This Row],['#_PPL_accessed_water_in_TLS]],WWWW[[#This Row],['# students access to functioning school latrines_HRP5]])</f>
        <v>0</v>
      </c>
      <c r="CS64" s="500">
        <f>IF(WWWW[[#This Row],['#_PPL_accessed_water_in_THF]]&gt;WWWW[[#This Row],['# people access to functioning latrines in THF_HRP6]],WWWW[[#This Row],['#_PPL_accessed_water_in_THF]],WWWW[[#This Row],['# people access to functioning latrines in THF_HRP6]])</f>
        <v>0</v>
      </c>
      <c r="CT64" s="898">
        <f>VLOOKUP(WWWW[[#This Row],[Site Name]],SiteDB6[[Site Name]:[CCCM Management]],6,FALSE)</f>
        <v>0</v>
      </c>
      <c r="CU64" s="898">
        <f>VLOOKUP(WWWW[[#This Row],[Site Name]],SiteDB6[[Site Name]:[CCCM Focal Agency]],7,FALSE)</f>
        <v>0</v>
      </c>
      <c r="CV64" s="898" t="str">
        <f>VLOOKUP(WWWW[[#This Row],[Site Name]],SiteDB6[[Site Name]:[Location Type 1]],9,FALSE)</f>
        <v>Camp</v>
      </c>
      <c r="CW64" s="898" t="str">
        <f>VLOOKUP(WWWW[[#This Row],[Site Name]],SiteDB6[[Site Name]:[Type of Accommodation]],10,FALSE)</f>
        <v>Planned Camp</v>
      </c>
      <c r="CX64" s="898" t="str">
        <f>VLOOKUP(WWWW[[#This Row],[Site Name]],SiteDB6[[Site Name]:[Ethnic or GCA/NGCA]],11,FALSE)</f>
        <v>Muslim</v>
      </c>
      <c r="CY64" s="898">
        <f>VLOOKUP(WWWW[[#This Row],[Site Name]],SiteDB6[[Site Name]:[Lat]],12,FALSE)</f>
        <v>20.207284999999999</v>
      </c>
      <c r="CZ64" s="898">
        <f>VLOOKUP(WWWW[[#This Row],[Site Name]],SiteDB6[[Site Name]:[Long]],13,FALSE)</f>
        <v>92.788177000000005</v>
      </c>
      <c r="DA64" s="898" t="str">
        <f>VLOOKUP(WWWW[[#This Row],[Site Name]],SiteDB6[[Site Name]:[Pcode]],3,FALSE)</f>
        <v>MMR012CMP045</v>
      </c>
      <c r="DB64" s="906" t="str">
        <f t="shared" si="2"/>
        <v>Covered</v>
      </c>
      <c r="DC64" s="477">
        <f>VLOOKUP(WWWW[[#This Row],[Site Name]],SiteDB6[[Site Name]:[PWD_Total]],22,FALSE)</f>
        <v>0</v>
      </c>
      <c r="DD64" s="477">
        <f>VLOOKUP(WWWW[[#This Row],[Site Name]],SiteDB6[[Site Name]:[PWD_Total]],23,FALSE)</f>
        <v>0</v>
      </c>
      <c r="DE64" s="477">
        <f>WWWW[[#This Row],['# of Male_People with disabilities]]+WWWW[[#This Row],['# of Female_People with disabilities]]</f>
        <v>0</v>
      </c>
      <c r="DF64" s="898"/>
      <c r="DG64" s="906"/>
      <c r="DH64" s="906"/>
      <c r="DI64" s="906"/>
      <c r="DJ64" s="906">
        <f>VLOOKUP(WWWW[[#This Row],[Site Name]],SiteDB6[[Site Name]:[Pop
(CCCM as of Autust 2021)]],16,FALSE)</f>
        <v>0</v>
      </c>
      <c r="DK64" s="906">
        <f>VLOOKUP(WWWW[[#This Row],[Site Name]],SiteDB6[[Site Name]:[Pop
(CCCM as of Autust 2021)]],17,FALSE)</f>
        <v>0</v>
      </c>
    </row>
    <row r="65" spans="1:115">
      <c r="A65" s="896" t="s">
        <v>3145</v>
      </c>
      <c r="B65" s="896" t="s">
        <v>2620</v>
      </c>
      <c r="C65" s="897" t="s">
        <v>2620</v>
      </c>
      <c r="D65" s="897" t="s">
        <v>3184</v>
      </c>
      <c r="E65" s="845" t="s">
        <v>293</v>
      </c>
      <c r="F65" s="897" t="s">
        <v>294</v>
      </c>
      <c r="G65" s="898" t="s">
        <v>43</v>
      </c>
      <c r="H65" s="897" t="s">
        <v>438</v>
      </c>
      <c r="I65" s="899">
        <v>2280</v>
      </c>
      <c r="J65" s="899">
        <v>11564</v>
      </c>
      <c r="K65" s="684">
        <f>WWWW[[#This Row],[Total PoP ]]/WWWW[[#This Row],[Total HH]]</f>
        <v>5.0719298245614031</v>
      </c>
      <c r="L65" s="907">
        <v>44652</v>
      </c>
      <c r="M65" s="908">
        <v>44834</v>
      </c>
      <c r="N65" s="500">
        <v>2187</v>
      </c>
      <c r="O65" s="500">
        <v>181</v>
      </c>
      <c r="P65" s="500">
        <v>193</v>
      </c>
      <c r="Q65" s="500"/>
      <c r="R65" s="500"/>
      <c r="S65" s="500"/>
      <c r="T65" s="500"/>
      <c r="U65" s="500">
        <v>5</v>
      </c>
      <c r="V65" s="450">
        <v>0.8</v>
      </c>
      <c r="W65" s="500"/>
      <c r="X65" s="450"/>
      <c r="Y65" s="500"/>
      <c r="Z65" s="500"/>
      <c r="AA65" s="500"/>
      <c r="AB65" s="909"/>
      <c r="AC65" s="500">
        <v>486</v>
      </c>
      <c r="AD65" s="500">
        <v>520</v>
      </c>
      <c r="AE65" s="500">
        <v>159</v>
      </c>
      <c r="AF65" s="500">
        <v>262</v>
      </c>
      <c r="AG65" s="450">
        <v>1</v>
      </c>
      <c r="AH65" s="450">
        <v>0.97</v>
      </c>
      <c r="AI65" s="450">
        <v>0.87</v>
      </c>
      <c r="AJ65" s="500">
        <v>4</v>
      </c>
      <c r="AK65" s="500">
        <v>51</v>
      </c>
      <c r="AL65" s="500">
        <v>57</v>
      </c>
      <c r="AM65" s="500"/>
      <c r="AN65" s="500" t="s">
        <v>41</v>
      </c>
      <c r="AO65" s="538" t="s">
        <v>3207</v>
      </c>
      <c r="AP65" s="500"/>
      <c r="AQ65" s="500">
        <v>413</v>
      </c>
      <c r="AR65" s="500">
        <v>442</v>
      </c>
      <c r="AS65" s="500">
        <v>407</v>
      </c>
      <c r="AT65" s="500">
        <v>4570</v>
      </c>
      <c r="AU65" s="500">
        <v>2280</v>
      </c>
      <c r="AV65" s="450">
        <v>1</v>
      </c>
      <c r="AW65" s="450">
        <v>1</v>
      </c>
      <c r="AX65" s="451">
        <v>35</v>
      </c>
      <c r="AY65" s="910" t="s">
        <v>3208</v>
      </c>
      <c r="AZ65" s="450">
        <v>1</v>
      </c>
      <c r="BA65" s="450">
        <v>1</v>
      </c>
      <c r="BB65" s="450">
        <v>1</v>
      </c>
      <c r="BC65" s="450">
        <v>1</v>
      </c>
      <c r="BD65" s="450"/>
      <c r="BE65" s="500">
        <v>159</v>
      </c>
      <c r="BF65" s="500"/>
      <c r="BG65" s="500"/>
      <c r="BH65" s="500"/>
      <c r="BI65" s="500"/>
      <c r="BJ65" s="500"/>
      <c r="BK65" s="500"/>
      <c r="BL65" s="901" t="str">
        <f>IF(WWWW[[#This Row],['#_Water samples_Tested_at_water_source]]="","no test","Tested")</f>
        <v>Tested</v>
      </c>
      <c r="BM65" s="901" t="str">
        <f>IF(WWWW[[#This Row],['#_Water samples_Tested_at_HH]]="","no test","Tested")</f>
        <v>no test</v>
      </c>
      <c r="BN65" s="902" t="str">
        <f>IF(AND(WWWW[[#This Row],[Water_testing_at source]]="no test",WWWW[[#This Row],[Water_testing_at HH]]="no test"),"No Test","Tested")</f>
        <v>Tested</v>
      </c>
      <c r="BO65"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5" s="903">
        <f>WWWW[[#This Row],[% HRP1]]*WWWW[[#This Row],[Total PoP ]]</f>
        <v>11564</v>
      </c>
      <c r="BQ65" s="904">
        <f>WWWW[[#This Row],[HRP1]]/500</f>
        <v>23.128</v>
      </c>
      <c r="BR65" s="905">
        <f>1-WWWW[[#This Row],[% HRP1]]</f>
        <v>0</v>
      </c>
      <c r="BS65" s="904">
        <f>WWWW[[#This Row],[%equitable and continuous access to sufficient quantity of safe drinking and domestic water''s GAP]]*WWWW[[#This Row],[Total PoP ]]</f>
        <v>0</v>
      </c>
      <c r="BT65" s="451">
        <f>ROUND(IF(WWWW[[#This Row],[Total PoP ]]&lt;500,1,WWWW[[#This Row],[Total PoP ]]/500),0)</f>
        <v>23</v>
      </c>
      <c r="BU65" s="902">
        <f>IF(WWWW[[#This Row],[Total required water points]]-WWWW[[#This Row],['#Water points coverage]]&lt;0,0,WWWW[[#This Row],[Total required water points]]-WWWW[[#This Row],['#Water points coverage]])</f>
        <v>0</v>
      </c>
      <c r="BV65" s="452">
        <f>WWWW[[#This Row],[HRP2]]/WWWW[[#This Row],[Total PoP ]]</f>
        <v>0.85186786579038398</v>
      </c>
      <c r="BW65"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9851</v>
      </c>
      <c r="BX65" s="455">
        <f>IF(WWWW[[#This Row],['#_Functional_adult_latrines]]="","",WWWW[[#This Row],[Total PoP ]]/WWWW[[#This Row],['#_Functional_adult_latrines]])</f>
        <v>23.794238683127571</v>
      </c>
      <c r="BY65" s="902">
        <f>WWWW[[#This Row],['#_of_latrines_in_TLS/CFS]]*50</f>
        <v>2850</v>
      </c>
      <c r="BZ65" s="451">
        <f>IF(WWWW[[#This Row],['#_of_latrines_in_THF]]="",0,WWWW[[#This Row],['#_of_latrines_in_THF]]*50)</f>
        <v>0</v>
      </c>
      <c r="CA65" s="902">
        <f>ROUND(IF(WWWW[[#This Row],[Location Type 1]]="camp",WWWW[[#This Row],[Total PoP ]]/20),0)</f>
        <v>578</v>
      </c>
      <c r="CB65" s="902">
        <f>IF(WWWW[[#This Row],[Total required Latrines]]-WWWW[[#This Row],['#_Existing_latrines]]&lt;0,0,WWWW[[#This Row],[Total required Latrines]]-WWWW[[#This Row],['#_Existing_latrines]])</f>
        <v>58</v>
      </c>
      <c r="CC65" s="905">
        <f>1-WWWW[[#This Row],[% HRP2]]</f>
        <v>0.14813213420961602</v>
      </c>
      <c r="CD65" s="901">
        <f>IF(WWWW[[#This Row],['#_Existing_latrines]]="","NA",(WWWW[[#This Row],['#_Existing_latrines]]-WWWW[[#This Row],['#_Functional_adult_latrines]])/WWWW[[#This Row],['#_Existing_latrines]])</f>
        <v>6.5384615384615388E-2</v>
      </c>
      <c r="CE65"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F65" s="904">
        <f>SUM(WWWW[[#This Row],[_'#_of_Men_receiving_consultation_hygiene_promotion_messages_and_sessions]:[_'#_of_Girls_receiving_consultation_hygiene_promotion_messages_and_sessions]])-WWWW[[#This Row],['# people reached by regular dedicated hygiene promotion_5]]</f>
        <v>0</v>
      </c>
      <c r="CG65"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H65" s="902">
        <f>IF(WWWW[[#This Row],['#_of_affected_women_and_girls_receiving_a_sufficient_quantity_of_sanitary_pads]]&gt;WWWW[[#This Row],[Total PoP ]],WWWW[[#This Row],[Total PoP ]],WWWW[[#This Row],['#_of_affected_women_and_girls_receiving_a_sufficient_quantity_of_sanitary_pads]])</f>
        <v>2280</v>
      </c>
      <c r="CI65" s="902">
        <f>IF(WWWW[[#This Row],['# People with access to soap]]&gt;WWWW[[#This Row],['# People with access to Sanity Pads]],WWWW[[#This Row],['# People with access to soap]],WWWW[[#This Row],['# People with access to Sanity Pads]])</f>
        <v>11564</v>
      </c>
      <c r="CJ65" s="902">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K65" s="905">
        <f>IF(WWWW[[#This Row],[HRP3]]/WWWW[[#This Row],[Total PoP ]]&gt;100%,100%,WWWW[[#This Row],[HRP3]]/WWWW[[#This Row],[Total PoP ]])</f>
        <v>1</v>
      </c>
      <c r="CL65" s="901">
        <f>1-WWWW[[#This Row],[Hygiene Coverage%]]</f>
        <v>0</v>
      </c>
      <c r="CM65" s="900">
        <f>WWWW[[#This Row],['# people reached by regular dedicated hygiene promotion_5]]/WWWW[[#This Row],[Total PoP ]]</f>
        <v>0.10913178830854375</v>
      </c>
      <c r="CN65" s="901">
        <f>IF(WWWW[[#This Row],['#_of_affected_households_receiving_a_sufficient_quantity_of_soap]]/WWWW[[#This Row],[Total HH]]&gt;1,1,WWWW[[#This Row],['#_of_affected_households_receiving_a_sufficient_quantity_of_soap]]/WWWW[[#This Row],[Total HH]])</f>
        <v>1</v>
      </c>
      <c r="CO65" s="455" t="str">
        <f>IF(WWWW[[#This Row],['#_students at TLS_CFS]]="","No","Yes")</f>
        <v>Yes</v>
      </c>
      <c r="CP65" s="452">
        <f>WWWW[[#This Row],[%_of_affected_people_surveyed_who_report_feeling_informed_about_the_different_WASH_services_available_to_them]]</f>
        <v>1</v>
      </c>
      <c r="CQ6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159</v>
      </c>
      <c r="CR65" s="500">
        <f>IF(WWWW[[#This Row],['#_PPL_accessed_water_in_TLS]]&gt;WWWW[[#This Row],['# students access to functioning school latrines_HRP5]],WWWW[[#This Row],['#_PPL_accessed_water_in_TLS]],WWWW[[#This Row],['# students access to functioning school latrines_HRP5]])</f>
        <v>2850</v>
      </c>
      <c r="CS65" s="500">
        <f>IF(WWWW[[#This Row],['#_PPL_accessed_water_in_THF]]&gt;WWWW[[#This Row],['# people access to functioning latrines in THF_HRP6]],WWWW[[#This Row],['#_PPL_accessed_water_in_THF]],WWWW[[#This Row],['# people access to functioning latrines in THF_HRP6]])</f>
        <v>0</v>
      </c>
      <c r="CT65" s="898" t="str">
        <f>VLOOKUP(WWWW[[#This Row],[Site Name]],SiteDB6[[Site Name]:[CCCM Management]],6,FALSE)</f>
        <v>Yes</v>
      </c>
      <c r="CU65" s="898">
        <f>VLOOKUP(WWWW[[#This Row],[Site Name]],SiteDB6[[Site Name]:[CCCM Focal Agency]],7,FALSE)</f>
        <v>0</v>
      </c>
      <c r="CV65" s="898" t="str">
        <f>VLOOKUP(WWWW[[#This Row],[Site Name]],SiteDB6[[Site Name]:[Location Type 1]],9,FALSE)</f>
        <v>Camp</v>
      </c>
      <c r="CW65" s="898" t="str">
        <f>VLOOKUP(WWWW[[#This Row],[Site Name]],SiteDB6[[Site Name]:[Type of Accommodation]],10,FALSE)</f>
        <v>Planned Camp</v>
      </c>
      <c r="CX65" s="898" t="str">
        <f>VLOOKUP(WWWW[[#This Row],[Site Name]],SiteDB6[[Site Name]:[Ethnic or GCA/NGCA]],11,FALSE)</f>
        <v>Muslim</v>
      </c>
      <c r="CY65" s="898">
        <f>VLOOKUP(WWWW[[#This Row],[Site Name]],SiteDB6[[Site Name]:[Lat]],12,FALSE)</f>
        <v>20.202525000000001</v>
      </c>
      <c r="CZ65" s="898">
        <f>VLOOKUP(WWWW[[#This Row],[Site Name]],SiteDB6[[Site Name]:[Long]],13,FALSE)</f>
        <v>92.792479999999998</v>
      </c>
      <c r="DA65" s="898" t="str">
        <f>VLOOKUP(WWWW[[#This Row],[Site Name]],SiteDB6[[Site Name]:[Pcode]],3,FALSE)</f>
        <v>MMR012CMP045</v>
      </c>
      <c r="DB65" s="906" t="str">
        <f t="shared" si="2"/>
        <v>Covered</v>
      </c>
      <c r="DC65" s="477">
        <f>VLOOKUP(WWWW[[#This Row],[Site Name]],SiteDB6[[Site Name]:[PWD_Total]],22,FALSE)</f>
        <v>114</v>
      </c>
      <c r="DD65" s="477">
        <f>VLOOKUP(WWWW[[#This Row],[Site Name]],SiteDB6[[Site Name]:[PWD_Total]],23,FALSE)</f>
        <v>1144</v>
      </c>
      <c r="DE65" s="477">
        <f>WWWW[[#This Row],['# of Male_People with disabilities]]+WWWW[[#This Row],['# of Female_People with disabilities]]</f>
        <v>1258</v>
      </c>
      <c r="DF65" s="898"/>
      <c r="DG65" s="906"/>
      <c r="DH65" s="906"/>
      <c r="DI65" s="906"/>
      <c r="DJ65" s="906">
        <f>VLOOKUP(WWWW[[#This Row],[Site Name]],SiteDB6[[Site Name]:[Pop
(CCCM as of Autust 2021)]],16,FALSE)</f>
        <v>2678</v>
      </c>
      <c r="DK65" s="906">
        <f>VLOOKUP(WWWW[[#This Row],[Site Name]],SiteDB6[[Site Name]:[Pop
(CCCM as of Autust 2021)]],17,FALSE)</f>
        <v>14788</v>
      </c>
    </row>
    <row r="66" spans="1:115">
      <c r="A66" s="896" t="s">
        <v>3145</v>
      </c>
      <c r="B66" s="896" t="s">
        <v>286</v>
      </c>
      <c r="C66" s="897" t="s">
        <v>286</v>
      </c>
      <c r="D66" s="897" t="s">
        <v>3003</v>
      </c>
      <c r="E66" s="845" t="s">
        <v>293</v>
      </c>
      <c r="F66" s="897" t="s">
        <v>401</v>
      </c>
      <c r="G66" s="898" t="s">
        <v>43</v>
      </c>
      <c r="H66" s="897" t="s">
        <v>404</v>
      </c>
      <c r="I66" s="899">
        <v>811</v>
      </c>
      <c r="J66" s="899">
        <v>2861</v>
      </c>
      <c r="K66" s="684">
        <f>WWWW[[#This Row],[Total PoP ]]/WWWW[[#This Row],[Total HH]]</f>
        <v>3.5277435265104811</v>
      </c>
      <c r="L66" s="907">
        <v>44713</v>
      </c>
      <c r="M66" s="908">
        <v>45077</v>
      </c>
      <c r="N66" s="500"/>
      <c r="O66" s="500"/>
      <c r="P66" s="500"/>
      <c r="Q66" s="500">
        <v>8</v>
      </c>
      <c r="R66" s="500">
        <v>8</v>
      </c>
      <c r="S66" s="500"/>
      <c r="T66" s="500"/>
      <c r="U66" s="500"/>
      <c r="V66" s="450"/>
      <c r="W66" s="500"/>
      <c r="X66" s="450"/>
      <c r="Y66" s="500"/>
      <c r="Z66" s="500"/>
      <c r="AA66" s="500"/>
      <c r="AB66" s="909" t="s">
        <v>3211</v>
      </c>
      <c r="AC66" s="500">
        <v>355</v>
      </c>
      <c r="AD66" s="500">
        <v>363</v>
      </c>
      <c r="AE66" s="500"/>
      <c r="AF66" s="500">
        <v>166</v>
      </c>
      <c r="AG66" s="450"/>
      <c r="AH66" s="450"/>
      <c r="AI66" s="450"/>
      <c r="AJ66" s="500">
        <v>1</v>
      </c>
      <c r="AK66" s="500"/>
      <c r="AL66" s="500"/>
      <c r="AM66" s="500"/>
      <c r="AN66" s="500" t="s">
        <v>41</v>
      </c>
      <c r="AO66" s="538"/>
      <c r="AP66" s="500">
        <v>449</v>
      </c>
      <c r="AQ66" s="500">
        <v>555</v>
      </c>
      <c r="AR66" s="500">
        <v>79</v>
      </c>
      <c r="AS66" s="500">
        <v>101</v>
      </c>
      <c r="AT66" s="500"/>
      <c r="AU66" s="500"/>
      <c r="AV66" s="450"/>
      <c r="AW66" s="450"/>
      <c r="AX66" s="451"/>
      <c r="AY66" s="910"/>
      <c r="AZ66" s="450"/>
      <c r="BA66" s="450"/>
      <c r="BB66" s="450"/>
      <c r="BC66" s="450"/>
      <c r="BD66" s="500"/>
      <c r="BE66" s="500"/>
      <c r="BF66" s="500"/>
      <c r="BG66" s="500"/>
      <c r="BH66" s="500"/>
      <c r="BI66" s="500"/>
      <c r="BJ66" s="500"/>
      <c r="BK66" s="500"/>
      <c r="BL66" s="901" t="str">
        <f>IF(WWWW[[#This Row],['#_Water samples_Tested_at_water_source]]="","no test","Tested")</f>
        <v>no test</v>
      </c>
      <c r="BM66" s="901" t="str">
        <f>IF(WWWW[[#This Row],['#_Water samples_Tested_at_HH]]="","no test","Tested")</f>
        <v>no test</v>
      </c>
      <c r="BN66" s="902" t="str">
        <f>IF(AND(WWWW[[#This Row],[Water_testing_at source]]="no test",WWWW[[#This Row],[Water_testing_at HH]]="no test"),"No Test","Tested")</f>
        <v>No Test</v>
      </c>
      <c r="BO66"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P66" s="903">
        <f>WWWW[[#This Row],[% HRP1]]*WWWW[[#This Row],[Total PoP ]]</f>
        <v>2000</v>
      </c>
      <c r="BQ66" s="904">
        <f>WWWW[[#This Row],[HRP1]]/500</f>
        <v>4</v>
      </c>
      <c r="BR66" s="905">
        <f>1-WWWW[[#This Row],[% HRP1]]</f>
        <v>0.30094372596994057</v>
      </c>
      <c r="BS66" s="904">
        <f>WWWW[[#This Row],[%equitable and continuous access to sufficient quantity of safe drinking and domestic water''s GAP]]*WWWW[[#This Row],[Total PoP ]]</f>
        <v>861</v>
      </c>
      <c r="BT66" s="451">
        <f>ROUND(IF(WWWW[[#This Row],[Total PoP ]]&lt;500,1,WWWW[[#This Row],[Total PoP ]]/500),0)</f>
        <v>6</v>
      </c>
      <c r="BU66" s="902">
        <f>IF(WWWW[[#This Row],[Total required water points]]-WWWW[[#This Row],['#Water points coverage]]&lt;0,0,WWWW[[#This Row],[Total required water points]]-WWWW[[#This Row],['#Water points coverage]])</f>
        <v>2</v>
      </c>
      <c r="BV66" s="452">
        <f>WWWW[[#This Row],[HRP2]]/WWWW[[#This Row],[Total PoP ]]</f>
        <v>1</v>
      </c>
      <c r="BW66"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66" s="455">
        <f>IF(WWWW[[#This Row],['#_Functional_adult_latrines]]="","",WWWW[[#This Row],[Total PoP ]]/WWWW[[#This Row],['#_Functional_adult_latrines]])</f>
        <v>8.0591549295774652</v>
      </c>
      <c r="BY66" s="902">
        <f>WWWW[[#This Row],['#_of_latrines_in_TLS/CFS]]*50</f>
        <v>0</v>
      </c>
      <c r="BZ66" s="451">
        <f>IF(WWWW[[#This Row],['#_of_latrines_in_THF]]="",0,WWWW[[#This Row],['#_of_latrines_in_THF]]*50)</f>
        <v>0</v>
      </c>
      <c r="CA66" s="902">
        <f>ROUND(IF(WWWW[[#This Row],[Location Type 1]]="camp",WWWW[[#This Row],[Total PoP ]]/20),0)</f>
        <v>143</v>
      </c>
      <c r="CB66" s="902">
        <f>IF(WWWW[[#This Row],[Total required Latrines]]-WWWW[[#This Row],['#_Existing_latrines]]&lt;0,0,WWWW[[#This Row],[Total required Latrines]]-WWWW[[#This Row],['#_Existing_latrines]])</f>
        <v>0</v>
      </c>
      <c r="CC66" s="905">
        <f>1-WWWW[[#This Row],[% HRP2]]</f>
        <v>0</v>
      </c>
      <c r="CD66" s="901">
        <f>IF(WWWW[[#This Row],['#_Existing_latrines]]="","NA",(WWWW[[#This Row],['#_Existing_latrines]]-WWWW[[#This Row],['#_Functional_adult_latrines]])/WWWW[[#This Row],['#_Existing_latrines]])</f>
        <v>2.2038567493112948E-2</v>
      </c>
      <c r="CE66"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1184</v>
      </c>
      <c r="CF66" s="904">
        <f>SUM(WWWW[[#This Row],[_'#_of_Men_receiving_consultation_hygiene_promotion_messages_and_sessions]:[_'#_of_Girls_receiving_consultation_hygiene_promotion_messages_and_sessions]])-WWWW[[#This Row],['# people reached by regular dedicated hygiene promotion_5]]</f>
        <v>0</v>
      </c>
      <c r="CG66"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66" s="902">
        <f>IF(WWWW[[#This Row],['#_of_affected_women_and_girls_receiving_a_sufficient_quantity_of_sanitary_pads]]&gt;WWWW[[#This Row],[Total PoP ]],WWWW[[#This Row],[Total PoP ]],WWWW[[#This Row],['#_of_affected_women_and_girls_receiving_a_sufficient_quantity_of_sanitary_pads]])</f>
        <v>0</v>
      </c>
      <c r="CI66" s="902">
        <f>IF(WWWW[[#This Row],['# People with access to soap]]&gt;WWWW[[#This Row],['# People with access to Sanity Pads]],WWWW[[#This Row],['# People with access to soap]],WWWW[[#This Row],['# People with access to Sanity Pads]])</f>
        <v>0</v>
      </c>
      <c r="CJ66" s="902">
        <f>IF(WWWW[[#This Row],['# people reached by regular dedicated hygiene promotion_5]]&gt;WWWW[[#This Row],['# People received regular supply of hygiene items_6]],WWWW[[#This Row],['# people reached by regular dedicated hygiene promotion_5]],WWWW[[#This Row],['# People received regular supply of hygiene items_6]])</f>
        <v>1184</v>
      </c>
      <c r="CK66" s="905">
        <f>IF(WWWW[[#This Row],[HRP3]]/WWWW[[#This Row],[Total PoP ]]&gt;100%,100%,WWWW[[#This Row],[HRP3]]/WWWW[[#This Row],[Total PoP ]])</f>
        <v>0.41384131422579518</v>
      </c>
      <c r="CL66" s="901">
        <f>1-WWWW[[#This Row],[Hygiene Coverage%]]</f>
        <v>0.58615868577420482</v>
      </c>
      <c r="CM66" s="900">
        <f>WWWW[[#This Row],['# people reached by regular dedicated hygiene promotion_5]]/WWWW[[#This Row],[Total PoP ]]</f>
        <v>0.41384131422579518</v>
      </c>
      <c r="CN66" s="901">
        <f>IF(WWWW[[#This Row],['#_of_affected_households_receiving_a_sufficient_quantity_of_soap]]/WWWW[[#This Row],[Total HH]]&gt;1,1,WWWW[[#This Row],['#_of_affected_households_receiving_a_sufficient_quantity_of_soap]]/WWWW[[#This Row],[Total HH]])</f>
        <v>0</v>
      </c>
      <c r="CO66" s="455" t="str">
        <f>IF(WWWW[[#This Row],['#_students at TLS_CFS]]="","No","Yes")</f>
        <v>No</v>
      </c>
      <c r="CP66" s="452">
        <f>WWWW[[#This Row],[%_of_affected_people_surveyed_who_report_feeling_informed_about_the_different_WASH_services_available_to_them]]</f>
        <v>0</v>
      </c>
      <c r="CQ6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66" s="500">
        <f>IF(WWWW[[#This Row],['#_PPL_accessed_water_in_TLS]]&gt;WWWW[[#This Row],['# students access to functioning school latrines_HRP5]],WWWW[[#This Row],['#_PPL_accessed_water_in_TLS]],WWWW[[#This Row],['# students access to functioning school latrines_HRP5]])</f>
        <v>0</v>
      </c>
      <c r="CS66" s="500">
        <f>IF(WWWW[[#This Row],['#_PPL_accessed_water_in_THF]]&gt;WWWW[[#This Row],['# people access to functioning latrines in THF_HRP6]],WWWW[[#This Row],['#_PPL_accessed_water_in_THF]],WWWW[[#This Row],['# people access to functioning latrines in THF_HRP6]])</f>
        <v>0</v>
      </c>
      <c r="CT66" s="898" t="str">
        <f>VLOOKUP(WWWW[[#This Row],[Site Name]],SiteDB6[[Site Name]:[CCCM Management]],6,FALSE)</f>
        <v>Yes</v>
      </c>
      <c r="CU66" s="898" t="str">
        <f>VLOOKUP(WWWW[[#This Row],[Site Name]],SiteDB6[[Site Name]:[CCCM Focal Agency]],7,FALSE)</f>
        <v>DRC</v>
      </c>
      <c r="CV66" s="898" t="str">
        <f>VLOOKUP(WWWW[[#This Row],[Site Name]],SiteDB6[[Site Name]:[Location Type 1]],9,FALSE)</f>
        <v>Camp</v>
      </c>
      <c r="CW66" s="898" t="str">
        <f>VLOOKUP(WWWW[[#This Row],[Site Name]],SiteDB6[[Site Name]:[Type of Accommodation]],10,FALSE)</f>
        <v>Planned Camp</v>
      </c>
      <c r="CX66" s="898" t="str">
        <f>VLOOKUP(WWWW[[#This Row],[Site Name]],SiteDB6[[Site Name]:[Ethnic or GCA/NGCA]],11,FALSE)</f>
        <v>Muslim</v>
      </c>
      <c r="CY66" s="898">
        <f>VLOOKUP(WWWW[[#This Row],[Site Name]],SiteDB6[[Site Name]:[Lat]],12,FALSE)</f>
        <v>20.064226000000001</v>
      </c>
      <c r="CZ66" s="898">
        <f>VLOOKUP(WWWW[[#This Row],[Site Name]],SiteDB6[[Site Name]:[Long]],13,FALSE)</f>
        <v>92.993758999999997</v>
      </c>
      <c r="DA66" s="898" t="str">
        <f>VLOOKUP(WWWW[[#This Row],[Site Name]],SiteDB6[[Site Name]:[Pcode]],3,FALSE)</f>
        <v>MMR012CMP019</v>
      </c>
      <c r="DB66" s="906" t="str">
        <f t="shared" si="2"/>
        <v>Covered</v>
      </c>
      <c r="DC66" s="477">
        <f>VLOOKUP(WWWW[[#This Row],[Site Name]],SiteDB6[[Site Name]:[PWD_Total]],22,FALSE)</f>
        <v>159</v>
      </c>
      <c r="DD66" s="477">
        <f>VLOOKUP(WWWW[[#This Row],[Site Name]],SiteDB6[[Site Name]:[PWD_Total]],23,FALSE)</f>
        <v>361</v>
      </c>
      <c r="DE66" s="477">
        <f>WWWW[[#This Row],['# of Male_People with disabilities]]+WWWW[[#This Row],['# of Female_People with disabilities]]</f>
        <v>520</v>
      </c>
      <c r="DF66" s="898"/>
      <c r="DG66" s="906"/>
      <c r="DH66" s="906"/>
      <c r="DI66" s="906"/>
      <c r="DJ66" s="906">
        <f>VLOOKUP(WWWW[[#This Row],[Site Name]],SiteDB6[[Site Name]:[Pop
(CCCM as of Autust 2021)]],16,FALSE)</f>
        <v>682</v>
      </c>
      <c r="DK66" s="906">
        <f>VLOOKUP(WWWW[[#This Row],[Site Name]],SiteDB6[[Site Name]:[Pop
(CCCM as of Autust 2021)]],17,FALSE)</f>
        <v>2588</v>
      </c>
    </row>
    <row r="67" spans="1:115">
      <c r="A67" s="896" t="s">
        <v>3145</v>
      </c>
      <c r="B67" s="896" t="s">
        <v>397</v>
      </c>
      <c r="C67" s="897" t="s">
        <v>397</v>
      </c>
      <c r="D67" s="897" t="s">
        <v>3003</v>
      </c>
      <c r="E67" s="845" t="s">
        <v>293</v>
      </c>
      <c r="F67" s="897" t="s">
        <v>398</v>
      </c>
      <c r="G67" s="898" t="s">
        <v>43</v>
      </c>
      <c r="H67" s="897" t="s">
        <v>399</v>
      </c>
      <c r="I67" s="899">
        <v>716</v>
      </c>
      <c r="J67" s="899">
        <v>2920</v>
      </c>
      <c r="K67" s="684">
        <f>WWWW[[#This Row],[Total PoP ]]/WWWW[[#This Row],[Total HH]]</f>
        <v>4.0782122905027931</v>
      </c>
      <c r="L67" s="907">
        <v>43952</v>
      </c>
      <c r="M67" s="908">
        <v>44316</v>
      </c>
      <c r="N67" s="500"/>
      <c r="O67" s="500"/>
      <c r="P67" s="500"/>
      <c r="Q67" s="500">
        <v>6</v>
      </c>
      <c r="R67" s="500">
        <v>6</v>
      </c>
      <c r="S67" s="500"/>
      <c r="T67" s="500"/>
      <c r="U67" s="500"/>
      <c r="V67" s="450"/>
      <c r="W67" s="500"/>
      <c r="X67" s="450"/>
      <c r="Y67" s="500"/>
      <c r="Z67" s="500"/>
      <c r="AA67" s="500"/>
      <c r="AB67" s="909"/>
      <c r="AC67" s="500">
        <v>642</v>
      </c>
      <c r="AD67" s="500">
        <v>642</v>
      </c>
      <c r="AE67" s="500"/>
      <c r="AF67" s="500"/>
      <c r="AG67" s="450"/>
      <c r="AH67" s="450"/>
      <c r="AI67" s="450"/>
      <c r="AJ67" s="500">
        <v>6</v>
      </c>
      <c r="AK67" s="500"/>
      <c r="AL67" s="500">
        <v>4</v>
      </c>
      <c r="AM67" s="500">
        <v>1</v>
      </c>
      <c r="AN67" s="500" t="s">
        <v>125</v>
      </c>
      <c r="AO67" s="538"/>
      <c r="AP67" s="500"/>
      <c r="AQ67" s="500"/>
      <c r="AR67" s="500"/>
      <c r="AS67" s="500"/>
      <c r="AT67" s="500"/>
      <c r="AU67" s="500"/>
      <c r="AV67" s="450"/>
      <c r="AW67" s="450"/>
      <c r="AX67" s="451"/>
      <c r="AY67" s="910"/>
      <c r="AZ67" s="450"/>
      <c r="BA67" s="450"/>
      <c r="BB67" s="450"/>
      <c r="BC67" s="450"/>
      <c r="BD67" s="450"/>
      <c r="BE67" s="500"/>
      <c r="BF67" s="500"/>
      <c r="BG67" s="500"/>
      <c r="BH67" s="500"/>
      <c r="BI67" s="500"/>
      <c r="BJ67" s="500"/>
      <c r="BK67" s="500"/>
      <c r="BL67" s="901" t="str">
        <f>IF(WWWW[[#This Row],['#_Water samples_Tested_at_water_source]]="","no test","Tested")</f>
        <v>no test</v>
      </c>
      <c r="BM67" s="901" t="str">
        <f>IF(WWWW[[#This Row],['#_Water samples_Tested_at_HH]]="","no test","Tested")</f>
        <v>no test</v>
      </c>
      <c r="BN67" s="902" t="str">
        <f>IF(AND(WWWW[[#This Row],[Water_testing_at source]]="no test",WWWW[[#This Row],[Water_testing_at HH]]="no test"),"No Test","Tested")</f>
        <v>No Test</v>
      </c>
      <c r="BO67"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67" s="903">
        <f>WWWW[[#This Row],[% HRP1]]*WWWW[[#This Row],[Total PoP ]]</f>
        <v>1500.0000000000002</v>
      </c>
      <c r="BQ67" s="904">
        <f>WWWW[[#This Row],[HRP1]]/500</f>
        <v>3.0000000000000004</v>
      </c>
      <c r="BR67" s="905">
        <f>1-WWWW[[#This Row],[% HRP1]]</f>
        <v>0.48630136986301364</v>
      </c>
      <c r="BS67" s="904">
        <f>WWWW[[#This Row],[%equitable and continuous access to sufficient quantity of safe drinking and domestic water''s GAP]]*WWWW[[#This Row],[Total PoP ]]</f>
        <v>1419.9999999999998</v>
      </c>
      <c r="BT67" s="451">
        <f>ROUND(IF(WWWW[[#This Row],[Total PoP ]]&lt;500,1,WWWW[[#This Row],[Total PoP ]]/500),0)</f>
        <v>6</v>
      </c>
      <c r="BU67" s="902">
        <f>IF(WWWW[[#This Row],[Total required water points]]-WWWW[[#This Row],['#Water points coverage]]&lt;0,0,WWWW[[#This Row],[Total required water points]]-WWWW[[#This Row],['#Water points coverage]])</f>
        <v>2.9999999999999996</v>
      </c>
      <c r="BV67" s="452">
        <f>WWWW[[#This Row],[HRP2]]/WWWW[[#This Row],[Total PoP ]]</f>
        <v>1</v>
      </c>
      <c r="BW67"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67" s="455">
        <f>IF(WWWW[[#This Row],['#_Functional_adult_latrines]]="","",WWWW[[#This Row],[Total PoP ]]/WWWW[[#This Row],['#_Functional_adult_latrines]])</f>
        <v>4.5482866043613708</v>
      </c>
      <c r="BY67" s="902">
        <f>WWWW[[#This Row],['#_of_latrines_in_TLS/CFS]]*50</f>
        <v>200</v>
      </c>
      <c r="BZ67" s="451">
        <f>IF(WWWW[[#This Row],['#_of_latrines_in_THF]]="",0,WWWW[[#This Row],['#_of_latrines_in_THF]]*50)</f>
        <v>50</v>
      </c>
      <c r="CA67" s="902">
        <f>ROUND(IF(WWWW[[#This Row],[Location Type 1]]="camp",WWWW[[#This Row],[Total PoP ]]/20),0)</f>
        <v>146</v>
      </c>
      <c r="CB67" s="902">
        <f>IF(WWWW[[#This Row],[Total required Latrines]]-WWWW[[#This Row],['#_Existing_latrines]]&lt;0,0,WWWW[[#This Row],[Total required Latrines]]-WWWW[[#This Row],['#_Existing_latrines]])</f>
        <v>0</v>
      </c>
      <c r="CC67" s="905">
        <f>1-WWWW[[#This Row],[% HRP2]]</f>
        <v>0</v>
      </c>
      <c r="CD67" s="901">
        <f>IF(WWWW[[#This Row],['#_Existing_latrines]]="","NA",(WWWW[[#This Row],['#_Existing_latrines]]-WWWW[[#This Row],['#_Functional_adult_latrines]])/WWWW[[#This Row],['#_Existing_latrines]])</f>
        <v>0</v>
      </c>
      <c r="CE67"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67" s="904">
        <f>SUM(WWWW[[#This Row],[_'#_of_Men_receiving_consultation_hygiene_promotion_messages_and_sessions]:[_'#_of_Girls_receiving_consultation_hygiene_promotion_messages_and_sessions]])-WWWW[[#This Row],['# people reached by regular dedicated hygiene promotion_5]]</f>
        <v>0</v>
      </c>
      <c r="CG67"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67" s="902">
        <f>IF(WWWW[[#This Row],['#_of_affected_women_and_girls_receiving_a_sufficient_quantity_of_sanitary_pads]]&gt;WWWW[[#This Row],[Total PoP ]],WWWW[[#This Row],[Total PoP ]],WWWW[[#This Row],['#_of_affected_women_and_girls_receiving_a_sufficient_quantity_of_sanitary_pads]])</f>
        <v>0</v>
      </c>
      <c r="CI67" s="902">
        <f>IF(WWWW[[#This Row],['# People with access to soap]]&gt;WWWW[[#This Row],['# People with access to Sanity Pads]],WWWW[[#This Row],['# People with access to soap]],WWWW[[#This Row],['# People with access to Sanity Pads]])</f>
        <v>0</v>
      </c>
      <c r="CJ67" s="902">
        <f>IF(WWWW[[#This Row],['# people reached by regular dedicated hygiene promotion_5]]&gt;WWWW[[#This Row],['# People received regular supply of hygiene items_6]],WWWW[[#This Row],['# people reached by regular dedicated hygiene promotion_5]],WWWW[[#This Row],['# People received regular supply of hygiene items_6]])</f>
        <v>0</v>
      </c>
      <c r="CK67" s="905">
        <f>IF(WWWW[[#This Row],[HRP3]]/WWWW[[#This Row],[Total PoP ]]&gt;100%,100%,WWWW[[#This Row],[HRP3]]/WWWW[[#This Row],[Total PoP ]])</f>
        <v>0</v>
      </c>
      <c r="CL67" s="901">
        <f>1-WWWW[[#This Row],[Hygiene Coverage%]]</f>
        <v>1</v>
      </c>
      <c r="CM67" s="900">
        <f>WWWW[[#This Row],['# people reached by regular dedicated hygiene promotion_5]]/WWWW[[#This Row],[Total PoP ]]</f>
        <v>0</v>
      </c>
      <c r="CN67" s="901">
        <f>IF(WWWW[[#This Row],['#_of_affected_households_receiving_a_sufficient_quantity_of_soap]]/WWWW[[#This Row],[Total HH]]&gt;1,1,WWWW[[#This Row],['#_of_affected_households_receiving_a_sufficient_quantity_of_soap]]/WWWW[[#This Row],[Total HH]])</f>
        <v>0</v>
      </c>
      <c r="CO67" s="455" t="str">
        <f>IF(WWWW[[#This Row],['#_students at TLS_CFS]]="","No","Yes")</f>
        <v>No</v>
      </c>
      <c r="CP67" s="452">
        <f>WWWW[[#This Row],[%_of_affected_people_surveyed_who_report_feeling_informed_about_the_different_WASH_services_available_to_them]]</f>
        <v>0</v>
      </c>
      <c r="CQ6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67" s="500">
        <f>IF(WWWW[[#This Row],['#_PPL_accessed_water_in_TLS]]&gt;WWWW[[#This Row],['# students access to functioning school latrines_HRP5]],WWWW[[#This Row],['#_PPL_accessed_water_in_TLS]],WWWW[[#This Row],['# students access to functioning school latrines_HRP5]])</f>
        <v>200</v>
      </c>
      <c r="CS67" s="500">
        <f>IF(WWWW[[#This Row],['#_PPL_accessed_water_in_THF]]&gt;WWWW[[#This Row],['# people access to functioning latrines in THF_HRP6]],WWWW[[#This Row],['#_PPL_accessed_water_in_THF]],WWWW[[#This Row],['# people access to functioning latrines in THF_HRP6]])</f>
        <v>50</v>
      </c>
      <c r="CT67" s="898" t="str">
        <f>VLOOKUP(WWWW[[#This Row],[Site Name]],SiteDB6[[Site Name]:[CCCM Management]],6,FALSE)</f>
        <v>Yes</v>
      </c>
      <c r="CU67" s="898" t="str">
        <f>VLOOKUP(WWWW[[#This Row],[Site Name]],SiteDB6[[Site Name]:[CCCM Focal Agency]],7,FALSE)</f>
        <v>RI</v>
      </c>
      <c r="CV67" s="898" t="str">
        <f>VLOOKUP(WWWW[[#This Row],[Site Name]],SiteDB6[[Site Name]:[Location Type 1]],9,FALSE)</f>
        <v>Camp</v>
      </c>
      <c r="CW67" s="898" t="str">
        <f>VLOOKUP(WWWW[[#This Row],[Site Name]],SiteDB6[[Site Name]:[Type of Accommodation]],10,FALSE)</f>
        <v>Planned Camp</v>
      </c>
      <c r="CX67" s="898" t="str">
        <f>VLOOKUP(WWWW[[#This Row],[Site Name]],SiteDB6[[Site Name]:[Ethnic or GCA/NGCA]],11,FALSE)</f>
        <v>Muslim</v>
      </c>
      <c r="CY67" s="898">
        <f>VLOOKUP(WWWW[[#This Row],[Site Name]],SiteDB6[[Site Name]:[Lat]],12,FALSE)</f>
        <v>20.037655000000001</v>
      </c>
      <c r="CZ67" s="898">
        <f>VLOOKUP(WWWW[[#This Row],[Site Name]],SiteDB6[[Site Name]:[Long]],13,FALSE)</f>
        <v>93.370037999999994</v>
      </c>
      <c r="DA67" s="898" t="str">
        <f>VLOOKUP(WWWW[[#This Row],[Site Name]],SiteDB6[[Site Name]:[Pcode]],3,FALSE)</f>
        <v>MMR012CMP014</v>
      </c>
      <c r="DB67" s="906" t="str">
        <f t="shared" si="2"/>
        <v>Covered</v>
      </c>
      <c r="DC67" s="477">
        <f>VLOOKUP(WWWW[[#This Row],[Site Name]],SiteDB6[[Site Name]:[PWD_Total]],22,FALSE)</f>
        <v>73</v>
      </c>
      <c r="DD67" s="477">
        <f>VLOOKUP(WWWW[[#This Row],[Site Name]],SiteDB6[[Site Name]:[PWD_Total]],23,FALSE)</f>
        <v>318</v>
      </c>
      <c r="DE67" s="477">
        <f>WWWW[[#This Row],['# of Male_People with disabilities]]+WWWW[[#This Row],['# of Female_People with disabilities]]</f>
        <v>391</v>
      </c>
      <c r="DF67" s="898"/>
      <c r="DG67" s="906"/>
      <c r="DH67" s="906"/>
      <c r="DI67" s="906"/>
      <c r="DJ67" s="906">
        <f>VLOOKUP(WWWW[[#This Row],[Site Name]],SiteDB6[[Site Name]:[Pop
(CCCM as of Autust 2021)]],16,FALSE)</f>
        <v>747</v>
      </c>
      <c r="DK67" s="906">
        <f>VLOOKUP(WWWW[[#This Row],[Site Name]],SiteDB6[[Site Name]:[Pop
(CCCM as of Autust 2021)]],17,FALSE)</f>
        <v>3495</v>
      </c>
    </row>
    <row r="68" spans="1:115">
      <c r="A68" s="896" t="s">
        <v>3145</v>
      </c>
      <c r="B68" s="896" t="s">
        <v>2270</v>
      </c>
      <c r="C68" s="897" t="s">
        <v>2270</v>
      </c>
      <c r="D68" s="897" t="s">
        <v>3184</v>
      </c>
      <c r="E68" s="845" t="s">
        <v>293</v>
      </c>
      <c r="F68" s="897" t="s">
        <v>294</v>
      </c>
      <c r="G68" s="898" t="s">
        <v>43</v>
      </c>
      <c r="H68" s="897" t="s">
        <v>421</v>
      </c>
      <c r="I68" s="899">
        <v>2038</v>
      </c>
      <c r="J68" s="899">
        <v>12972</v>
      </c>
      <c r="K68" s="684">
        <f>WWWW[[#This Row],[Total PoP ]]/WWWW[[#This Row],[Total HH]]</f>
        <v>6.3650637880274781</v>
      </c>
      <c r="L68" s="907">
        <v>44652</v>
      </c>
      <c r="M68" s="908">
        <v>44834</v>
      </c>
      <c r="N68" s="500">
        <v>1027</v>
      </c>
      <c r="O68" s="500">
        <v>38</v>
      </c>
      <c r="P68" s="500">
        <v>40</v>
      </c>
      <c r="Q68" s="500"/>
      <c r="R68" s="500"/>
      <c r="S68" s="500"/>
      <c r="T68" s="500"/>
      <c r="U68" s="500">
        <v>46</v>
      </c>
      <c r="V68" s="450">
        <v>0.58689999999999998</v>
      </c>
      <c r="W68" s="500">
        <v>88</v>
      </c>
      <c r="X68" s="450">
        <v>0.23799999999999999</v>
      </c>
      <c r="Y68" s="500"/>
      <c r="Z68" s="500"/>
      <c r="AA68" s="500"/>
      <c r="AB68" s="909"/>
      <c r="AC68" s="500">
        <v>212</v>
      </c>
      <c r="AD68" s="500">
        <v>253</v>
      </c>
      <c r="AE68" s="500">
        <v>133</v>
      </c>
      <c r="AF68" s="500">
        <v>189</v>
      </c>
      <c r="AG68" s="450">
        <v>1</v>
      </c>
      <c r="AH68" s="450">
        <v>0.83</v>
      </c>
      <c r="AI68" s="450">
        <v>0.47</v>
      </c>
      <c r="AJ68" s="500"/>
      <c r="AK68" s="500">
        <v>913</v>
      </c>
      <c r="AL68" s="500"/>
      <c r="AM68" s="500"/>
      <c r="AN68" s="500" t="s">
        <v>41</v>
      </c>
      <c r="AO68" s="538" t="s">
        <v>3205</v>
      </c>
      <c r="AP68" s="500">
        <v>8</v>
      </c>
      <c r="AQ68" s="500">
        <v>108</v>
      </c>
      <c r="AR68" s="500">
        <v>308</v>
      </c>
      <c r="AS68" s="500">
        <v>311</v>
      </c>
      <c r="AT68" s="500">
        <v>1126</v>
      </c>
      <c r="AU68" s="500">
        <v>3339</v>
      </c>
      <c r="AV68" s="450">
        <v>1</v>
      </c>
      <c r="AW68" s="450">
        <v>1</v>
      </c>
      <c r="AX68" s="451">
        <v>15</v>
      </c>
      <c r="AY68" s="910" t="s">
        <v>3212</v>
      </c>
      <c r="AZ68" s="450">
        <v>1</v>
      </c>
      <c r="BA68" s="450">
        <v>1</v>
      </c>
      <c r="BB68" s="450">
        <v>1</v>
      </c>
      <c r="BC68" s="450">
        <v>0.9</v>
      </c>
      <c r="BD68" s="450"/>
      <c r="BE68" s="500">
        <v>133</v>
      </c>
      <c r="BF68" s="500"/>
      <c r="BG68" s="500"/>
      <c r="BH68" s="500"/>
      <c r="BI68" s="500"/>
      <c r="BJ68" s="500"/>
      <c r="BK68" s="500"/>
      <c r="BL68" s="901" t="str">
        <f>IF(WWWW[[#This Row],['#_Water samples_Tested_at_water_source]]="","no test","Tested")</f>
        <v>Tested</v>
      </c>
      <c r="BM68" s="901" t="str">
        <f>IF(WWWW[[#This Row],['#_Water samples_Tested_at_HH]]="","no test","Tested")</f>
        <v>Tested</v>
      </c>
      <c r="BN68" s="902" t="str">
        <f>IF(AND(WWWW[[#This Row],[Water_testing_at source]]="no test",WWWW[[#This Row],[Water_testing_at HH]]="no test"),"No Test","Tested")</f>
        <v>Tested</v>
      </c>
      <c r="BO68"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0.73234659266111624</v>
      </c>
      <c r="BP68" s="903">
        <f>WWWW[[#This Row],[% HRP1]]*WWWW[[#This Row],[Total PoP ]]</f>
        <v>9500</v>
      </c>
      <c r="BQ68" s="904">
        <f>WWWW[[#This Row],[HRP1]]/500</f>
        <v>19</v>
      </c>
      <c r="BR68" s="905">
        <f>1-WWWW[[#This Row],[% HRP1]]</f>
        <v>0.26765340733888376</v>
      </c>
      <c r="BS68" s="904">
        <f>WWWW[[#This Row],[%equitable and continuous access to sufficient quantity of safe drinking and domestic water''s GAP]]*WWWW[[#This Row],[Total PoP ]]</f>
        <v>3472</v>
      </c>
      <c r="BT68" s="451">
        <f>ROUND(IF(WWWW[[#This Row],[Total PoP ]]&lt;500,1,WWWW[[#This Row],[Total PoP ]]/500),0)</f>
        <v>26</v>
      </c>
      <c r="BU68" s="902">
        <f>IF(WWWW[[#This Row],[Total required water points]]-WWWW[[#This Row],['#Water points coverage]]&lt;0,0,WWWW[[#This Row],[Total required water points]]-WWWW[[#This Row],['#Water points coverage]])</f>
        <v>7</v>
      </c>
      <c r="BV68" s="452">
        <f>WWWW[[#This Row],[HRP2]]/WWWW[[#This Row],[Total PoP ]]</f>
        <v>0.39724020968239282</v>
      </c>
      <c r="BW68"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5153</v>
      </c>
      <c r="BX68" s="455">
        <f>IF(WWWW[[#This Row],['#_Functional_adult_latrines]]="","",WWWW[[#This Row],[Total PoP ]]/WWWW[[#This Row],['#_Functional_adult_latrines]])</f>
        <v>61.188679245283019</v>
      </c>
      <c r="BY68" s="902">
        <f>WWWW[[#This Row],['#_of_latrines_in_TLS/CFS]]*50</f>
        <v>0</v>
      </c>
      <c r="BZ68" s="451">
        <f>IF(WWWW[[#This Row],['#_of_latrines_in_THF]]="",0,WWWW[[#This Row],['#_of_latrines_in_THF]]*50)</f>
        <v>0</v>
      </c>
      <c r="CA68" s="902">
        <f>ROUND(IF(WWWW[[#This Row],[Location Type 1]]="camp",WWWW[[#This Row],[Total PoP ]]/20),0)</f>
        <v>649</v>
      </c>
      <c r="CB68" s="902">
        <f>IF(WWWW[[#This Row],[Total required Latrines]]-WWWW[[#This Row],['#_Existing_latrines]]&lt;0,0,WWWW[[#This Row],[Total required Latrines]]-WWWW[[#This Row],['#_Existing_latrines]])</f>
        <v>396</v>
      </c>
      <c r="CC68" s="905">
        <f>1-WWWW[[#This Row],[% HRP2]]</f>
        <v>0.60275979031760718</v>
      </c>
      <c r="CD68" s="901">
        <f>IF(WWWW[[#This Row],['#_Existing_latrines]]="","NA",(WWWW[[#This Row],['#_Existing_latrines]]-WWWW[[#This Row],['#_Functional_adult_latrines]])/WWWW[[#This Row],['#_Existing_latrines]])</f>
        <v>0.16205533596837945</v>
      </c>
      <c r="CE68"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735</v>
      </c>
      <c r="CF68" s="904">
        <f>SUM(WWWW[[#This Row],[_'#_of_Men_receiving_consultation_hygiene_promotion_messages_and_sessions]:[_'#_of_Girls_receiving_consultation_hygiene_promotion_messages_and_sessions]])-WWWW[[#This Row],['# people reached by regular dedicated hygiene promotion_5]]</f>
        <v>0</v>
      </c>
      <c r="CG68"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7167.0618253189405</v>
      </c>
      <c r="CH68" s="902">
        <f>IF(WWWW[[#This Row],['#_of_affected_women_and_girls_receiving_a_sufficient_quantity_of_sanitary_pads]]&gt;WWWW[[#This Row],[Total PoP ]],WWWW[[#This Row],[Total PoP ]],WWWW[[#This Row],['#_of_affected_women_and_girls_receiving_a_sufficient_quantity_of_sanitary_pads]])</f>
        <v>3339</v>
      </c>
      <c r="CI68" s="902">
        <f>IF(WWWW[[#This Row],['# People with access to soap]]&gt;WWWW[[#This Row],['# People with access to Sanity Pads]],WWWW[[#This Row],['# People with access to soap]],WWWW[[#This Row],['# People with access to Sanity Pads]])</f>
        <v>7167.0618253189405</v>
      </c>
      <c r="CJ68" s="902">
        <f>IF(WWWW[[#This Row],['# people reached by regular dedicated hygiene promotion_5]]&gt;WWWW[[#This Row],['# People received regular supply of hygiene items_6]],WWWW[[#This Row],['# people reached by regular dedicated hygiene promotion_5]],WWWW[[#This Row],['# People received regular supply of hygiene items_6]])</f>
        <v>7167.0618253189405</v>
      </c>
      <c r="CK68" s="905">
        <f>IF(WWWW[[#This Row],[HRP3]]/WWWW[[#This Row],[Total PoP ]]&gt;100%,100%,WWWW[[#This Row],[HRP3]]/WWWW[[#This Row],[Total PoP ]])</f>
        <v>0.55250245338567228</v>
      </c>
      <c r="CL68" s="901">
        <f>1-WWWW[[#This Row],[Hygiene Coverage%]]</f>
        <v>0.44749754661432772</v>
      </c>
      <c r="CM68" s="900">
        <f>WWWW[[#This Row],['# people reached by regular dedicated hygiene promotion_5]]/WWWW[[#This Row],[Total PoP ]]</f>
        <v>5.6660499537465311E-2</v>
      </c>
      <c r="CN68" s="901">
        <f>IF(WWWW[[#This Row],['#_of_affected_households_receiving_a_sufficient_quantity_of_soap]]/WWWW[[#This Row],[Total HH]]&gt;1,1,WWWW[[#This Row],['#_of_affected_households_receiving_a_sufficient_quantity_of_soap]]/WWWW[[#This Row],[Total HH]])</f>
        <v>0.55250245338567228</v>
      </c>
      <c r="CO68" s="455" t="str">
        <f>IF(WWWW[[#This Row],['#_students at TLS_CFS]]="","No","Yes")</f>
        <v>Yes</v>
      </c>
      <c r="CP68" s="452">
        <f>WWWW[[#This Row],[%_of_affected_people_surveyed_who_report_feeling_informed_about_the_different_WASH_services_available_to_them]]</f>
        <v>1</v>
      </c>
      <c r="CQ6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133</v>
      </c>
      <c r="CR68" s="500">
        <f>IF(WWWW[[#This Row],['#_PPL_accessed_water_in_TLS]]&gt;WWWW[[#This Row],['# students access to functioning school latrines_HRP5]],WWWW[[#This Row],['#_PPL_accessed_water_in_TLS]],WWWW[[#This Row],['# students access to functioning school latrines_HRP5]])</f>
        <v>0</v>
      </c>
      <c r="CS68" s="500">
        <f>IF(WWWW[[#This Row],['#_PPL_accessed_water_in_THF]]&gt;WWWW[[#This Row],['# people access to functioning latrines in THF_HRP6]],WWWW[[#This Row],['#_PPL_accessed_water_in_THF]],WWWW[[#This Row],['# people access to functioning latrines in THF_HRP6]])</f>
        <v>0</v>
      </c>
      <c r="CT68" s="898" t="str">
        <f>VLOOKUP(WWWW[[#This Row],[Site Name]],SiteDB6[[Site Name]:[CCCM Management]],6,FALSE)</f>
        <v>Yes</v>
      </c>
      <c r="CU68" s="898">
        <f>VLOOKUP(WWWW[[#This Row],[Site Name]],SiteDB6[[Site Name]:[CCCM Focal Agency]],7,FALSE)</f>
        <v>0</v>
      </c>
      <c r="CV68" s="898" t="str">
        <f>VLOOKUP(WWWW[[#This Row],[Site Name]],SiteDB6[[Site Name]:[Location Type 1]],9,FALSE)</f>
        <v>Camp</v>
      </c>
      <c r="CW68" s="898" t="str">
        <f>VLOOKUP(WWWW[[#This Row],[Site Name]],SiteDB6[[Site Name]:[Type of Accommodation]],10,FALSE)</f>
        <v>Self Settled Camp</v>
      </c>
      <c r="CX68" s="898" t="str">
        <f>VLOOKUP(WWWW[[#This Row],[Site Name]],SiteDB6[[Site Name]:[Ethnic or GCA/NGCA]],11,FALSE)</f>
        <v>Muslim</v>
      </c>
      <c r="CY68" s="898">
        <f>VLOOKUP(WWWW[[#This Row],[Site Name]],SiteDB6[[Site Name]:[Lat]],12,FALSE)</f>
        <v>20.1585</v>
      </c>
      <c r="CZ68" s="898">
        <f>VLOOKUP(WWWW[[#This Row],[Site Name]],SiteDB6[[Site Name]:[Long]],13,FALSE)</f>
        <v>92.839416999999997</v>
      </c>
      <c r="DA68" s="898" t="str">
        <f>VLOOKUP(WWWW[[#This Row],[Site Name]],SiteDB6[[Site Name]:[Pcode]],3,FALSE)</f>
        <v>MMR012CMP046</v>
      </c>
      <c r="DB68" s="906" t="str">
        <f t="shared" si="2"/>
        <v>Covered</v>
      </c>
      <c r="DC68" s="477">
        <f>VLOOKUP(WWWW[[#This Row],[Site Name]],SiteDB6[[Site Name]:[PWD_Total]],22,FALSE)</f>
        <v>365</v>
      </c>
      <c r="DD68" s="477">
        <f>VLOOKUP(WWWW[[#This Row],[Site Name]],SiteDB6[[Site Name]:[PWD_Total]],23,FALSE)</f>
        <v>800</v>
      </c>
      <c r="DE68" s="477">
        <f>WWWW[[#This Row],['# of Male_People with disabilities]]+WWWW[[#This Row],['# of Female_People with disabilities]]</f>
        <v>1165</v>
      </c>
      <c r="DF68" s="898"/>
      <c r="DG68" s="906"/>
      <c r="DH68" s="906"/>
      <c r="DI68" s="906"/>
      <c r="DJ68" s="906">
        <f>VLOOKUP(WWWW[[#This Row],[Site Name]],SiteDB6[[Site Name]:[Pop
(CCCM as of Autust 2021)]],16,FALSE)</f>
        <v>2062</v>
      </c>
      <c r="DK68" s="906">
        <f>VLOOKUP(WWWW[[#This Row],[Site Name]],SiteDB6[[Site Name]:[Pop
(CCCM as of Autust 2021)]],17,FALSE)</f>
        <v>12522</v>
      </c>
    </row>
    <row r="69" spans="1:115">
      <c r="A69" s="896" t="s">
        <v>3145</v>
      </c>
      <c r="B69" s="896" t="s">
        <v>2620</v>
      </c>
      <c r="C69" s="897" t="s">
        <v>2620</v>
      </c>
      <c r="D69" s="897" t="s">
        <v>3184</v>
      </c>
      <c r="E69" s="845" t="s">
        <v>293</v>
      </c>
      <c r="F69" s="897" t="s">
        <v>294</v>
      </c>
      <c r="G69" s="898" t="s">
        <v>43</v>
      </c>
      <c r="H69" s="897" t="s">
        <v>425</v>
      </c>
      <c r="I69" s="899">
        <v>1013</v>
      </c>
      <c r="J69" s="899">
        <v>5950</v>
      </c>
      <c r="K69" s="684">
        <f>WWWW[[#This Row],[Total PoP ]]/WWWW[[#This Row],[Total HH]]</f>
        <v>5.8736426456071076</v>
      </c>
      <c r="L69" s="907">
        <v>44652</v>
      </c>
      <c r="M69" s="908">
        <v>44834</v>
      </c>
      <c r="N69" s="500">
        <v>742</v>
      </c>
      <c r="O69" s="500">
        <v>63</v>
      </c>
      <c r="P69" s="500">
        <v>69</v>
      </c>
      <c r="Q69" s="500"/>
      <c r="R69" s="500"/>
      <c r="S69" s="500"/>
      <c r="T69" s="500"/>
      <c r="U69" s="500">
        <v>83</v>
      </c>
      <c r="V69" s="450">
        <v>0.54200000000000004</v>
      </c>
      <c r="W69" s="500">
        <v>155</v>
      </c>
      <c r="X69" s="450">
        <v>0.2</v>
      </c>
      <c r="Y69" s="500"/>
      <c r="Z69" s="500"/>
      <c r="AA69" s="500"/>
      <c r="AB69" s="909"/>
      <c r="AC69" s="500">
        <v>251</v>
      </c>
      <c r="AD69" s="500">
        <v>317</v>
      </c>
      <c r="AE69" s="500">
        <v>130</v>
      </c>
      <c r="AF69" s="500">
        <v>180</v>
      </c>
      <c r="AG69" s="450">
        <v>1</v>
      </c>
      <c r="AH69" s="450">
        <v>0.59</v>
      </c>
      <c r="AI69" s="450">
        <v>0.66</v>
      </c>
      <c r="AJ69" s="500"/>
      <c r="AK69" s="500">
        <v>38</v>
      </c>
      <c r="AL69" s="500">
        <v>7</v>
      </c>
      <c r="AM69" s="500"/>
      <c r="AN69" s="500" t="s">
        <v>41</v>
      </c>
      <c r="AO69" s="538" t="s">
        <v>3207</v>
      </c>
      <c r="AP69" s="500">
        <v>157</v>
      </c>
      <c r="AQ69" s="500">
        <v>472</v>
      </c>
      <c r="AR69" s="500">
        <v>784</v>
      </c>
      <c r="AS69" s="500">
        <v>829</v>
      </c>
      <c r="AT69" s="500">
        <v>1013</v>
      </c>
      <c r="AU69" s="500">
        <v>2623</v>
      </c>
      <c r="AV69" s="450">
        <v>0.6</v>
      </c>
      <c r="AW69" s="450">
        <v>1</v>
      </c>
      <c r="AX69" s="451">
        <v>0</v>
      </c>
      <c r="AY69" s="910" t="s">
        <v>3208</v>
      </c>
      <c r="AZ69" s="450">
        <v>0.62</v>
      </c>
      <c r="BA69" s="450">
        <v>0.83</v>
      </c>
      <c r="BB69" s="450">
        <v>0.96</v>
      </c>
      <c r="BC69" s="450">
        <v>0.8</v>
      </c>
      <c r="BD69" s="450"/>
      <c r="BE69" s="500">
        <v>130</v>
      </c>
      <c r="BF69" s="500"/>
      <c r="BG69" s="500"/>
      <c r="BH69" s="500"/>
      <c r="BI69" s="500"/>
      <c r="BJ69" s="500"/>
      <c r="BK69" s="500"/>
      <c r="BL69" s="901" t="str">
        <f>IF(WWWW[[#This Row],['#_Water samples_Tested_at_water_source]]="","no test","Tested")</f>
        <v>Tested</v>
      </c>
      <c r="BM69" s="901" t="str">
        <f>IF(WWWW[[#This Row],['#_Water samples_Tested_at_HH]]="","no test","Tested")</f>
        <v>Tested</v>
      </c>
      <c r="BN69" s="902" t="str">
        <f>IF(AND(WWWW[[#This Row],[Water_testing_at source]]="no test",WWWW[[#This Row],[Water_testing_at HH]]="no test"),"No Test","Tested")</f>
        <v>Tested</v>
      </c>
      <c r="BO69" s="90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9" s="903">
        <f>WWWW[[#This Row],[% HRP1]]*WWWW[[#This Row],[Total PoP ]]</f>
        <v>5950</v>
      </c>
      <c r="BQ69" s="904">
        <f>WWWW[[#This Row],[HRP1]]/500</f>
        <v>11.9</v>
      </c>
      <c r="BR69" s="905">
        <f>1-WWWW[[#This Row],[% HRP1]]</f>
        <v>0</v>
      </c>
      <c r="BS69" s="904">
        <f>WWWW[[#This Row],[%equitable and continuous access to sufficient quantity of safe drinking and domestic water''s GAP]]*WWWW[[#This Row],[Total PoP ]]</f>
        <v>0</v>
      </c>
      <c r="BT69" s="451">
        <f>ROUND(IF(WWWW[[#This Row],[Total PoP ]]&lt;500,1,WWWW[[#This Row],[Total PoP ]]/500),0)</f>
        <v>12</v>
      </c>
      <c r="BU69" s="902">
        <f>IF(WWWW[[#This Row],[Total required water points]]-WWWW[[#This Row],['#Water points coverage]]&lt;0,0,WWWW[[#This Row],[Total required water points]]-WWWW[[#This Row],['#Water points coverage]])</f>
        <v>9.9999999999999645E-2</v>
      </c>
      <c r="BV69" s="452">
        <f>WWWW[[#This Row],[HRP2]]/WWWW[[#This Row],[Total PoP ]]</f>
        <v>0.85008403361344542</v>
      </c>
      <c r="BW69" s="90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5058</v>
      </c>
      <c r="BX69" s="455">
        <f>IF(WWWW[[#This Row],['#_Functional_adult_latrines]]="","",WWWW[[#This Row],[Total PoP ]]/WWWW[[#This Row],['#_Functional_adult_latrines]])</f>
        <v>23.705179282868524</v>
      </c>
      <c r="BY69" s="902">
        <f>WWWW[[#This Row],['#_of_latrines_in_TLS/CFS]]*50</f>
        <v>350</v>
      </c>
      <c r="BZ69" s="451">
        <f>IF(WWWW[[#This Row],['#_of_latrines_in_THF]]="",0,WWWW[[#This Row],['#_of_latrines_in_THF]]*50)</f>
        <v>0</v>
      </c>
      <c r="CA69" s="902">
        <f>ROUND(IF(WWWW[[#This Row],[Location Type 1]]="camp",WWWW[[#This Row],[Total PoP ]]/20),0)</f>
        <v>298</v>
      </c>
      <c r="CB69" s="902">
        <f>IF(WWWW[[#This Row],[Total required Latrines]]-WWWW[[#This Row],['#_Existing_latrines]]&lt;0,0,WWWW[[#This Row],[Total required Latrines]]-WWWW[[#This Row],['#_Existing_latrines]])</f>
        <v>0</v>
      </c>
      <c r="CC69" s="905">
        <f>1-WWWW[[#This Row],[% HRP2]]</f>
        <v>0.14991596638655458</v>
      </c>
      <c r="CD69" s="901">
        <f>IF(WWWW[[#This Row],['#_Existing_latrines]]="","NA",(WWWW[[#This Row],['#_Existing_latrines]]-WWWW[[#This Row],['#_Functional_adult_latrines]])/WWWW[[#This Row],['#_Existing_latrines]])</f>
        <v>0.20820189274447951</v>
      </c>
      <c r="CE69" s="90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2242</v>
      </c>
      <c r="CF69" s="904">
        <f>SUM(WWWW[[#This Row],[_'#_of_Men_receiving_consultation_hygiene_promotion_messages_and_sessions]:[_'#_of_Girls_receiving_consultation_hygiene_promotion_messages_and_sessions]])-WWWW[[#This Row],['# people reached by regular dedicated hygiene promotion_5]]</f>
        <v>0</v>
      </c>
      <c r="CG69" s="90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H69" s="902">
        <f>IF(WWWW[[#This Row],['#_of_affected_women_and_girls_receiving_a_sufficient_quantity_of_sanitary_pads]]&gt;WWWW[[#This Row],[Total PoP ]],WWWW[[#This Row],[Total PoP ]],WWWW[[#This Row],['#_of_affected_women_and_girls_receiving_a_sufficient_quantity_of_sanitary_pads]])</f>
        <v>2623</v>
      </c>
      <c r="CI69" s="902">
        <f>IF(WWWW[[#This Row],['# People with access to soap]]&gt;WWWW[[#This Row],['# People with access to Sanity Pads]],WWWW[[#This Row],['# People with access to soap]],WWWW[[#This Row],['# People with access to Sanity Pads]])</f>
        <v>5950</v>
      </c>
      <c r="CJ69" s="902">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K69" s="905">
        <f>IF(WWWW[[#This Row],[HRP3]]/WWWW[[#This Row],[Total PoP ]]&gt;100%,100%,WWWW[[#This Row],[HRP3]]/WWWW[[#This Row],[Total PoP ]])</f>
        <v>1</v>
      </c>
      <c r="CL69" s="901">
        <f>1-WWWW[[#This Row],[Hygiene Coverage%]]</f>
        <v>0</v>
      </c>
      <c r="CM69" s="900">
        <f>WWWW[[#This Row],['# people reached by regular dedicated hygiene promotion_5]]/WWWW[[#This Row],[Total PoP ]]</f>
        <v>0.37680672268907561</v>
      </c>
      <c r="CN69" s="901">
        <f>IF(WWWW[[#This Row],['#_of_affected_households_receiving_a_sufficient_quantity_of_soap]]/WWWW[[#This Row],[Total HH]]&gt;1,1,WWWW[[#This Row],['#_of_affected_households_receiving_a_sufficient_quantity_of_soap]]/WWWW[[#This Row],[Total HH]])</f>
        <v>1</v>
      </c>
      <c r="CO69" s="455" t="str">
        <f>IF(WWWW[[#This Row],['#_students at TLS_CFS]]="","No","Yes")</f>
        <v>Yes</v>
      </c>
      <c r="CP69" s="452">
        <f>WWWW[[#This Row],[%_of_affected_people_surveyed_who_report_feeling_informed_about_the_different_WASH_services_available_to_them]]</f>
        <v>0.96</v>
      </c>
      <c r="CQ6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130</v>
      </c>
      <c r="CR69" s="500">
        <f>IF(WWWW[[#This Row],['#_PPL_accessed_water_in_TLS]]&gt;WWWW[[#This Row],['# students access to functioning school latrines_HRP5]],WWWW[[#This Row],['#_PPL_accessed_water_in_TLS]],WWWW[[#This Row],['# students access to functioning school latrines_HRP5]])</f>
        <v>350</v>
      </c>
      <c r="CS69" s="500">
        <f>IF(WWWW[[#This Row],['#_PPL_accessed_water_in_THF]]&gt;WWWW[[#This Row],['# people access to functioning latrines in THF_HRP6]],WWWW[[#This Row],['#_PPL_accessed_water_in_THF]],WWWW[[#This Row],['# people access to functioning latrines in THF_HRP6]])</f>
        <v>0</v>
      </c>
      <c r="CT69" s="898" t="str">
        <f>VLOOKUP(WWWW[[#This Row],[Site Name]],SiteDB6[[Site Name]:[CCCM Management]],6,FALSE)</f>
        <v>Yes</v>
      </c>
      <c r="CU69" s="898">
        <f>VLOOKUP(WWWW[[#This Row],[Site Name]],SiteDB6[[Site Name]:[CCCM Focal Agency]],7,FALSE)</f>
        <v>0</v>
      </c>
      <c r="CV69" s="898" t="str">
        <f>VLOOKUP(WWWW[[#This Row],[Site Name]],SiteDB6[[Site Name]:[Location Type 1]],9,FALSE)</f>
        <v>Camp</v>
      </c>
      <c r="CW69" s="898" t="str">
        <f>VLOOKUP(WWWW[[#This Row],[Site Name]],SiteDB6[[Site Name]:[Type of Accommodation]],10,FALSE)</f>
        <v>Planned Camp</v>
      </c>
      <c r="CX69" s="898" t="str">
        <f>VLOOKUP(WWWW[[#This Row],[Site Name]],SiteDB6[[Site Name]:[Ethnic or GCA/NGCA]],11,FALSE)</f>
        <v>Muslim</v>
      </c>
      <c r="CY69" s="898">
        <f>VLOOKUP(WWWW[[#This Row],[Site Name]],SiteDB6[[Site Name]:[Lat]],12,FALSE)</f>
        <v>20.179939999999998</v>
      </c>
      <c r="CZ69" s="898">
        <f>VLOOKUP(WWWW[[#This Row],[Site Name]],SiteDB6[[Site Name]:[Long]],13,FALSE)</f>
        <v>92.831879000000001</v>
      </c>
      <c r="DA69" s="898" t="str">
        <f>VLOOKUP(WWWW[[#This Row],[Site Name]],SiteDB6[[Site Name]:[Pcode]],3,FALSE)</f>
        <v>MMR012CMP048</v>
      </c>
      <c r="DB69" s="906" t="str">
        <f t="shared" si="2"/>
        <v>Covered</v>
      </c>
      <c r="DC69" s="477">
        <f>VLOOKUP(WWWW[[#This Row],[Site Name]],SiteDB6[[Site Name]:[PWD_Total]],22,FALSE)</f>
        <v>250</v>
      </c>
      <c r="DD69" s="477">
        <f>VLOOKUP(WWWW[[#This Row],[Site Name]],SiteDB6[[Site Name]:[PWD_Total]],23,FALSE)</f>
        <v>699</v>
      </c>
      <c r="DE69" s="477">
        <f>WWWW[[#This Row],['# of Male_People with disabilities]]+WWWW[[#This Row],['# of Female_People with disabilities]]</f>
        <v>949</v>
      </c>
      <c r="DF69" s="898"/>
      <c r="DG69" s="906"/>
      <c r="DH69" s="906"/>
      <c r="DI69" s="906"/>
      <c r="DJ69" s="906">
        <f>VLOOKUP(WWWW[[#This Row],[Site Name]],SiteDB6[[Site Name]:[Pop
(CCCM as of Autust 2021)]],16,FALSE)</f>
        <v>1019</v>
      </c>
      <c r="DK69" s="906">
        <f>VLOOKUP(WWWW[[#This Row],[Site Name]],SiteDB6[[Site Name]:[Pop
(CCCM as of Autust 2021)]],17,FALSE)</f>
        <v>6906</v>
      </c>
    </row>
    <row r="70" spans="1:115">
      <c r="A70" s="932" t="s">
        <v>3146</v>
      </c>
      <c r="B70" s="932" t="s">
        <v>265</v>
      </c>
      <c r="C70" s="933" t="s">
        <v>265</v>
      </c>
      <c r="D70" s="933" t="s">
        <v>2983</v>
      </c>
      <c r="E70" s="845" t="s">
        <v>293</v>
      </c>
      <c r="F70" s="933" t="s">
        <v>401</v>
      </c>
      <c r="G70" s="898" t="s">
        <v>43</v>
      </c>
      <c r="H70" s="933" t="s">
        <v>411</v>
      </c>
      <c r="I70" s="935">
        <v>1112</v>
      </c>
      <c r="J70" s="935">
        <v>5133</v>
      </c>
      <c r="K70" s="684">
        <f>WWWW[[#This Row],[Total PoP ]]/WWWW[[#This Row],[Total HH]]</f>
        <v>4.6160071942446042</v>
      </c>
      <c r="L70" s="943" t="s">
        <v>3218</v>
      </c>
      <c r="M70" s="944" t="s">
        <v>3219</v>
      </c>
      <c r="N70" s="500">
        <v>0</v>
      </c>
      <c r="O70" s="500"/>
      <c r="P70" s="500"/>
      <c r="Q70" s="500">
        <v>14</v>
      </c>
      <c r="R70" s="500">
        <v>14</v>
      </c>
      <c r="S70" s="500"/>
      <c r="T70" s="500">
        <v>5133</v>
      </c>
      <c r="U70" s="500"/>
      <c r="V70" s="500"/>
      <c r="W70" s="500">
        <v>5</v>
      </c>
      <c r="X70" s="450">
        <v>0.4</v>
      </c>
      <c r="Y70" s="500">
        <v>0</v>
      </c>
      <c r="Z70" s="500"/>
      <c r="AA70" s="500"/>
      <c r="AB70" s="909"/>
      <c r="AC70" s="500">
        <v>183</v>
      </c>
      <c r="AD70" s="500">
        <v>198</v>
      </c>
      <c r="AE70" s="500">
        <v>55</v>
      </c>
      <c r="AF70" s="500">
        <v>183</v>
      </c>
      <c r="AG70" s="450">
        <v>0.98</v>
      </c>
      <c r="AH70" s="450">
        <v>1</v>
      </c>
      <c r="AI70" s="450"/>
      <c r="AJ70" s="500">
        <v>27</v>
      </c>
      <c r="AK70" s="500">
        <v>76</v>
      </c>
      <c r="AL70" s="500"/>
      <c r="AM70" s="500"/>
      <c r="AN70" s="500" t="s">
        <v>41</v>
      </c>
      <c r="AO70" s="538" t="s">
        <v>3220</v>
      </c>
      <c r="AP70" s="500">
        <v>997</v>
      </c>
      <c r="AQ70" s="500">
        <v>1200</v>
      </c>
      <c r="AR70" s="500">
        <v>938</v>
      </c>
      <c r="AS70" s="500">
        <v>860</v>
      </c>
      <c r="AT70" s="500"/>
      <c r="AU70" s="500"/>
      <c r="AV70" s="450">
        <v>0.56000000000000005</v>
      </c>
      <c r="AW70" s="450">
        <v>0.81</v>
      </c>
      <c r="AX70" s="451"/>
      <c r="AY70" s="910" t="s">
        <v>3221</v>
      </c>
      <c r="AZ70" s="450">
        <v>0.9</v>
      </c>
      <c r="BA70" s="450">
        <v>0.96</v>
      </c>
      <c r="BB70" s="450">
        <v>0.99</v>
      </c>
      <c r="BC70" s="450">
        <v>0.95</v>
      </c>
      <c r="BD70" s="450"/>
      <c r="BE70" s="500">
        <v>76</v>
      </c>
      <c r="BF70" s="500"/>
      <c r="BG70" s="500"/>
      <c r="BH70" s="500"/>
      <c r="BI70" s="500"/>
      <c r="BJ70" s="500"/>
      <c r="BK70" s="500"/>
      <c r="BL70" s="937" t="str">
        <f>IF(WWWW[[#This Row],['#_Water samples_Tested_at_water_source]]="","no test","Tested")</f>
        <v>no test</v>
      </c>
      <c r="BM70" s="937" t="str">
        <f>IF(WWWW[[#This Row],['#_Water samples_Tested_at_HH]]="","no test","Tested")</f>
        <v>Tested</v>
      </c>
      <c r="BN70" s="938" t="str">
        <f>IF(AND(WWWW[[#This Row],[Water_testing_at source]]="no test",WWWW[[#This Row],[Water_testing_at HH]]="no test"),"No Test","Tested")</f>
        <v>Tested</v>
      </c>
      <c r="BO70"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0" s="939">
        <f>WWWW[[#This Row],[% HRP1]]*WWWW[[#This Row],[Total PoP ]]</f>
        <v>5133</v>
      </c>
      <c r="BQ70" s="940">
        <f>WWWW[[#This Row],[HRP1]]/500</f>
        <v>10.266</v>
      </c>
      <c r="BR70" s="941">
        <f>1-WWWW[[#This Row],[% HRP1]]</f>
        <v>0</v>
      </c>
      <c r="BS70" s="940">
        <f>WWWW[[#This Row],[%equitable and continuous access to sufficient quantity of safe drinking and domestic water''s GAP]]*WWWW[[#This Row],[Total PoP ]]</f>
        <v>0</v>
      </c>
      <c r="BT70" s="451">
        <f>ROUND(IF(WWWW[[#This Row],[Total PoP ]]&lt;500,1,WWWW[[#This Row],[Total PoP ]]/500),0)</f>
        <v>10</v>
      </c>
      <c r="BU70" s="938">
        <f>IF(WWWW[[#This Row],[Total required water points]]-WWWW[[#This Row],['#Water points coverage]]&lt;0,0,WWWW[[#This Row],[Total required water points]]-WWWW[[#This Row],['#Water points coverage]])</f>
        <v>0</v>
      </c>
      <c r="BV70" s="452">
        <f>WWWW[[#This Row],[HRP2]]/WWWW[[#This Row],[Total PoP ]]</f>
        <v>0.83304110656536134</v>
      </c>
      <c r="BW70"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4276</v>
      </c>
      <c r="BX70" s="455">
        <f>IF(WWWW[[#This Row],['#_Functional_adult_latrines]]="","",WWWW[[#This Row],[Total PoP ]]/WWWW[[#This Row],['#_Functional_adult_latrines]])</f>
        <v>28.049180327868854</v>
      </c>
      <c r="BY70" s="938">
        <f>WWWW[[#This Row],['#_of_latrines_in_TLS/CFS]]*50</f>
        <v>0</v>
      </c>
      <c r="BZ70" s="451">
        <f>IF(WWWW[[#This Row],['#_of_latrines_in_THF]]="",0,WWWW[[#This Row],['#_of_latrines_in_THF]]*50)</f>
        <v>0</v>
      </c>
      <c r="CA70" s="938">
        <f>ROUND(IF(WWWW[[#This Row],[Location Type 1]]="camp",WWWW[[#This Row],[Total PoP ]]/20),0)</f>
        <v>257</v>
      </c>
      <c r="CB70" s="938">
        <f>IF(WWWW[[#This Row],[Total required Latrines]]-WWWW[[#This Row],['#_Existing_latrines]]&lt;0,0,WWWW[[#This Row],[Total required Latrines]]-WWWW[[#This Row],['#_Existing_latrines]])</f>
        <v>59</v>
      </c>
      <c r="CC70" s="941">
        <f>1-WWWW[[#This Row],[% HRP2]]</f>
        <v>0.16695889343463866</v>
      </c>
      <c r="CD70" s="937">
        <f>IF(WWWW[[#This Row],['#_Existing_latrines]]="","NA",(WWWW[[#This Row],['#_Existing_latrines]]-WWWW[[#This Row],['#_Functional_adult_latrines]])/WWWW[[#This Row],['#_Existing_latrines]])</f>
        <v>7.575757575757576E-2</v>
      </c>
      <c r="CE70"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F70" s="940">
        <f>SUM(WWWW[[#This Row],[_'#_of_Men_receiving_consultation_hygiene_promotion_messages_and_sessions]:[_'#_of_Girls_receiving_consultation_hygiene_promotion_messages_and_sessions]])-WWWW[[#This Row],['# people reached by regular dedicated hygiene promotion_5]]</f>
        <v>0</v>
      </c>
      <c r="CG70"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70" s="938">
        <f>IF(WWWW[[#This Row],['#_of_affected_women_and_girls_receiving_a_sufficient_quantity_of_sanitary_pads]]&gt;WWWW[[#This Row],[Total PoP ]],WWWW[[#This Row],[Total PoP ]],WWWW[[#This Row],['#_of_affected_women_and_girls_receiving_a_sufficient_quantity_of_sanitary_pads]])</f>
        <v>0</v>
      </c>
      <c r="CI70" s="938">
        <f>IF(WWWW[[#This Row],['# People with access to soap]]&gt;WWWW[[#This Row],['# People with access to Sanity Pads]],WWWW[[#This Row],['# People with access to soap]],WWWW[[#This Row],['# People with access to Sanity Pads]])</f>
        <v>0</v>
      </c>
      <c r="CJ70" s="938">
        <f>IF(WWWW[[#This Row],['# people reached by regular dedicated hygiene promotion_5]]&gt;WWWW[[#This Row],['# People received regular supply of hygiene items_6]],WWWW[[#This Row],['# people reached by regular dedicated hygiene promotion_5]],WWWW[[#This Row],['# People received regular supply of hygiene items_6]])</f>
        <v>3995</v>
      </c>
      <c r="CK70" s="941">
        <f>IF(WWWW[[#This Row],[HRP3]]/WWWW[[#This Row],[Total PoP ]]&gt;100%,100%,WWWW[[#This Row],[HRP3]]/WWWW[[#This Row],[Total PoP ]])</f>
        <v>0.77829729203195008</v>
      </c>
      <c r="CL70" s="937">
        <f>1-WWWW[[#This Row],[Hygiene Coverage%]]</f>
        <v>0.22170270796804992</v>
      </c>
      <c r="CM70" s="936">
        <f>WWWW[[#This Row],['# people reached by regular dedicated hygiene promotion_5]]/WWWW[[#This Row],[Total PoP ]]</f>
        <v>0.77829729203195008</v>
      </c>
      <c r="CN70" s="937">
        <f>IF(WWWW[[#This Row],['#_of_affected_households_receiving_a_sufficient_quantity_of_soap]]/WWWW[[#This Row],[Total HH]]&gt;1,1,WWWW[[#This Row],['#_of_affected_households_receiving_a_sufficient_quantity_of_soap]]/WWWW[[#This Row],[Total HH]])</f>
        <v>0</v>
      </c>
      <c r="CO70" s="455" t="str">
        <f>IF(WWWW[[#This Row],['#_students at TLS_CFS]]="","No","Yes")</f>
        <v>Yes</v>
      </c>
      <c r="CP70" s="452">
        <f>WWWW[[#This Row],[%_of_affected_people_surveyed_who_report_feeling_informed_about_the_different_WASH_services_available_to_them]]</f>
        <v>0.99</v>
      </c>
      <c r="CQ7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76</v>
      </c>
      <c r="CR70" s="500">
        <f>IF(WWWW[[#This Row],['#_PPL_accessed_water_in_TLS]]&gt;WWWW[[#This Row],['# students access to functioning school latrines_HRP5]],WWWW[[#This Row],['#_PPL_accessed_water_in_TLS]],WWWW[[#This Row],['# students access to functioning school latrines_HRP5]])</f>
        <v>0</v>
      </c>
      <c r="CS70" s="500">
        <f>IF(WWWW[[#This Row],['#_PPL_accessed_water_in_THF]]&gt;WWWW[[#This Row],['# people access to functioning latrines in THF_HRP6]],WWWW[[#This Row],['#_PPL_accessed_water_in_THF]],WWWW[[#This Row],['# people access to functioning latrines in THF_HRP6]])</f>
        <v>0</v>
      </c>
      <c r="CT70" s="934" t="str">
        <f>VLOOKUP(WWWW[[#This Row],[Site Name]],SiteDB6[[Site Name]:[CCCM Management]],6,FALSE)</f>
        <v>Yes</v>
      </c>
      <c r="CU70" s="934" t="str">
        <f>VLOOKUP(WWWW[[#This Row],[Site Name]],SiteDB6[[Site Name]:[CCCM Focal Agency]],7,FALSE)</f>
        <v>LWF</v>
      </c>
      <c r="CV70" s="934" t="str">
        <f>VLOOKUP(WWWW[[#This Row],[Site Name]],SiteDB6[[Site Name]:[Location Type 1]],9,FALSE)</f>
        <v>Camp</v>
      </c>
      <c r="CW70" s="934" t="str">
        <f>VLOOKUP(WWWW[[#This Row],[Site Name]],SiteDB6[[Site Name]:[Type of Accommodation]],10,FALSE)</f>
        <v>Planned Camp</v>
      </c>
      <c r="CX70" s="934" t="str">
        <f>VLOOKUP(WWWW[[#This Row],[Site Name]],SiteDB6[[Site Name]:[Ethnic or GCA/NGCA]],11,FALSE)</f>
        <v>Muslim</v>
      </c>
      <c r="CY70" s="934">
        <f>VLOOKUP(WWWW[[#This Row],[Site Name]],SiteDB6[[Site Name]:[Lat]],12,FALSE)</f>
        <v>20.108101999999999</v>
      </c>
      <c r="CZ70" s="934">
        <f>VLOOKUP(WWWW[[#This Row],[Site Name]],SiteDB6[[Site Name]:[Long]],13,FALSE)</f>
        <v>92.985095000000001</v>
      </c>
      <c r="DA70" s="934" t="str">
        <f>VLOOKUP(WWWW[[#This Row],[Site Name]],SiteDB6[[Site Name]:[Pcode]],3,FALSE)</f>
        <v>MMR012CMP016</v>
      </c>
      <c r="DB70" s="942" t="str">
        <f t="shared" ref="DB70:DB90" si="4">IF(C70="none","Notcovered","Covered")</f>
        <v>Covered</v>
      </c>
      <c r="DC70" s="477"/>
      <c r="DD70" s="477"/>
      <c r="DE70" s="477">
        <f>WWWW[[#This Row],['# of Male_People with disabilities]]+WWWW[[#This Row],['# of Female_People with disabilities]]</f>
        <v>0</v>
      </c>
      <c r="DF70" s="934"/>
      <c r="DG70" s="942"/>
      <c r="DH70" s="942"/>
      <c r="DI70" s="942"/>
      <c r="DJ70" s="942">
        <f>VLOOKUP(WWWW[[#This Row],[Site Name]],SiteDB6[[Site Name]:[Pop
(CCCM as of Autust 2021)]],16,FALSE)</f>
        <v>1115</v>
      </c>
      <c r="DK70" s="942">
        <f>VLOOKUP(WWWW[[#This Row],[Site Name]],SiteDB6[[Site Name]:[Pop
(CCCM as of Autust 2021)]],17,FALSE)</f>
        <v>5197</v>
      </c>
    </row>
    <row r="71" spans="1:115">
      <c r="A71" s="932" t="s">
        <v>3146</v>
      </c>
      <c r="B71" s="932" t="s">
        <v>2270</v>
      </c>
      <c r="C71" s="933" t="s">
        <v>2270</v>
      </c>
      <c r="D71" s="933" t="s">
        <v>3222</v>
      </c>
      <c r="E71" s="845" t="s">
        <v>293</v>
      </c>
      <c r="F71" s="933" t="s">
        <v>294</v>
      </c>
      <c r="G71" s="898" t="s">
        <v>43</v>
      </c>
      <c r="H71" s="933" t="s">
        <v>413</v>
      </c>
      <c r="I71" s="935">
        <v>380</v>
      </c>
      <c r="J71" s="935">
        <v>2489</v>
      </c>
      <c r="K71" s="684">
        <f>WWWW[[#This Row],[Total PoP ]]/WWWW[[#This Row],[Total HH]]</f>
        <v>6.55</v>
      </c>
      <c r="L71" s="907">
        <v>44835</v>
      </c>
      <c r="M71" s="908">
        <v>45016</v>
      </c>
      <c r="N71" s="500">
        <v>628</v>
      </c>
      <c r="O71" s="500">
        <v>23</v>
      </c>
      <c r="P71" s="500">
        <v>23</v>
      </c>
      <c r="Q71" s="500"/>
      <c r="R71" s="500"/>
      <c r="S71" s="500"/>
      <c r="T71" s="500"/>
      <c r="U71" s="500">
        <v>21</v>
      </c>
      <c r="V71" s="450">
        <v>0.76</v>
      </c>
      <c r="W71" s="500">
        <v>81</v>
      </c>
      <c r="X71" s="450">
        <v>0.38</v>
      </c>
      <c r="Y71" s="500">
        <v>380</v>
      </c>
      <c r="Z71" s="500"/>
      <c r="AA71" s="500"/>
      <c r="AB71" s="909"/>
      <c r="AC71" s="500">
        <v>112</v>
      </c>
      <c r="AD71" s="500">
        <v>120</v>
      </c>
      <c r="AE71" s="500">
        <v>23</v>
      </c>
      <c r="AF71" s="500">
        <v>82</v>
      </c>
      <c r="AG71" s="450">
        <v>1</v>
      </c>
      <c r="AH71" s="450">
        <v>0.64</v>
      </c>
      <c r="AI71" s="450">
        <v>0.91</v>
      </c>
      <c r="AJ71" s="500"/>
      <c r="AK71" s="500">
        <v>220</v>
      </c>
      <c r="AL71" s="500"/>
      <c r="AM71" s="500"/>
      <c r="AN71" s="500" t="s">
        <v>41</v>
      </c>
      <c r="AO71" s="538" t="s">
        <v>3223</v>
      </c>
      <c r="AP71" s="500">
        <v>1</v>
      </c>
      <c r="AQ71" s="500">
        <v>193</v>
      </c>
      <c r="AR71" s="500">
        <v>301</v>
      </c>
      <c r="AS71" s="500">
        <v>260</v>
      </c>
      <c r="AT71" s="500">
        <v>379</v>
      </c>
      <c r="AU71" s="500">
        <v>640</v>
      </c>
      <c r="AV71" s="450">
        <v>1</v>
      </c>
      <c r="AW71" s="450">
        <v>1</v>
      </c>
      <c r="AX71" s="451"/>
      <c r="AY71" s="538" t="s">
        <v>3224</v>
      </c>
      <c r="AZ71" s="450">
        <v>1</v>
      </c>
      <c r="BA71" s="450">
        <v>1</v>
      </c>
      <c r="BB71" s="450">
        <v>0.9</v>
      </c>
      <c r="BC71" s="450">
        <v>0.88</v>
      </c>
      <c r="BD71" s="450"/>
      <c r="BE71" s="500">
        <v>23</v>
      </c>
      <c r="BF71" s="500"/>
      <c r="BG71" s="500">
        <v>10</v>
      </c>
      <c r="BH71" s="500"/>
      <c r="BI71" s="500"/>
      <c r="BJ71" s="500"/>
      <c r="BK71" s="500"/>
      <c r="BL71" s="937" t="str">
        <f>IF(WWWW[[#This Row],['#_Water samples_Tested_at_water_source]]="","no test","Tested")</f>
        <v>Tested</v>
      </c>
      <c r="BM71" s="937" t="str">
        <f>IF(WWWW[[#This Row],['#_Water samples_Tested_at_HH]]="","no test","Tested")</f>
        <v>Tested</v>
      </c>
      <c r="BN71" s="938" t="str">
        <f>IF(AND(WWWW[[#This Row],[Water_testing_at source]]="no test",WWWW[[#This Row],[Water_testing_at HH]]="no test"),"No Test","Tested")</f>
        <v>Tested</v>
      </c>
      <c r="BO71"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1" s="939">
        <f>WWWW[[#This Row],[% HRP1]]*WWWW[[#This Row],[Total PoP ]]</f>
        <v>2489</v>
      </c>
      <c r="BQ71" s="940">
        <f>WWWW[[#This Row],[HRP1]]/500</f>
        <v>4.9779999999999998</v>
      </c>
      <c r="BR71" s="941">
        <f>1-WWWW[[#This Row],[% HRP1]]</f>
        <v>0</v>
      </c>
      <c r="BS71" s="940">
        <f>WWWW[[#This Row],[%equitable and continuous access to sufficient quantity of safe drinking and domestic water''s GAP]]*WWWW[[#This Row],[Total PoP ]]</f>
        <v>0</v>
      </c>
      <c r="BT71" s="451">
        <f>ROUND(IF(WWWW[[#This Row],[Total PoP ]]&lt;500,1,WWWW[[#This Row],[Total PoP ]]/500),0)</f>
        <v>5</v>
      </c>
      <c r="BU71" s="938">
        <f>IF(WWWW[[#This Row],[Total required water points]]-WWWW[[#This Row],['#Water points coverage]]&lt;0,0,WWWW[[#This Row],[Total required water points]]-WWWW[[#This Row],['#Water points coverage]])</f>
        <v>2.2000000000000242E-2</v>
      </c>
      <c r="BV71" s="452">
        <f>WWWW[[#This Row],[HRP2]]/WWWW[[#This Row],[Total PoP ]]</f>
        <v>0.98834873443149862</v>
      </c>
      <c r="BW71"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2460</v>
      </c>
      <c r="BX71" s="455">
        <f>IF(WWWW[[#This Row],['#_Functional_adult_latrines]]="","",WWWW[[#This Row],[Total PoP ]]/WWWW[[#This Row],['#_Functional_adult_latrines]])</f>
        <v>22.223214285714285</v>
      </c>
      <c r="BY71" s="938">
        <f>WWWW[[#This Row],['#_of_latrines_in_TLS/CFS]]*50</f>
        <v>0</v>
      </c>
      <c r="BZ71" s="451">
        <f>IF(WWWW[[#This Row],['#_of_latrines_in_THF]]="",0,WWWW[[#This Row],['#_of_latrines_in_THF]]*50)</f>
        <v>0</v>
      </c>
      <c r="CA71" s="938">
        <f>ROUND(IF(WWWW[[#This Row],[Location Type 1]]="camp",WWWW[[#This Row],[Total PoP ]]/20),0)</f>
        <v>124</v>
      </c>
      <c r="CB71" s="938">
        <f>IF(WWWW[[#This Row],[Total required Latrines]]-WWWW[[#This Row],['#_Existing_latrines]]&lt;0,0,WWWW[[#This Row],[Total required Latrines]]-WWWW[[#This Row],['#_Existing_latrines]])</f>
        <v>4</v>
      </c>
      <c r="CC71" s="941">
        <f>1-WWWW[[#This Row],[% HRP2]]</f>
        <v>1.1651265568501379E-2</v>
      </c>
      <c r="CD71" s="937">
        <f>IF(WWWW[[#This Row],['#_Existing_latrines]]="","NA",(WWWW[[#This Row],['#_Existing_latrines]]-WWWW[[#This Row],['#_Functional_adult_latrines]])/WWWW[[#This Row],['#_Existing_latrines]])</f>
        <v>6.6666666666666666E-2</v>
      </c>
      <c r="CE71"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755</v>
      </c>
      <c r="CF71" s="940">
        <f>SUM(WWWW[[#This Row],[_'#_of_Men_receiving_consultation_hygiene_promotion_messages_and_sessions]:[_'#_of_Girls_receiving_consultation_hygiene_promotion_messages_and_sessions]])-WWWW[[#This Row],['# people reached by regular dedicated hygiene promotion_5]]</f>
        <v>0</v>
      </c>
      <c r="CG71"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2482.4499999999998</v>
      </c>
      <c r="CH71" s="938">
        <f>IF(WWWW[[#This Row],['#_of_affected_women_and_girls_receiving_a_sufficient_quantity_of_sanitary_pads]]&gt;WWWW[[#This Row],[Total PoP ]],WWWW[[#This Row],[Total PoP ]],WWWW[[#This Row],['#_of_affected_women_and_girls_receiving_a_sufficient_quantity_of_sanitary_pads]])</f>
        <v>640</v>
      </c>
      <c r="CI71" s="938">
        <f>IF(WWWW[[#This Row],['# People with access to soap]]&gt;WWWW[[#This Row],['# People with access to Sanity Pads]],WWWW[[#This Row],['# People with access to soap]],WWWW[[#This Row],['# People with access to Sanity Pads]])</f>
        <v>2482.4499999999998</v>
      </c>
      <c r="CJ71" s="938">
        <f>IF(WWWW[[#This Row],['# people reached by regular dedicated hygiene promotion_5]]&gt;WWWW[[#This Row],['# People received regular supply of hygiene items_6]],WWWW[[#This Row],['# people reached by regular dedicated hygiene promotion_5]],WWWW[[#This Row],['# People received regular supply of hygiene items_6]])</f>
        <v>2482.4499999999998</v>
      </c>
      <c r="CK71" s="941">
        <f>IF(WWWW[[#This Row],[HRP3]]/WWWW[[#This Row],[Total PoP ]]&gt;100%,100%,WWWW[[#This Row],[HRP3]]/WWWW[[#This Row],[Total PoP ]])</f>
        <v>0.99736842105263146</v>
      </c>
      <c r="CL71" s="937">
        <f>1-WWWW[[#This Row],[Hygiene Coverage%]]</f>
        <v>2.6315789473685403E-3</v>
      </c>
      <c r="CM71" s="936">
        <f>WWWW[[#This Row],['# people reached by regular dedicated hygiene promotion_5]]/WWWW[[#This Row],[Total PoP ]]</f>
        <v>0.30333467255926072</v>
      </c>
      <c r="CN71" s="937">
        <f>IF(WWWW[[#This Row],['#_of_affected_households_receiving_a_sufficient_quantity_of_soap]]/WWWW[[#This Row],[Total HH]]&gt;1,1,WWWW[[#This Row],['#_of_affected_households_receiving_a_sufficient_quantity_of_soap]]/WWWW[[#This Row],[Total HH]])</f>
        <v>0.99736842105263157</v>
      </c>
      <c r="CO71" s="455" t="str">
        <f>IF(WWWW[[#This Row],['#_students at TLS_CFS]]="","No","Yes")</f>
        <v>Yes</v>
      </c>
      <c r="CP71" s="452">
        <f>WWWW[[#This Row],[%_of_affected_people_surveyed_who_report_feeling_informed_about_the_different_WASH_services_available_to_them]]</f>
        <v>0.9</v>
      </c>
      <c r="CQ7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33</v>
      </c>
      <c r="CR71" s="500">
        <f>IF(WWWW[[#This Row],['#_PPL_accessed_water_in_TLS]]&gt;WWWW[[#This Row],['# students access to functioning school latrines_HRP5]],WWWW[[#This Row],['#_PPL_accessed_water_in_TLS]],WWWW[[#This Row],['# students access to functioning school latrines_HRP5]])</f>
        <v>0</v>
      </c>
      <c r="CS71" s="500">
        <f>IF(WWWW[[#This Row],['#_PPL_accessed_water_in_THF]]&gt;WWWW[[#This Row],['# people access to functioning latrines in THF_HRP6]],WWWW[[#This Row],['#_PPL_accessed_water_in_THF]],WWWW[[#This Row],['# people access to functioning latrines in THF_HRP6]])</f>
        <v>0</v>
      </c>
      <c r="CT71" s="934" t="str">
        <f>VLOOKUP(WWWW[[#This Row],[Site Name]],SiteDB6[[Site Name]:[CCCM Management]],6,FALSE)</f>
        <v>Yes</v>
      </c>
      <c r="CU71" s="934">
        <f>VLOOKUP(WWWW[[#This Row],[Site Name]],SiteDB6[[Site Name]:[CCCM Focal Agency]],7,FALSE)</f>
        <v>0</v>
      </c>
      <c r="CV71" s="934" t="str">
        <f>VLOOKUP(WWWW[[#This Row],[Site Name]],SiteDB6[[Site Name]:[Location Type 1]],9,FALSE)</f>
        <v>Camp</v>
      </c>
      <c r="CW71" s="934" t="str">
        <f>VLOOKUP(WWWW[[#This Row],[Site Name]],SiteDB6[[Site Name]:[Type of Accommodation]],10,FALSE)</f>
        <v>Planned Camp</v>
      </c>
      <c r="CX71" s="934" t="str">
        <f>VLOOKUP(WWWW[[#This Row],[Site Name]],SiteDB6[[Site Name]:[Ethnic or GCA/NGCA]],11,FALSE)</f>
        <v>Muslim</v>
      </c>
      <c r="CY71" s="934">
        <f>VLOOKUP(WWWW[[#This Row],[Site Name]],SiteDB6[[Site Name]:[Lat]],12,FALSE)</f>
        <v>20.128488999999998</v>
      </c>
      <c r="CZ71" s="934">
        <f>VLOOKUP(WWWW[[#This Row],[Site Name]],SiteDB6[[Site Name]:[Long]],13,FALSE)</f>
        <v>92.875814000000005</v>
      </c>
      <c r="DA71" s="934" t="str">
        <f>VLOOKUP(WWWW[[#This Row],[Site Name]],SiteDB6[[Site Name]:[Pcode]],3,FALSE)</f>
        <v>MMR012CMP039</v>
      </c>
      <c r="DB71" s="942" t="str">
        <f t="shared" si="4"/>
        <v>Covered</v>
      </c>
      <c r="DC71" s="477"/>
      <c r="DD71" s="477"/>
      <c r="DE71" s="477">
        <f>WWWW[[#This Row],['# of Male_People with disabilities]]+WWWW[[#This Row],['# of Female_People with disabilities]]</f>
        <v>0</v>
      </c>
      <c r="DF71" s="934"/>
      <c r="DG71" s="942"/>
      <c r="DH71" s="942"/>
      <c r="DI71" s="942"/>
      <c r="DJ71" s="942">
        <f>VLOOKUP(WWWW[[#This Row],[Site Name]],SiteDB6[[Site Name]:[Pop
(CCCM as of Autust 2021)]],16,FALSE)</f>
        <v>380</v>
      </c>
      <c r="DK71" s="942">
        <f>VLOOKUP(WWWW[[#This Row],[Site Name]],SiteDB6[[Site Name]:[Pop
(CCCM as of Autust 2021)]],17,FALSE)</f>
        <v>2435</v>
      </c>
    </row>
    <row r="72" spans="1:115">
      <c r="A72" s="932" t="s">
        <v>3146</v>
      </c>
      <c r="B72" s="932" t="s">
        <v>2270</v>
      </c>
      <c r="C72" s="933" t="s">
        <v>2270</v>
      </c>
      <c r="D72" s="933" t="s">
        <v>3222</v>
      </c>
      <c r="E72" s="845" t="s">
        <v>293</v>
      </c>
      <c r="F72" s="933" t="s">
        <v>294</v>
      </c>
      <c r="G72" s="898" t="s">
        <v>43</v>
      </c>
      <c r="H72" s="933" t="s">
        <v>424</v>
      </c>
      <c r="I72" s="935">
        <v>1012</v>
      </c>
      <c r="J72" s="935">
        <v>5101</v>
      </c>
      <c r="K72" s="684">
        <f>WWWW[[#This Row],[Total PoP ]]/WWWW[[#This Row],[Total HH]]</f>
        <v>5.0405138339920947</v>
      </c>
      <c r="L72" s="907">
        <v>44835</v>
      </c>
      <c r="M72" s="908">
        <v>45016</v>
      </c>
      <c r="N72" s="500">
        <v>456</v>
      </c>
      <c r="O72" s="500">
        <v>48</v>
      </c>
      <c r="P72" s="500">
        <v>51</v>
      </c>
      <c r="Q72" s="500"/>
      <c r="R72" s="500"/>
      <c r="S72" s="500"/>
      <c r="T72" s="500"/>
      <c r="U72" s="500">
        <v>65</v>
      </c>
      <c r="V72" s="450">
        <v>0.74</v>
      </c>
      <c r="W72" s="500">
        <v>72</v>
      </c>
      <c r="X72" s="450">
        <v>0.19</v>
      </c>
      <c r="Y72" s="500">
        <v>1012</v>
      </c>
      <c r="Z72" s="500"/>
      <c r="AA72" s="500"/>
      <c r="AB72" s="909"/>
      <c r="AC72" s="500">
        <v>235</v>
      </c>
      <c r="AD72" s="500">
        <v>254</v>
      </c>
      <c r="AE72" s="500">
        <v>171</v>
      </c>
      <c r="AF72" s="500">
        <v>459</v>
      </c>
      <c r="AG72" s="450">
        <v>0.97</v>
      </c>
      <c r="AH72" s="450">
        <v>0.87</v>
      </c>
      <c r="AI72" s="450">
        <v>0.42</v>
      </c>
      <c r="AJ72" s="500"/>
      <c r="AK72" s="500">
        <v>106</v>
      </c>
      <c r="AL72" s="500"/>
      <c r="AM72" s="500"/>
      <c r="AN72" s="500" t="s">
        <v>41</v>
      </c>
      <c r="AO72" s="538" t="s">
        <v>3223</v>
      </c>
      <c r="AP72" s="500">
        <f>102/2</f>
        <v>51</v>
      </c>
      <c r="AQ72" s="500">
        <f>480/2</f>
        <v>240</v>
      </c>
      <c r="AR72" s="500">
        <f>1451/2</f>
        <v>725.5</v>
      </c>
      <c r="AS72" s="500">
        <f>1500/2</f>
        <v>750</v>
      </c>
      <c r="AT72" s="500">
        <f>990/2</f>
        <v>495</v>
      </c>
      <c r="AU72" s="500">
        <v>1342</v>
      </c>
      <c r="AV72" s="450">
        <v>0.94</v>
      </c>
      <c r="AW72" s="450"/>
      <c r="AX72" s="451"/>
      <c r="AY72" s="538" t="s">
        <v>3224</v>
      </c>
      <c r="AZ72" s="450">
        <v>1</v>
      </c>
      <c r="BA72" s="450">
        <v>1</v>
      </c>
      <c r="BB72" s="450">
        <v>0.97</v>
      </c>
      <c r="BC72" s="450">
        <v>0.9</v>
      </c>
      <c r="BD72" s="450"/>
      <c r="BE72" s="500">
        <f>171/2</f>
        <v>85.5</v>
      </c>
      <c r="BF72" s="500"/>
      <c r="BG72" s="500">
        <v>34</v>
      </c>
      <c r="BH72" s="500"/>
      <c r="BI72" s="500"/>
      <c r="BJ72" s="500"/>
      <c r="BK72" s="500"/>
      <c r="BL72" s="937" t="str">
        <f>IF(WWWW[[#This Row],['#_Water samples_Tested_at_water_source]]="","no test","Tested")</f>
        <v>Tested</v>
      </c>
      <c r="BM72" s="937" t="str">
        <f>IF(WWWW[[#This Row],['#_Water samples_Tested_at_HH]]="","no test","Tested")</f>
        <v>Tested</v>
      </c>
      <c r="BN72" s="938" t="str">
        <f>IF(AND(WWWW[[#This Row],[Water_testing_at source]]="no test",WWWW[[#This Row],[Water_testing_at HH]]="no test"),"No Test","Tested")</f>
        <v>Tested</v>
      </c>
      <c r="BO72"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2" s="939">
        <f>WWWW[[#This Row],[% HRP1]]*WWWW[[#This Row],[Total PoP ]]</f>
        <v>5101</v>
      </c>
      <c r="BQ72" s="940">
        <f>WWWW[[#This Row],[HRP1]]/500</f>
        <v>10.202</v>
      </c>
      <c r="BR72" s="941">
        <f>1-WWWW[[#This Row],[% HRP1]]</f>
        <v>0</v>
      </c>
      <c r="BS72" s="940">
        <f>WWWW[[#This Row],[%equitable and continuous access to sufficient quantity of safe drinking and domestic water''s GAP]]*WWWW[[#This Row],[Total PoP ]]</f>
        <v>0</v>
      </c>
      <c r="BT72" s="451">
        <f>ROUND(IF(WWWW[[#This Row],[Total PoP ]]&lt;500,1,WWWW[[#This Row],[Total PoP ]]/500),0)</f>
        <v>10</v>
      </c>
      <c r="BU72" s="938">
        <f>IF(WWWW[[#This Row],[Total required water points]]-WWWW[[#This Row],['#Water points coverage]]&lt;0,0,WWWW[[#This Row],[Total required water points]]-WWWW[[#This Row],['#Water points coverage]])</f>
        <v>0</v>
      </c>
      <c r="BV72" s="452">
        <f>WWWW[[#This Row],[HRP2]]/WWWW[[#This Row],[Total PoP ]]</f>
        <v>0.94216820231327192</v>
      </c>
      <c r="BW72"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4806</v>
      </c>
      <c r="BX72" s="455">
        <f>IF(WWWW[[#This Row],['#_Functional_adult_latrines]]="","",WWWW[[#This Row],[Total PoP ]]/WWWW[[#This Row],['#_Functional_adult_latrines]])</f>
        <v>21.706382978723404</v>
      </c>
      <c r="BY72" s="938">
        <f>WWWW[[#This Row],['#_of_latrines_in_TLS/CFS]]*50</f>
        <v>0</v>
      </c>
      <c r="BZ72" s="451">
        <f>IF(WWWW[[#This Row],['#_of_latrines_in_THF]]="",0,WWWW[[#This Row],['#_of_latrines_in_THF]]*50)</f>
        <v>0</v>
      </c>
      <c r="CA72" s="938">
        <f>ROUND(IF(WWWW[[#This Row],[Location Type 1]]="camp",WWWW[[#This Row],[Total PoP ]]/20),0)</f>
        <v>255</v>
      </c>
      <c r="CB72" s="938">
        <f>IF(WWWW[[#This Row],[Total required Latrines]]-WWWW[[#This Row],['#_Existing_latrines]]&lt;0,0,WWWW[[#This Row],[Total required Latrines]]-WWWW[[#This Row],['#_Existing_latrines]])</f>
        <v>1</v>
      </c>
      <c r="CC72" s="941">
        <f>1-WWWW[[#This Row],[% HRP2]]</f>
        <v>5.7831797686728081E-2</v>
      </c>
      <c r="CD72" s="937">
        <f>IF(WWWW[[#This Row],['#_Existing_latrines]]="","NA",(WWWW[[#This Row],['#_Existing_latrines]]-WWWW[[#This Row],['#_Functional_adult_latrines]])/WWWW[[#This Row],['#_Existing_latrines]])</f>
        <v>7.4803149606299218E-2</v>
      </c>
      <c r="CE72"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1766.5</v>
      </c>
      <c r="CF72" s="940">
        <f>SUM(WWWW[[#This Row],[_'#_of_Men_receiving_consultation_hygiene_promotion_messages_and_sessions]:[_'#_of_Girls_receiving_consultation_hygiene_promotion_messages_and_sessions]])-WWWW[[#This Row],['# people reached by regular dedicated hygiene promotion_5]]</f>
        <v>0</v>
      </c>
      <c r="CG72"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2495.054347826087</v>
      </c>
      <c r="CH72" s="938">
        <f>IF(WWWW[[#This Row],['#_of_affected_women_and_girls_receiving_a_sufficient_quantity_of_sanitary_pads]]&gt;WWWW[[#This Row],[Total PoP ]],WWWW[[#This Row],[Total PoP ]],WWWW[[#This Row],['#_of_affected_women_and_girls_receiving_a_sufficient_quantity_of_sanitary_pads]])</f>
        <v>1342</v>
      </c>
      <c r="CI72" s="938">
        <f>IF(WWWW[[#This Row],['# People with access to soap]]&gt;WWWW[[#This Row],['# People with access to Sanity Pads]],WWWW[[#This Row],['# People with access to soap]],WWWW[[#This Row],['# People with access to Sanity Pads]])</f>
        <v>2495.054347826087</v>
      </c>
      <c r="CJ72" s="938">
        <f>IF(WWWW[[#This Row],['# people reached by regular dedicated hygiene promotion_5]]&gt;WWWW[[#This Row],['# People received regular supply of hygiene items_6]],WWWW[[#This Row],['# people reached by regular dedicated hygiene promotion_5]],WWWW[[#This Row],['# People received regular supply of hygiene items_6]])</f>
        <v>2495.054347826087</v>
      </c>
      <c r="CK72" s="941">
        <f>IF(WWWW[[#This Row],[HRP3]]/WWWW[[#This Row],[Total PoP ]]&gt;100%,100%,WWWW[[#This Row],[HRP3]]/WWWW[[#This Row],[Total PoP ]])</f>
        <v>0.4891304347826087</v>
      </c>
      <c r="CL72" s="937">
        <f>1-WWWW[[#This Row],[Hygiene Coverage%]]</f>
        <v>0.51086956521739135</v>
      </c>
      <c r="CM72" s="936">
        <f>WWWW[[#This Row],['# people reached by regular dedicated hygiene promotion_5]]/WWWW[[#This Row],[Total PoP ]]</f>
        <v>0.34630464614781414</v>
      </c>
      <c r="CN72" s="937">
        <f>IF(WWWW[[#This Row],['#_of_affected_households_receiving_a_sufficient_quantity_of_soap]]/WWWW[[#This Row],[Total HH]]&gt;1,1,WWWW[[#This Row],['#_of_affected_households_receiving_a_sufficient_quantity_of_soap]]/WWWW[[#This Row],[Total HH]])</f>
        <v>0.4891304347826087</v>
      </c>
      <c r="CO72" s="455" t="str">
        <f>IF(WWWW[[#This Row],['#_students at TLS_CFS]]="","No","Yes")</f>
        <v>Yes</v>
      </c>
      <c r="CP72" s="452">
        <f>WWWW[[#This Row],[%_of_affected_people_surveyed_who_report_feeling_informed_about_the_different_WASH_services_available_to_them]]</f>
        <v>0.97</v>
      </c>
      <c r="CQ7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119.5</v>
      </c>
      <c r="CR72" s="500">
        <f>IF(WWWW[[#This Row],['#_PPL_accessed_water_in_TLS]]&gt;WWWW[[#This Row],['# students access to functioning school latrines_HRP5]],WWWW[[#This Row],['#_PPL_accessed_water_in_TLS]],WWWW[[#This Row],['# students access to functioning school latrines_HRP5]])</f>
        <v>0</v>
      </c>
      <c r="CS72" s="500">
        <f>IF(WWWW[[#This Row],['#_PPL_accessed_water_in_THF]]&gt;WWWW[[#This Row],['# people access to functioning latrines in THF_HRP6]],WWWW[[#This Row],['#_PPL_accessed_water_in_THF]],WWWW[[#This Row],['# people access to functioning latrines in THF_HRP6]])</f>
        <v>0</v>
      </c>
      <c r="CT72" s="934" t="str">
        <f>VLOOKUP(WWWW[[#This Row],[Site Name]],SiteDB6[[Site Name]:[CCCM Management]],6,FALSE)</f>
        <v>Yes</v>
      </c>
      <c r="CU72" s="934">
        <f>VLOOKUP(WWWW[[#This Row],[Site Name]],SiteDB6[[Site Name]:[CCCM Focal Agency]],7,FALSE)</f>
        <v>0</v>
      </c>
      <c r="CV72" s="934" t="str">
        <f>VLOOKUP(WWWW[[#This Row],[Site Name]],SiteDB6[[Site Name]:[Location Type 1]],9,FALSE)</f>
        <v>Camp</v>
      </c>
      <c r="CW72" s="934" t="str">
        <f>VLOOKUP(WWWW[[#This Row],[Site Name]],SiteDB6[[Site Name]:[Type of Accommodation]],10,FALSE)</f>
        <v>Planned Camp</v>
      </c>
      <c r="CX72" s="934" t="str">
        <f>VLOOKUP(WWWW[[#This Row],[Site Name]],SiteDB6[[Site Name]:[Ethnic or GCA/NGCA]],11,FALSE)</f>
        <v>Muslim</v>
      </c>
      <c r="CY72" s="934">
        <f>VLOOKUP(WWWW[[#This Row],[Site Name]],SiteDB6[[Site Name]:[Lat]],12,FALSE)</f>
        <v>20.179417000000001</v>
      </c>
      <c r="CZ72" s="934">
        <f>VLOOKUP(WWWW[[#This Row],[Site Name]],SiteDB6[[Site Name]:[Long]],13,FALSE)</f>
        <v>92.813028000000003</v>
      </c>
      <c r="DA72" s="934" t="str">
        <f>VLOOKUP(WWWW[[#This Row],[Site Name]],SiteDB6[[Site Name]:[Pcode]],3,FALSE)</f>
        <v>MMR012CMP113</v>
      </c>
      <c r="DB72" s="942" t="str">
        <f t="shared" si="4"/>
        <v>Covered</v>
      </c>
      <c r="DC72" s="477"/>
      <c r="DD72" s="477"/>
      <c r="DE72" s="477">
        <f>WWWW[[#This Row],['# of Male_People with disabilities]]+WWWW[[#This Row],['# of Female_People with disabilities]]</f>
        <v>0</v>
      </c>
      <c r="DF72" s="934"/>
      <c r="DG72" s="942"/>
      <c r="DH72" s="942"/>
      <c r="DI72" s="942"/>
      <c r="DJ72" s="942">
        <f>VLOOKUP(WWWW[[#This Row],[Site Name]],SiteDB6[[Site Name]:[Pop
(CCCM as of Autust 2021)]],16,FALSE)</f>
        <v>1012</v>
      </c>
      <c r="DK72" s="942">
        <f>VLOOKUP(WWWW[[#This Row],[Site Name]],SiteDB6[[Site Name]:[Pop
(CCCM as of Autust 2021)]],17,FALSE)</f>
        <v>5066</v>
      </c>
    </row>
    <row r="73" spans="1:115">
      <c r="A73" s="932" t="s">
        <v>3146</v>
      </c>
      <c r="B73" s="932" t="s">
        <v>2270</v>
      </c>
      <c r="C73" s="933" t="s">
        <v>2270</v>
      </c>
      <c r="D73" s="933" t="s">
        <v>3222</v>
      </c>
      <c r="E73" s="845" t="s">
        <v>293</v>
      </c>
      <c r="F73" s="933" t="s">
        <v>294</v>
      </c>
      <c r="G73" s="898" t="s">
        <v>43</v>
      </c>
      <c r="H73" s="933" t="s">
        <v>426</v>
      </c>
      <c r="I73" s="935">
        <v>1346</v>
      </c>
      <c r="J73" s="935">
        <v>8728</v>
      </c>
      <c r="K73" s="684">
        <f>WWWW[[#This Row],[Total PoP ]]/WWWW[[#This Row],[Total HH]]</f>
        <v>6.4843982169390788</v>
      </c>
      <c r="L73" s="907">
        <v>44835</v>
      </c>
      <c r="M73" s="908">
        <v>45016</v>
      </c>
      <c r="N73" s="500">
        <v>501</v>
      </c>
      <c r="O73" s="500">
        <v>76</v>
      </c>
      <c r="P73" s="500">
        <v>80</v>
      </c>
      <c r="Q73" s="500"/>
      <c r="R73" s="500"/>
      <c r="S73" s="500"/>
      <c r="T73" s="500"/>
      <c r="U73" s="500">
        <v>75</v>
      </c>
      <c r="V73" s="450">
        <v>0.8</v>
      </c>
      <c r="W73" s="500">
        <v>46</v>
      </c>
      <c r="X73" s="450">
        <v>0.26</v>
      </c>
      <c r="Y73" s="500">
        <v>1353</v>
      </c>
      <c r="Z73" s="500"/>
      <c r="AA73" s="500"/>
      <c r="AB73" s="909"/>
      <c r="AC73" s="500">
        <v>219</v>
      </c>
      <c r="AD73" s="500">
        <v>328</v>
      </c>
      <c r="AE73" s="500"/>
      <c r="AF73" s="500"/>
      <c r="AG73" s="450"/>
      <c r="AH73" s="450"/>
      <c r="AI73" s="450"/>
      <c r="AJ73" s="500"/>
      <c r="AK73" s="500">
        <v>173</v>
      </c>
      <c r="AL73" s="500"/>
      <c r="AM73" s="500"/>
      <c r="AN73" s="500" t="s">
        <v>41</v>
      </c>
      <c r="AO73" s="538" t="s">
        <v>3223</v>
      </c>
      <c r="AP73" s="500">
        <f>102/2</f>
        <v>51</v>
      </c>
      <c r="AQ73" s="500">
        <f>480/2</f>
        <v>240</v>
      </c>
      <c r="AR73" s="500">
        <f>1451/2</f>
        <v>725.5</v>
      </c>
      <c r="AS73" s="500">
        <f>1500/2</f>
        <v>750</v>
      </c>
      <c r="AT73" s="500">
        <f>990/2</f>
        <v>495</v>
      </c>
      <c r="AU73" s="500">
        <v>1797</v>
      </c>
      <c r="AV73" s="450">
        <v>0.94</v>
      </c>
      <c r="AW73" s="450"/>
      <c r="AX73" s="451"/>
      <c r="AY73" s="538" t="s">
        <v>3224</v>
      </c>
      <c r="AZ73" s="450">
        <v>1</v>
      </c>
      <c r="BA73" s="450">
        <v>1</v>
      </c>
      <c r="BB73" s="450">
        <v>0.97</v>
      </c>
      <c r="BC73" s="450">
        <v>0.9</v>
      </c>
      <c r="BD73" s="450"/>
      <c r="BE73" s="500">
        <f>171/2</f>
        <v>85.5</v>
      </c>
      <c r="BF73" s="500"/>
      <c r="BG73" s="500">
        <v>18</v>
      </c>
      <c r="BH73" s="500"/>
      <c r="BI73" s="500"/>
      <c r="BJ73" s="500"/>
      <c r="BK73" s="500"/>
      <c r="BL73" s="937" t="str">
        <f>IF(WWWW[[#This Row],['#_Water samples_Tested_at_water_source]]="","no test","Tested")</f>
        <v>Tested</v>
      </c>
      <c r="BM73" s="937" t="str">
        <f>IF(WWWW[[#This Row],['#_Water samples_Tested_at_HH]]="","no test","Tested")</f>
        <v>Tested</v>
      </c>
      <c r="BN73" s="938" t="str">
        <f>IF(AND(WWWW[[#This Row],[Water_testing_at source]]="no test",WWWW[[#This Row],[Water_testing_at HH]]="no test"),"No Test","Tested")</f>
        <v>Tested</v>
      </c>
      <c r="BO73"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3" s="939">
        <f>WWWW[[#This Row],[% HRP1]]*WWWW[[#This Row],[Total PoP ]]</f>
        <v>8728</v>
      </c>
      <c r="BQ73" s="940">
        <f>WWWW[[#This Row],[HRP1]]/500</f>
        <v>17.456</v>
      </c>
      <c r="BR73" s="941">
        <f>1-WWWW[[#This Row],[% HRP1]]</f>
        <v>0</v>
      </c>
      <c r="BS73" s="940">
        <f>WWWW[[#This Row],[%equitable and continuous access to sufficient quantity of safe drinking and domestic water''s GAP]]*WWWW[[#This Row],[Total PoP ]]</f>
        <v>0</v>
      </c>
      <c r="BT73" s="451">
        <f>ROUND(IF(WWWW[[#This Row],[Total PoP ]]&lt;500,1,WWWW[[#This Row],[Total PoP ]]/500),0)</f>
        <v>17</v>
      </c>
      <c r="BU73" s="938">
        <f>IF(WWWW[[#This Row],[Total required water points]]-WWWW[[#This Row],['#Water points coverage]]&lt;0,0,WWWW[[#This Row],[Total required water points]]-WWWW[[#This Row],['#Water points coverage]])</f>
        <v>0</v>
      </c>
      <c r="BV73" s="452">
        <f>WWWW[[#This Row],[HRP2]]/WWWW[[#This Row],[Total PoP ]]</f>
        <v>0.52165444546287809</v>
      </c>
      <c r="BW73"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4553</v>
      </c>
      <c r="BX73" s="455">
        <f>IF(WWWW[[#This Row],['#_Functional_adult_latrines]]="","",WWWW[[#This Row],[Total PoP ]]/WWWW[[#This Row],['#_Functional_adult_latrines]])</f>
        <v>39.853881278538815</v>
      </c>
      <c r="BY73" s="938">
        <f>WWWW[[#This Row],['#_of_latrines_in_TLS/CFS]]*50</f>
        <v>0</v>
      </c>
      <c r="BZ73" s="451">
        <f>IF(WWWW[[#This Row],['#_of_latrines_in_THF]]="",0,WWWW[[#This Row],['#_of_latrines_in_THF]]*50)</f>
        <v>0</v>
      </c>
      <c r="CA73" s="938">
        <f>ROUND(IF(WWWW[[#This Row],[Location Type 1]]="camp",WWWW[[#This Row],[Total PoP ]]/20),0)</f>
        <v>436</v>
      </c>
      <c r="CB73" s="938">
        <f>IF(WWWW[[#This Row],[Total required Latrines]]-WWWW[[#This Row],['#_Existing_latrines]]&lt;0,0,WWWW[[#This Row],[Total required Latrines]]-WWWW[[#This Row],['#_Existing_latrines]])</f>
        <v>108</v>
      </c>
      <c r="CC73" s="941">
        <f>1-WWWW[[#This Row],[% HRP2]]</f>
        <v>0.47834555453712191</v>
      </c>
      <c r="CD73" s="937">
        <f>IF(WWWW[[#This Row],['#_Existing_latrines]]="","NA",(WWWW[[#This Row],['#_Existing_latrines]]-WWWW[[#This Row],['#_Functional_adult_latrines]])/WWWW[[#This Row],['#_Existing_latrines]])</f>
        <v>0.33231707317073172</v>
      </c>
      <c r="CE73"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1766.5</v>
      </c>
      <c r="CF73" s="940">
        <f>SUM(WWWW[[#This Row],[_'#_of_Men_receiving_consultation_hygiene_promotion_messages_and_sessions]:[_'#_of_Girls_receiving_consultation_hygiene_promotion_messages_and_sessions]])-WWWW[[#This Row],['# people reached by regular dedicated hygiene promotion_5]]</f>
        <v>0</v>
      </c>
      <c r="CG73"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3209.7771173848441</v>
      </c>
      <c r="CH73" s="938">
        <f>IF(WWWW[[#This Row],['#_of_affected_women_and_girls_receiving_a_sufficient_quantity_of_sanitary_pads]]&gt;WWWW[[#This Row],[Total PoP ]],WWWW[[#This Row],[Total PoP ]],WWWW[[#This Row],['#_of_affected_women_and_girls_receiving_a_sufficient_quantity_of_sanitary_pads]])</f>
        <v>1797</v>
      </c>
      <c r="CI73" s="938">
        <f>IF(WWWW[[#This Row],['# People with access to soap]]&gt;WWWW[[#This Row],['# People with access to Sanity Pads]],WWWW[[#This Row],['# People with access to soap]],WWWW[[#This Row],['# People with access to Sanity Pads]])</f>
        <v>3209.7771173848441</v>
      </c>
      <c r="CJ73" s="938">
        <f>IF(WWWW[[#This Row],['# people reached by regular dedicated hygiene promotion_5]]&gt;WWWW[[#This Row],['# People received regular supply of hygiene items_6]],WWWW[[#This Row],['# people reached by regular dedicated hygiene promotion_5]],WWWW[[#This Row],['# People received regular supply of hygiene items_6]])</f>
        <v>3209.7771173848441</v>
      </c>
      <c r="CK73" s="941">
        <f>IF(WWWW[[#This Row],[HRP3]]/WWWW[[#This Row],[Total PoP ]]&gt;100%,100%,WWWW[[#This Row],[HRP3]]/WWWW[[#This Row],[Total PoP ]])</f>
        <v>0.36775631500742945</v>
      </c>
      <c r="CL73" s="937">
        <f>1-WWWW[[#This Row],[Hygiene Coverage%]]</f>
        <v>0.63224368499257055</v>
      </c>
      <c r="CM73" s="936">
        <f>WWWW[[#This Row],['# people reached by regular dedicated hygiene promotion_5]]/WWWW[[#This Row],[Total PoP ]]</f>
        <v>0.20239459211732355</v>
      </c>
      <c r="CN73" s="937">
        <f>IF(WWWW[[#This Row],['#_of_affected_households_receiving_a_sufficient_quantity_of_soap]]/WWWW[[#This Row],[Total HH]]&gt;1,1,WWWW[[#This Row],['#_of_affected_households_receiving_a_sufficient_quantity_of_soap]]/WWWW[[#This Row],[Total HH]])</f>
        <v>0.36775631500742945</v>
      </c>
      <c r="CO73" s="455" t="str">
        <f>IF(WWWW[[#This Row],['#_students at TLS_CFS]]="","No","Yes")</f>
        <v>Yes</v>
      </c>
      <c r="CP73" s="452">
        <f>WWWW[[#This Row],[%_of_affected_people_surveyed_who_report_feeling_informed_about_the_different_WASH_services_available_to_them]]</f>
        <v>0.97</v>
      </c>
      <c r="CQ7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103.5</v>
      </c>
      <c r="CR73" s="500">
        <f>IF(WWWW[[#This Row],['#_PPL_accessed_water_in_TLS]]&gt;WWWW[[#This Row],['# students access to functioning school latrines_HRP5]],WWWW[[#This Row],['#_PPL_accessed_water_in_TLS]],WWWW[[#This Row],['# students access to functioning school latrines_HRP5]])</f>
        <v>0</v>
      </c>
      <c r="CS73" s="500">
        <f>IF(WWWW[[#This Row],['#_PPL_accessed_water_in_THF]]&gt;WWWW[[#This Row],['# people access to functioning latrines in THF_HRP6]],WWWW[[#This Row],['#_PPL_accessed_water_in_THF]],WWWW[[#This Row],['# people access to functioning latrines in THF_HRP6]])</f>
        <v>0</v>
      </c>
      <c r="CT73" s="934" t="str">
        <f>VLOOKUP(WWWW[[#This Row],[Site Name]],SiteDB6[[Site Name]:[CCCM Management]],6,FALSE)</f>
        <v>Yes</v>
      </c>
      <c r="CU73" s="934">
        <f>VLOOKUP(WWWW[[#This Row],[Site Name]],SiteDB6[[Site Name]:[CCCM Focal Agency]],7,FALSE)</f>
        <v>0</v>
      </c>
      <c r="CV73" s="934" t="str">
        <f>VLOOKUP(WWWW[[#This Row],[Site Name]],SiteDB6[[Site Name]:[Location Type 1]],9,FALSE)</f>
        <v>Camp</v>
      </c>
      <c r="CW73" s="934" t="str">
        <f>VLOOKUP(WWWW[[#This Row],[Site Name]],SiteDB6[[Site Name]:[Type of Accommodation]],10,FALSE)</f>
        <v>Planned Camp</v>
      </c>
      <c r="CX73" s="934" t="str">
        <f>VLOOKUP(WWWW[[#This Row],[Site Name]],SiteDB6[[Site Name]:[Ethnic or GCA/NGCA]],11,FALSE)</f>
        <v>Muslim</v>
      </c>
      <c r="CY73" s="934">
        <f>VLOOKUP(WWWW[[#This Row],[Site Name]],SiteDB6[[Site Name]:[Lat]],12,FALSE)</f>
        <v>20.181405999999999</v>
      </c>
      <c r="CZ73" s="934">
        <f>VLOOKUP(WWWW[[#This Row],[Site Name]],SiteDB6[[Site Name]:[Long]],13,FALSE)</f>
        <v>92.807552000000001</v>
      </c>
      <c r="DA73" s="934" t="str">
        <f>VLOOKUP(WWWW[[#This Row],[Site Name]],SiteDB6[[Site Name]:[Pcode]],3,FALSE)</f>
        <v>MMR012CMP114</v>
      </c>
      <c r="DB73" s="942" t="str">
        <f t="shared" si="4"/>
        <v>Covered</v>
      </c>
      <c r="DC73" s="477"/>
      <c r="DD73" s="477"/>
      <c r="DE73" s="477">
        <f>WWWW[[#This Row],['# of Male_People with disabilities]]+WWWW[[#This Row],['# of Female_People with disabilities]]</f>
        <v>0</v>
      </c>
      <c r="DF73" s="934"/>
      <c r="DG73" s="942"/>
      <c r="DH73" s="942"/>
      <c r="DI73" s="942"/>
      <c r="DJ73" s="942">
        <f>VLOOKUP(WWWW[[#This Row],[Site Name]],SiteDB6[[Site Name]:[Pop
(CCCM as of Autust 2021)]],16,FALSE)</f>
        <v>1346</v>
      </c>
      <c r="DK73" s="942">
        <f>VLOOKUP(WWWW[[#This Row],[Site Name]],SiteDB6[[Site Name]:[Pop
(CCCM as of Autust 2021)]],17,FALSE)</f>
        <v>8414</v>
      </c>
    </row>
    <row r="74" spans="1:115">
      <c r="A74" s="932" t="s">
        <v>3146</v>
      </c>
      <c r="B74" s="932" t="s">
        <v>2270</v>
      </c>
      <c r="C74" s="933" t="s">
        <v>2270</v>
      </c>
      <c r="D74" s="933" t="s">
        <v>3222</v>
      </c>
      <c r="E74" s="845" t="s">
        <v>293</v>
      </c>
      <c r="F74" s="933" t="s">
        <v>294</v>
      </c>
      <c r="G74" s="898" t="s">
        <v>43</v>
      </c>
      <c r="H74" s="933" t="s">
        <v>423</v>
      </c>
      <c r="I74" s="935">
        <v>1753</v>
      </c>
      <c r="J74" s="935">
        <v>11715</v>
      </c>
      <c r="K74" s="684">
        <f>WWWW[[#This Row],[Total PoP ]]/WWWW[[#This Row],[Total HH]]</f>
        <v>6.6828294352538506</v>
      </c>
      <c r="L74" s="907">
        <v>44835</v>
      </c>
      <c r="M74" s="908">
        <v>45016</v>
      </c>
      <c r="N74" s="500">
        <v>896</v>
      </c>
      <c r="O74" s="500">
        <v>82</v>
      </c>
      <c r="P74" s="500">
        <v>85</v>
      </c>
      <c r="Q74" s="500"/>
      <c r="R74" s="500"/>
      <c r="S74" s="500"/>
      <c r="T74" s="500"/>
      <c r="U74" s="500">
        <v>74</v>
      </c>
      <c r="V74" s="450">
        <v>0.63</v>
      </c>
      <c r="W74" s="500">
        <v>97</v>
      </c>
      <c r="X74" s="450">
        <v>0.27</v>
      </c>
      <c r="Y74" s="500">
        <v>1850</v>
      </c>
      <c r="Z74" s="500"/>
      <c r="AA74" s="500"/>
      <c r="AB74" s="909"/>
      <c r="AC74" s="500">
        <v>513</v>
      </c>
      <c r="AD74" s="500">
        <v>554</v>
      </c>
      <c r="AE74" s="500">
        <v>139</v>
      </c>
      <c r="AF74" s="500">
        <v>427</v>
      </c>
      <c r="AG74" s="450">
        <v>1</v>
      </c>
      <c r="AH74" s="450">
        <v>0.92</v>
      </c>
      <c r="AI74" s="450">
        <v>0.45</v>
      </c>
      <c r="AJ74" s="500"/>
      <c r="AK74" s="500">
        <v>165</v>
      </c>
      <c r="AL74" s="500"/>
      <c r="AM74" s="500"/>
      <c r="AN74" s="500" t="s">
        <v>41</v>
      </c>
      <c r="AO74" s="538" t="s">
        <v>3224</v>
      </c>
      <c r="AP74" s="500">
        <v>13</v>
      </c>
      <c r="AQ74" s="500">
        <v>219</v>
      </c>
      <c r="AR74" s="500">
        <v>583</v>
      </c>
      <c r="AS74" s="500">
        <v>455</v>
      </c>
      <c r="AT74" s="500">
        <v>1850</v>
      </c>
      <c r="AU74" s="500">
        <v>2822</v>
      </c>
      <c r="AV74" s="450">
        <v>0.96</v>
      </c>
      <c r="AW74" s="450">
        <v>1</v>
      </c>
      <c r="AX74" s="451"/>
      <c r="AY74" s="538" t="s">
        <v>3224</v>
      </c>
      <c r="AZ74" s="450">
        <v>1</v>
      </c>
      <c r="BA74" s="450">
        <v>1</v>
      </c>
      <c r="BB74" s="450">
        <v>1</v>
      </c>
      <c r="BC74" s="450">
        <v>1</v>
      </c>
      <c r="BD74" s="450"/>
      <c r="BE74" s="500">
        <v>139</v>
      </c>
      <c r="BF74" s="500"/>
      <c r="BG74" s="500">
        <v>14</v>
      </c>
      <c r="BH74" s="500"/>
      <c r="BI74" s="500"/>
      <c r="BJ74" s="500"/>
      <c r="BK74" s="500"/>
      <c r="BL74" s="937" t="str">
        <f>IF(WWWW[[#This Row],['#_Water samples_Tested_at_water_source]]="","no test","Tested")</f>
        <v>Tested</v>
      </c>
      <c r="BM74" s="937" t="str">
        <f>IF(WWWW[[#This Row],['#_Water samples_Tested_at_HH]]="","no test","Tested")</f>
        <v>Tested</v>
      </c>
      <c r="BN74" s="938" t="str">
        <f>IF(AND(WWWW[[#This Row],[Water_testing_at source]]="no test",WWWW[[#This Row],[Water_testing_at HH]]="no test"),"No Test","Tested")</f>
        <v>Tested</v>
      </c>
      <c r="BO74"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4" s="939">
        <f>WWWW[[#This Row],[% HRP1]]*WWWW[[#This Row],[Total PoP ]]</f>
        <v>11715</v>
      </c>
      <c r="BQ74" s="940">
        <f>WWWW[[#This Row],[HRP1]]/500</f>
        <v>23.43</v>
      </c>
      <c r="BR74" s="941">
        <f>1-WWWW[[#This Row],[% HRP1]]</f>
        <v>0</v>
      </c>
      <c r="BS74" s="940">
        <f>WWWW[[#This Row],[%equitable and continuous access to sufficient quantity of safe drinking and domestic water''s GAP]]*WWWW[[#This Row],[Total PoP ]]</f>
        <v>0</v>
      </c>
      <c r="BT74" s="451">
        <f>ROUND(IF(WWWW[[#This Row],[Total PoP ]]&lt;500,1,WWWW[[#This Row],[Total PoP ]]/500),0)</f>
        <v>23</v>
      </c>
      <c r="BU74" s="938">
        <f>IF(WWWW[[#This Row],[Total required water points]]-WWWW[[#This Row],['#Water points coverage]]&lt;0,0,WWWW[[#This Row],[Total required water points]]-WWWW[[#This Row],['#Water points coverage]])</f>
        <v>0</v>
      </c>
      <c r="BV74" s="452">
        <f>WWWW[[#This Row],[HRP2]]/WWWW[[#This Row],[Total PoP ]]</f>
        <v>0.88988476312419973</v>
      </c>
      <c r="BW74"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10425</v>
      </c>
      <c r="BX74" s="455">
        <f>IF(WWWW[[#This Row],['#_Functional_adult_latrines]]="","",WWWW[[#This Row],[Total PoP ]]/WWWW[[#This Row],['#_Functional_adult_latrines]])</f>
        <v>22.836257309941519</v>
      </c>
      <c r="BY74" s="938">
        <f>WWWW[[#This Row],['#_of_latrines_in_TLS/CFS]]*50</f>
        <v>0</v>
      </c>
      <c r="BZ74" s="451">
        <f>IF(WWWW[[#This Row],['#_of_latrines_in_THF]]="",0,WWWW[[#This Row],['#_of_latrines_in_THF]]*50)</f>
        <v>0</v>
      </c>
      <c r="CA74" s="938">
        <f>ROUND(IF(WWWW[[#This Row],[Location Type 1]]="camp",WWWW[[#This Row],[Total PoP ]]/20),0)</f>
        <v>586</v>
      </c>
      <c r="CB74" s="938">
        <f>IF(WWWW[[#This Row],[Total required Latrines]]-WWWW[[#This Row],['#_Existing_latrines]]&lt;0,0,WWWW[[#This Row],[Total required Latrines]]-WWWW[[#This Row],['#_Existing_latrines]])</f>
        <v>32</v>
      </c>
      <c r="CC74" s="941">
        <f>1-WWWW[[#This Row],[% HRP2]]</f>
        <v>0.11011523687580027</v>
      </c>
      <c r="CD74" s="937">
        <f>IF(WWWW[[#This Row],['#_Existing_latrines]]="","NA",(WWWW[[#This Row],['#_Existing_latrines]]-WWWW[[#This Row],['#_Functional_adult_latrines]])/WWWW[[#This Row],['#_Existing_latrines]])</f>
        <v>7.4007220216606495E-2</v>
      </c>
      <c r="CE74"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1270</v>
      </c>
      <c r="CF74" s="940">
        <f>SUM(WWWW[[#This Row],[_'#_of_Men_receiving_consultation_hygiene_promotion_messages_and_sessions]:[_'#_of_Girls_receiving_consultation_hygiene_promotion_messages_and_sessions]])-WWWW[[#This Row],['# people reached by regular dedicated hygiene promotion_5]]</f>
        <v>0</v>
      </c>
      <c r="CG74"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H74" s="938">
        <f>IF(WWWW[[#This Row],['#_of_affected_women_and_girls_receiving_a_sufficient_quantity_of_sanitary_pads]]&gt;WWWW[[#This Row],[Total PoP ]],WWWW[[#This Row],[Total PoP ]],WWWW[[#This Row],['#_of_affected_women_and_girls_receiving_a_sufficient_quantity_of_sanitary_pads]])</f>
        <v>2822</v>
      </c>
      <c r="CI74" s="938">
        <f>IF(WWWW[[#This Row],['# People with access to soap]]&gt;WWWW[[#This Row],['# People with access to Sanity Pads]],WWWW[[#This Row],['# People with access to soap]],WWWW[[#This Row],['# People with access to Sanity Pads]])</f>
        <v>11715</v>
      </c>
      <c r="CJ74" s="938">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K74" s="941">
        <f>IF(WWWW[[#This Row],[HRP3]]/WWWW[[#This Row],[Total PoP ]]&gt;100%,100%,WWWW[[#This Row],[HRP3]]/WWWW[[#This Row],[Total PoP ]])</f>
        <v>1</v>
      </c>
      <c r="CL74" s="937">
        <f>1-WWWW[[#This Row],[Hygiene Coverage%]]</f>
        <v>0</v>
      </c>
      <c r="CM74" s="936">
        <f>WWWW[[#This Row],['# people reached by regular dedicated hygiene promotion_5]]/WWWW[[#This Row],[Total PoP ]]</f>
        <v>0.10840802390098164</v>
      </c>
      <c r="CN74" s="937">
        <f>IF(WWWW[[#This Row],['#_of_affected_households_receiving_a_sufficient_quantity_of_soap]]/WWWW[[#This Row],[Total HH]]&gt;1,1,WWWW[[#This Row],['#_of_affected_households_receiving_a_sufficient_quantity_of_soap]]/WWWW[[#This Row],[Total HH]])</f>
        <v>1</v>
      </c>
      <c r="CO74" s="455" t="str">
        <f>IF(WWWW[[#This Row],['#_students at TLS_CFS]]="","No","Yes")</f>
        <v>Yes</v>
      </c>
      <c r="CP74" s="452">
        <f>WWWW[[#This Row],[%_of_affected_people_surveyed_who_report_feeling_informed_about_the_different_WASH_services_available_to_them]]</f>
        <v>1</v>
      </c>
      <c r="CQ7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153</v>
      </c>
      <c r="CR74" s="500">
        <f>IF(WWWW[[#This Row],['#_PPL_accessed_water_in_TLS]]&gt;WWWW[[#This Row],['# students access to functioning school latrines_HRP5]],WWWW[[#This Row],['#_PPL_accessed_water_in_TLS]],WWWW[[#This Row],['# students access to functioning school latrines_HRP5]])</f>
        <v>0</v>
      </c>
      <c r="CS74" s="500">
        <f>IF(WWWW[[#This Row],['#_PPL_accessed_water_in_THF]]&gt;WWWW[[#This Row],['# people access to functioning latrines in THF_HRP6]],WWWW[[#This Row],['#_PPL_accessed_water_in_THF]],WWWW[[#This Row],['# people access to functioning latrines in THF_HRP6]])</f>
        <v>0</v>
      </c>
      <c r="CT74" s="934" t="str">
        <f>VLOOKUP(WWWW[[#This Row],[Site Name]],SiteDB6[[Site Name]:[CCCM Management]],6,FALSE)</f>
        <v>Yes</v>
      </c>
      <c r="CU74" s="934">
        <f>VLOOKUP(WWWW[[#This Row],[Site Name]],SiteDB6[[Site Name]:[CCCM Focal Agency]],7,FALSE)</f>
        <v>0</v>
      </c>
      <c r="CV74" s="934" t="str">
        <f>VLOOKUP(WWWW[[#This Row],[Site Name]],SiteDB6[[Site Name]:[Location Type 1]],9,FALSE)</f>
        <v>Camp</v>
      </c>
      <c r="CW74" s="934" t="str">
        <f>VLOOKUP(WWWW[[#This Row],[Site Name]],SiteDB6[[Site Name]:[Type of Accommodation]],10,FALSE)</f>
        <v>Planned Camp</v>
      </c>
      <c r="CX74" s="934" t="str">
        <f>VLOOKUP(WWWW[[#This Row],[Site Name]],SiteDB6[[Site Name]:[Ethnic or GCA/NGCA]],11,FALSE)</f>
        <v>Muslim</v>
      </c>
      <c r="CY74" s="934">
        <f>VLOOKUP(WWWW[[#This Row],[Site Name]],SiteDB6[[Site Name]:[Lat]],12,FALSE)</f>
        <v>20.16846</v>
      </c>
      <c r="CZ74" s="934">
        <f>VLOOKUP(WWWW[[#This Row],[Site Name]],SiteDB6[[Site Name]:[Long]],13,FALSE)</f>
        <v>92.827427</v>
      </c>
      <c r="DA74" s="934" t="str">
        <f>VLOOKUP(WWWW[[#This Row],[Site Name]],SiteDB6[[Site Name]:[Pcode]],3,FALSE)</f>
        <v>MMR012CMP041</v>
      </c>
      <c r="DB74" s="942" t="str">
        <f t="shared" si="4"/>
        <v>Covered</v>
      </c>
      <c r="DC74" s="477"/>
      <c r="DD74" s="477"/>
      <c r="DE74" s="477">
        <f>WWWW[[#This Row],['# of Male_People with disabilities]]+WWWW[[#This Row],['# of Female_People with disabilities]]</f>
        <v>0</v>
      </c>
      <c r="DF74" s="934"/>
      <c r="DG74" s="942"/>
      <c r="DH74" s="942"/>
      <c r="DI74" s="942"/>
      <c r="DJ74" s="942">
        <f>VLOOKUP(WWWW[[#This Row],[Site Name]],SiteDB6[[Site Name]:[Pop
(CCCM as of Autust 2021)]],16,FALSE)</f>
        <v>1713</v>
      </c>
      <c r="DK74" s="942">
        <f>VLOOKUP(WWWW[[#This Row],[Site Name]],SiteDB6[[Site Name]:[Pop
(CCCM as of Autust 2021)]],17,FALSE)</f>
        <v>11460</v>
      </c>
    </row>
    <row r="75" spans="1:115">
      <c r="A75" s="932" t="s">
        <v>3146</v>
      </c>
      <c r="B75" s="932" t="s">
        <v>2269</v>
      </c>
      <c r="C75" s="933" t="s">
        <v>2620</v>
      </c>
      <c r="D75" s="933" t="s">
        <v>3184</v>
      </c>
      <c r="E75" s="845" t="s">
        <v>293</v>
      </c>
      <c r="F75" s="933" t="s">
        <v>294</v>
      </c>
      <c r="G75" s="898" t="s">
        <v>43</v>
      </c>
      <c r="H75" s="933" t="s">
        <v>2271</v>
      </c>
      <c r="I75" s="935">
        <v>400</v>
      </c>
      <c r="J75" s="935">
        <v>2248</v>
      </c>
      <c r="K75" s="684">
        <f>WWWW[[#This Row],[Total PoP ]]/WWWW[[#This Row],[Total HH]]</f>
        <v>5.62</v>
      </c>
      <c r="L75" s="907">
        <v>44652</v>
      </c>
      <c r="M75" s="908">
        <v>44834</v>
      </c>
      <c r="N75" s="500">
        <v>550</v>
      </c>
      <c r="O75" s="500">
        <v>47</v>
      </c>
      <c r="P75" s="500">
        <v>53</v>
      </c>
      <c r="Q75" s="500"/>
      <c r="R75" s="500"/>
      <c r="S75" s="500"/>
      <c r="T75" s="500"/>
      <c r="U75" s="500">
        <v>12</v>
      </c>
      <c r="V75" s="450">
        <v>0.25</v>
      </c>
      <c r="W75" s="500">
        <v>4</v>
      </c>
      <c r="X75" s="450">
        <v>0</v>
      </c>
      <c r="Y75" s="500"/>
      <c r="Z75" s="500"/>
      <c r="AA75" s="500"/>
      <c r="AB75" s="909"/>
      <c r="AC75" s="500">
        <v>95</v>
      </c>
      <c r="AD75" s="500">
        <v>116</v>
      </c>
      <c r="AE75" s="500"/>
      <c r="AF75" s="500"/>
      <c r="AG75" s="450">
        <v>0.82</v>
      </c>
      <c r="AH75" s="450">
        <v>0.73</v>
      </c>
      <c r="AI75" s="450">
        <v>0.64</v>
      </c>
      <c r="AJ75" s="500">
        <v>10</v>
      </c>
      <c r="AK75" s="500">
        <v>29</v>
      </c>
      <c r="AL75" s="500">
        <v>4</v>
      </c>
      <c r="AM75" s="500"/>
      <c r="AN75" s="500" t="s">
        <v>41</v>
      </c>
      <c r="AO75" s="538"/>
      <c r="AP75" s="500">
        <v>397</v>
      </c>
      <c r="AQ75" s="500">
        <v>952</v>
      </c>
      <c r="AR75" s="500">
        <v>2397</v>
      </c>
      <c r="AS75" s="500">
        <v>2365</v>
      </c>
      <c r="AT75" s="500">
        <v>392</v>
      </c>
      <c r="AU75" s="500">
        <v>1176</v>
      </c>
      <c r="AV75" s="450">
        <v>0.56999999999999995</v>
      </c>
      <c r="AW75" s="450"/>
      <c r="AX75" s="451">
        <v>5</v>
      </c>
      <c r="AY75" s="910"/>
      <c r="AZ75" s="450">
        <v>1</v>
      </c>
      <c r="BA75" s="450">
        <v>1</v>
      </c>
      <c r="BB75" s="450">
        <v>1</v>
      </c>
      <c r="BC75" s="450">
        <v>1</v>
      </c>
      <c r="BD75" s="450"/>
      <c r="BE75" s="500">
        <v>41</v>
      </c>
      <c r="BF75" s="500"/>
      <c r="BG75" s="500"/>
      <c r="BH75" s="500"/>
      <c r="BI75" s="500"/>
      <c r="BJ75" s="500"/>
      <c r="BK75" s="500"/>
      <c r="BL75" s="937" t="str">
        <f>IF(WWWW[[#This Row],['#_Water samples_Tested_at_water_source]]="","no test","Tested")</f>
        <v>Tested</v>
      </c>
      <c r="BM75" s="937" t="str">
        <f>IF(WWWW[[#This Row],['#_Water samples_Tested_at_HH]]="","no test","Tested")</f>
        <v>Tested</v>
      </c>
      <c r="BN75" s="938" t="str">
        <f>IF(AND(WWWW[[#This Row],[Water_testing_at source]]="no test",WWWW[[#This Row],[Water_testing_at HH]]="no test"),"No Test","Tested")</f>
        <v>Tested</v>
      </c>
      <c r="BO75"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5" s="939">
        <f>WWWW[[#This Row],[% HRP1]]*WWWW[[#This Row],[Total PoP ]]</f>
        <v>2248</v>
      </c>
      <c r="BQ75" s="940">
        <f>WWWW[[#This Row],[HRP1]]/500</f>
        <v>4.4960000000000004</v>
      </c>
      <c r="BR75" s="941">
        <f>1-WWWW[[#This Row],[% HRP1]]</f>
        <v>0</v>
      </c>
      <c r="BS75" s="940">
        <f>WWWW[[#This Row],[%equitable and continuous access to sufficient quantity of safe drinking and domestic water''s GAP]]*WWWW[[#This Row],[Total PoP ]]</f>
        <v>0</v>
      </c>
      <c r="BT75" s="451">
        <f>ROUND(IF(WWWW[[#This Row],[Total PoP ]]&lt;500,1,WWWW[[#This Row],[Total PoP ]]/500),0)</f>
        <v>4</v>
      </c>
      <c r="BU75" s="938">
        <f>IF(WWWW[[#This Row],[Total required water points]]-WWWW[[#This Row],['#Water points coverage]]&lt;0,0,WWWW[[#This Row],[Total required water points]]-WWWW[[#This Row],['#Water points coverage]])</f>
        <v>0</v>
      </c>
      <c r="BV75" s="452">
        <f>WWWW[[#This Row],[HRP2]]/WWWW[[#This Row],[Total PoP ]]</f>
        <v>0.9470640569395018</v>
      </c>
      <c r="BW75"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2129</v>
      </c>
      <c r="BX75" s="455">
        <f>IF(WWWW[[#This Row],['#_Functional_adult_latrines]]="","",WWWW[[#This Row],[Total PoP ]]/WWWW[[#This Row],['#_Functional_adult_latrines]])</f>
        <v>23.663157894736841</v>
      </c>
      <c r="BY75" s="938">
        <f>WWWW[[#This Row],['#_of_latrines_in_TLS/CFS]]*50</f>
        <v>200</v>
      </c>
      <c r="BZ75" s="451">
        <f>IF(WWWW[[#This Row],['#_of_latrines_in_THF]]="",0,WWWW[[#This Row],['#_of_latrines_in_THF]]*50)</f>
        <v>0</v>
      </c>
      <c r="CA75" s="938">
        <f>ROUND(IF(WWWW[[#This Row],[Location Type 1]]="camp",WWWW[[#This Row],[Total PoP ]]/20),0)</f>
        <v>112</v>
      </c>
      <c r="CB75" s="938">
        <f>IF(WWWW[[#This Row],[Total required Latrines]]-WWWW[[#This Row],['#_Existing_latrines]]&lt;0,0,WWWW[[#This Row],[Total required Latrines]]-WWWW[[#This Row],['#_Existing_latrines]])</f>
        <v>0</v>
      </c>
      <c r="CC75" s="941">
        <f>1-WWWW[[#This Row],[% HRP2]]</f>
        <v>5.2935943060498203E-2</v>
      </c>
      <c r="CD75" s="937">
        <f>IF(WWWW[[#This Row],['#_Existing_latrines]]="","NA",(WWWW[[#This Row],['#_Existing_latrines]]-WWWW[[#This Row],['#_Functional_adult_latrines]])/WWWW[[#This Row],['#_Existing_latrines]])</f>
        <v>0.18103448275862069</v>
      </c>
      <c r="CE75"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F75" s="940">
        <f>SUM(WWWW[[#This Row],[_'#_of_Men_receiving_consultation_hygiene_promotion_messages_and_sessions]:[_'#_of_Girls_receiving_consultation_hygiene_promotion_messages_and_sessions]])-WWWW[[#This Row],['# people reached by regular dedicated hygiene promotion_5]]</f>
        <v>3863</v>
      </c>
      <c r="CG75"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H75" s="938">
        <f>IF(WWWW[[#This Row],['#_of_affected_women_and_girls_receiving_a_sufficient_quantity_of_sanitary_pads]]&gt;WWWW[[#This Row],[Total PoP ]],WWWW[[#This Row],[Total PoP ]],WWWW[[#This Row],['#_of_affected_women_and_girls_receiving_a_sufficient_quantity_of_sanitary_pads]])</f>
        <v>1176</v>
      </c>
      <c r="CI75" s="938">
        <f>IF(WWWW[[#This Row],['# People with access to soap]]&gt;WWWW[[#This Row],['# People with access to Sanity Pads]],WWWW[[#This Row],['# People with access to soap]],WWWW[[#This Row],['# People with access to Sanity Pads]])</f>
        <v>2203.04</v>
      </c>
      <c r="CJ75" s="938">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K75" s="941">
        <f>IF(WWWW[[#This Row],[HRP3]]/WWWW[[#This Row],[Total PoP ]]&gt;100%,100%,WWWW[[#This Row],[HRP3]]/WWWW[[#This Row],[Total PoP ]])</f>
        <v>1</v>
      </c>
      <c r="CL75" s="937">
        <f>1-WWWW[[#This Row],[Hygiene Coverage%]]</f>
        <v>0</v>
      </c>
      <c r="CM75" s="936">
        <f>WWWW[[#This Row],['# people reached by regular dedicated hygiene promotion_5]]/WWWW[[#This Row],[Total PoP ]]</f>
        <v>1</v>
      </c>
      <c r="CN75" s="937">
        <f>IF(WWWW[[#This Row],['#_of_affected_households_receiving_a_sufficient_quantity_of_soap]]/WWWW[[#This Row],[Total HH]]&gt;1,1,WWWW[[#This Row],['#_of_affected_households_receiving_a_sufficient_quantity_of_soap]]/WWWW[[#This Row],[Total HH]])</f>
        <v>0.98</v>
      </c>
      <c r="CO75" s="455" t="str">
        <f>IF(WWWW[[#This Row],['#_students at TLS_CFS]]="","No","Yes")</f>
        <v>Yes</v>
      </c>
      <c r="CP75" s="452">
        <f>WWWW[[#This Row],[%_of_affected_people_surveyed_who_report_feeling_informed_about_the_different_WASH_services_available_to_them]]</f>
        <v>1</v>
      </c>
      <c r="CQ7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41</v>
      </c>
      <c r="CR75" s="500">
        <f>IF(WWWW[[#This Row],['#_PPL_accessed_water_in_TLS]]&gt;WWWW[[#This Row],['# students access to functioning school latrines_HRP5]],WWWW[[#This Row],['#_PPL_accessed_water_in_TLS]],WWWW[[#This Row],['# students access to functioning school latrines_HRP5]])</f>
        <v>200</v>
      </c>
      <c r="CS75" s="500">
        <f>IF(WWWW[[#This Row],['#_PPL_accessed_water_in_THF]]&gt;WWWW[[#This Row],['# people access to functioning latrines in THF_HRP6]],WWWW[[#This Row],['#_PPL_accessed_water_in_THF]],WWWW[[#This Row],['# people access to functioning latrines in THF_HRP6]])</f>
        <v>0</v>
      </c>
      <c r="CT75" s="934" t="str">
        <f>VLOOKUP(WWWW[[#This Row],[Site Name]],SiteDB6[[Site Name]:[CCCM Management]],6,FALSE)</f>
        <v>Yes</v>
      </c>
      <c r="CU75" s="934">
        <f>VLOOKUP(WWWW[[#This Row],[Site Name]],SiteDB6[[Site Name]:[CCCM Focal Agency]],7,FALSE)</f>
        <v>0</v>
      </c>
      <c r="CV75" s="934" t="str">
        <f>VLOOKUP(WWWW[[#This Row],[Site Name]],SiteDB6[[Site Name]:[Location Type 1]],9,FALSE)</f>
        <v>Camp</v>
      </c>
      <c r="CW75" s="934" t="str">
        <f>VLOOKUP(WWWW[[#This Row],[Site Name]],SiteDB6[[Site Name]:[Type of Accommodation]],10,FALSE)</f>
        <v>Planned Camp</v>
      </c>
      <c r="CX75" s="934" t="str">
        <f>VLOOKUP(WWWW[[#This Row],[Site Name]],SiteDB6[[Site Name]:[Ethnic or GCA/NGCA]],11,FALSE)</f>
        <v>Muslim</v>
      </c>
      <c r="CY75" s="934">
        <f>VLOOKUP(WWWW[[#This Row],[Site Name]],SiteDB6[[Site Name]:[Lat]],12,FALSE)</f>
        <v>20.181778000000001</v>
      </c>
      <c r="CZ75" s="934">
        <f>VLOOKUP(WWWW[[#This Row],[Site Name]],SiteDB6[[Site Name]:[Long]],13,FALSE)</f>
        <v>92.823166999999998</v>
      </c>
      <c r="DA75" s="934" t="str">
        <f>VLOOKUP(WWWW[[#This Row],[Site Name]],SiteDB6[[Site Name]:[Pcode]],3,FALSE)</f>
        <v>MMR012CMP042</v>
      </c>
      <c r="DB75" s="942" t="str">
        <f t="shared" si="4"/>
        <v>Covered</v>
      </c>
      <c r="DC75" s="477"/>
      <c r="DD75" s="477"/>
      <c r="DE75" s="477">
        <f>WWWW[[#This Row],['# of Male_People with disabilities]]+WWWW[[#This Row],['# of Female_People with disabilities]]</f>
        <v>0</v>
      </c>
      <c r="DF75" s="934"/>
      <c r="DG75" s="942"/>
      <c r="DH75" s="942"/>
      <c r="DI75" s="942"/>
      <c r="DJ75" s="942">
        <f>VLOOKUP(WWWW[[#This Row],[Site Name]],SiteDB6[[Site Name]:[Pop
(CCCM as of Autust 2021)]],16,FALSE)</f>
        <v>392</v>
      </c>
      <c r="DK75" s="942">
        <f>VLOOKUP(WWWW[[#This Row],[Site Name]],SiteDB6[[Site Name]:[Pop
(CCCM as of Autust 2021)]],17,FALSE)</f>
        <v>2455</v>
      </c>
    </row>
    <row r="76" spans="1:115">
      <c r="A76" s="932" t="s">
        <v>3146</v>
      </c>
      <c r="B76" s="932" t="s">
        <v>2270</v>
      </c>
      <c r="C76" s="933" t="s">
        <v>2270</v>
      </c>
      <c r="D76" s="933" t="s">
        <v>3222</v>
      </c>
      <c r="E76" s="845" t="s">
        <v>293</v>
      </c>
      <c r="F76" s="933" t="s">
        <v>294</v>
      </c>
      <c r="G76" s="898" t="s">
        <v>43</v>
      </c>
      <c r="H76" s="933" t="s">
        <v>2272</v>
      </c>
      <c r="I76" s="935">
        <v>400</v>
      </c>
      <c r="J76" s="935">
        <v>2262</v>
      </c>
      <c r="K76" s="684">
        <f>WWWW[[#This Row],[Total PoP ]]/WWWW[[#This Row],[Total HH]]</f>
        <v>5.6550000000000002</v>
      </c>
      <c r="L76" s="907">
        <v>44835</v>
      </c>
      <c r="M76" s="908">
        <v>45016</v>
      </c>
      <c r="N76" s="500">
        <v>364</v>
      </c>
      <c r="O76" s="500">
        <v>25</v>
      </c>
      <c r="P76" s="500">
        <v>25</v>
      </c>
      <c r="Q76" s="500"/>
      <c r="R76" s="500"/>
      <c r="S76" s="500"/>
      <c r="T76" s="500"/>
      <c r="U76" s="500">
        <v>1</v>
      </c>
      <c r="V76" s="450">
        <v>0</v>
      </c>
      <c r="W76" s="500">
        <v>2</v>
      </c>
      <c r="X76" s="450">
        <v>0.5</v>
      </c>
      <c r="Y76" s="500">
        <v>400</v>
      </c>
      <c r="Z76" s="500"/>
      <c r="AA76" s="500"/>
      <c r="AB76" s="909"/>
      <c r="AC76" s="500">
        <v>79</v>
      </c>
      <c r="AD76" s="500">
        <v>104</v>
      </c>
      <c r="AE76" s="500">
        <v>53</v>
      </c>
      <c r="AF76" s="500">
        <v>57</v>
      </c>
      <c r="AG76" s="450">
        <v>1</v>
      </c>
      <c r="AH76" s="450">
        <v>1</v>
      </c>
      <c r="AI76" s="450">
        <v>0.45</v>
      </c>
      <c r="AJ76" s="500"/>
      <c r="AK76" s="500">
        <v>198</v>
      </c>
      <c r="AL76" s="500"/>
      <c r="AM76" s="500"/>
      <c r="AN76" s="500" t="s">
        <v>41</v>
      </c>
      <c r="AO76" s="538" t="s">
        <v>3224</v>
      </c>
      <c r="AP76" s="500">
        <v>9</v>
      </c>
      <c r="AQ76" s="500">
        <v>170</v>
      </c>
      <c r="AR76" s="500">
        <v>204</v>
      </c>
      <c r="AS76" s="500">
        <v>209</v>
      </c>
      <c r="AT76" s="500">
        <v>400</v>
      </c>
      <c r="AU76" s="500">
        <v>568</v>
      </c>
      <c r="AV76" s="450">
        <v>0.88</v>
      </c>
      <c r="AW76" s="450">
        <v>1</v>
      </c>
      <c r="AX76" s="451"/>
      <c r="AY76" s="538" t="s">
        <v>3224</v>
      </c>
      <c r="AZ76" s="450">
        <v>1</v>
      </c>
      <c r="BA76" s="450">
        <v>1</v>
      </c>
      <c r="BB76" s="450">
        <v>1</v>
      </c>
      <c r="BC76" s="450">
        <v>1</v>
      </c>
      <c r="BD76" s="450"/>
      <c r="BE76" s="500">
        <v>53</v>
      </c>
      <c r="BF76" s="500"/>
      <c r="BG76" s="500">
        <v>3</v>
      </c>
      <c r="BH76" s="500"/>
      <c r="BI76" s="500"/>
      <c r="BJ76" s="500"/>
      <c r="BK76" s="500"/>
      <c r="BL76" s="937" t="str">
        <f>IF(WWWW[[#This Row],['#_Water samples_Tested_at_water_source]]="","no test","Tested")</f>
        <v>Tested</v>
      </c>
      <c r="BM76" s="937" t="str">
        <f>IF(WWWW[[#This Row],['#_Water samples_Tested_at_HH]]="","no test","Tested")</f>
        <v>Tested</v>
      </c>
      <c r="BN76" s="938" t="str">
        <f>IF(AND(WWWW[[#This Row],[Water_testing_at source]]="no test",WWWW[[#This Row],[Water_testing_at HH]]="no test"),"No Test","Tested")</f>
        <v>Tested</v>
      </c>
      <c r="BO76"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6" s="939">
        <f>WWWW[[#This Row],[% HRP1]]*WWWW[[#This Row],[Total PoP ]]</f>
        <v>2262</v>
      </c>
      <c r="BQ76" s="940">
        <f>WWWW[[#This Row],[HRP1]]/500</f>
        <v>4.524</v>
      </c>
      <c r="BR76" s="941">
        <f>1-WWWW[[#This Row],[% HRP1]]</f>
        <v>0</v>
      </c>
      <c r="BS76" s="940">
        <f>WWWW[[#This Row],[%equitable and continuous access to sufficient quantity of safe drinking and domestic water''s GAP]]*WWWW[[#This Row],[Total PoP ]]</f>
        <v>0</v>
      </c>
      <c r="BT76" s="451">
        <f>ROUND(IF(WWWW[[#This Row],[Total PoP ]]&lt;500,1,WWWW[[#This Row],[Total PoP ]]/500),0)</f>
        <v>5</v>
      </c>
      <c r="BU76" s="938">
        <f>IF(WWWW[[#This Row],[Total required water points]]-WWWW[[#This Row],['#Water points coverage]]&lt;0,0,WWWW[[#This Row],[Total required water points]]-WWWW[[#This Row],['#Water points coverage]])</f>
        <v>0.47599999999999998</v>
      </c>
      <c r="BV76" s="452">
        <f>WWWW[[#This Row],[HRP2]]/WWWW[[#This Row],[Total PoP ]]</f>
        <v>0.78603006189213087</v>
      </c>
      <c r="BW76"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1778</v>
      </c>
      <c r="BX76" s="455">
        <f>IF(WWWW[[#This Row],['#_Functional_adult_latrines]]="","",WWWW[[#This Row],[Total PoP ]]/WWWW[[#This Row],['#_Functional_adult_latrines]])</f>
        <v>28.632911392405063</v>
      </c>
      <c r="BY76" s="938">
        <f>WWWW[[#This Row],['#_of_latrines_in_TLS/CFS]]*50</f>
        <v>0</v>
      </c>
      <c r="BZ76" s="451">
        <f>IF(WWWW[[#This Row],['#_of_latrines_in_THF]]="",0,WWWW[[#This Row],['#_of_latrines_in_THF]]*50)</f>
        <v>0</v>
      </c>
      <c r="CA76" s="938">
        <f>ROUND(IF(WWWW[[#This Row],[Location Type 1]]="camp",WWWW[[#This Row],[Total PoP ]]/20),0)</f>
        <v>113</v>
      </c>
      <c r="CB76" s="938">
        <f>IF(WWWW[[#This Row],[Total required Latrines]]-WWWW[[#This Row],['#_Existing_latrines]]&lt;0,0,WWWW[[#This Row],[Total required Latrines]]-WWWW[[#This Row],['#_Existing_latrines]])</f>
        <v>9</v>
      </c>
      <c r="CC76" s="941">
        <f>1-WWWW[[#This Row],[% HRP2]]</f>
        <v>0.21396993810786913</v>
      </c>
      <c r="CD76" s="937">
        <f>IF(WWWW[[#This Row],['#_Existing_latrines]]="","NA",(WWWW[[#This Row],['#_Existing_latrines]]-WWWW[[#This Row],['#_Functional_adult_latrines]])/WWWW[[#This Row],['#_Existing_latrines]])</f>
        <v>0.24038461538461539</v>
      </c>
      <c r="CE76"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592</v>
      </c>
      <c r="CF76" s="940">
        <f>SUM(WWWW[[#This Row],[_'#_of_Men_receiving_consultation_hygiene_promotion_messages_and_sessions]:[_'#_of_Girls_receiving_consultation_hygiene_promotion_messages_and_sessions]])-WWWW[[#This Row],['# people reached by regular dedicated hygiene promotion_5]]</f>
        <v>0</v>
      </c>
      <c r="CG76"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H76" s="938">
        <f>IF(WWWW[[#This Row],['#_of_affected_women_and_girls_receiving_a_sufficient_quantity_of_sanitary_pads]]&gt;WWWW[[#This Row],[Total PoP ]],WWWW[[#This Row],[Total PoP ]],WWWW[[#This Row],['#_of_affected_women_and_girls_receiving_a_sufficient_quantity_of_sanitary_pads]])</f>
        <v>568</v>
      </c>
      <c r="CI76" s="938">
        <f>IF(WWWW[[#This Row],['# People with access to soap]]&gt;WWWW[[#This Row],['# People with access to Sanity Pads]],WWWW[[#This Row],['# People with access to soap]],WWWW[[#This Row],['# People with access to Sanity Pads]])</f>
        <v>2262</v>
      </c>
      <c r="CJ76" s="938">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K76" s="941">
        <f>IF(WWWW[[#This Row],[HRP3]]/WWWW[[#This Row],[Total PoP ]]&gt;100%,100%,WWWW[[#This Row],[HRP3]]/WWWW[[#This Row],[Total PoP ]])</f>
        <v>1</v>
      </c>
      <c r="CL76" s="937">
        <f>1-WWWW[[#This Row],[Hygiene Coverage%]]</f>
        <v>0</v>
      </c>
      <c r="CM76" s="936">
        <f>WWWW[[#This Row],['# people reached by regular dedicated hygiene promotion_5]]/WWWW[[#This Row],[Total PoP ]]</f>
        <v>0.26171529619805484</v>
      </c>
      <c r="CN76" s="937">
        <f>IF(WWWW[[#This Row],['#_of_affected_households_receiving_a_sufficient_quantity_of_soap]]/WWWW[[#This Row],[Total HH]]&gt;1,1,WWWW[[#This Row],['#_of_affected_households_receiving_a_sufficient_quantity_of_soap]]/WWWW[[#This Row],[Total HH]])</f>
        <v>1</v>
      </c>
      <c r="CO76" s="455" t="str">
        <f>IF(WWWW[[#This Row],['#_students at TLS_CFS]]="","No","Yes")</f>
        <v>Yes</v>
      </c>
      <c r="CP76" s="452">
        <f>WWWW[[#This Row],[%_of_affected_people_surveyed_who_report_feeling_informed_about_the_different_WASH_services_available_to_them]]</f>
        <v>1</v>
      </c>
      <c r="CQ7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56</v>
      </c>
      <c r="CR76" s="500">
        <f>IF(WWWW[[#This Row],['#_PPL_accessed_water_in_TLS]]&gt;WWWW[[#This Row],['# students access to functioning school latrines_HRP5]],WWWW[[#This Row],['#_PPL_accessed_water_in_TLS]],WWWW[[#This Row],['# students access to functioning school latrines_HRP5]])</f>
        <v>0</v>
      </c>
      <c r="CS76" s="500">
        <f>IF(WWWW[[#This Row],['#_PPL_accessed_water_in_THF]]&gt;WWWW[[#This Row],['# people access to functioning latrines in THF_HRP6]],WWWW[[#This Row],['#_PPL_accessed_water_in_THF]],WWWW[[#This Row],['# people access to functioning latrines in THF_HRP6]])</f>
        <v>0</v>
      </c>
      <c r="CT76" s="934">
        <f>VLOOKUP(WWWW[[#This Row],[Site Name]],SiteDB6[[Site Name]:[CCCM Management]],6,FALSE)</f>
        <v>0</v>
      </c>
      <c r="CU76" s="934">
        <f>VLOOKUP(WWWW[[#This Row],[Site Name]],SiteDB6[[Site Name]:[CCCM Focal Agency]],7,FALSE)</f>
        <v>0</v>
      </c>
      <c r="CV76" s="934" t="str">
        <f>VLOOKUP(WWWW[[#This Row],[Site Name]],SiteDB6[[Site Name]:[Location Type 1]],9,FALSE)</f>
        <v>Camp</v>
      </c>
      <c r="CW76" s="934" t="str">
        <f>VLOOKUP(WWWW[[#This Row],[Site Name]],SiteDB6[[Site Name]:[Type of Accommodation]],10,FALSE)</f>
        <v>Planned Camp</v>
      </c>
      <c r="CX76" s="934" t="str">
        <f>VLOOKUP(WWWW[[#This Row],[Site Name]],SiteDB6[[Site Name]:[Ethnic or GCA/NGCA]],11,FALSE)</f>
        <v>Muslim</v>
      </c>
      <c r="CY76" s="934">
        <f>VLOOKUP(WWWW[[#This Row],[Site Name]],SiteDB6[[Site Name]:[Lat]],12,FALSE)</f>
        <v>20.180194</v>
      </c>
      <c r="CZ76" s="934">
        <f>VLOOKUP(WWWW[[#This Row],[Site Name]],SiteDB6[[Site Name]:[Long]],13,FALSE)</f>
        <v>92.816638999999995</v>
      </c>
      <c r="DA76" s="934" t="str">
        <f>VLOOKUP(WWWW[[#This Row],[Site Name]],SiteDB6[[Site Name]:[Pcode]],3,FALSE)</f>
        <v>MMR012CMP042</v>
      </c>
      <c r="DB76" s="942" t="str">
        <f t="shared" si="4"/>
        <v>Covered</v>
      </c>
      <c r="DC76" s="477"/>
      <c r="DD76" s="477"/>
      <c r="DE76" s="477">
        <f>WWWW[[#This Row],['# of Male_People with disabilities]]+WWWW[[#This Row],['# of Female_People with disabilities]]</f>
        <v>0</v>
      </c>
      <c r="DF76" s="934"/>
      <c r="DG76" s="942"/>
      <c r="DH76" s="942"/>
      <c r="DI76" s="942"/>
      <c r="DJ76" s="942">
        <f>VLOOKUP(WWWW[[#This Row],[Site Name]],SiteDB6[[Site Name]:[Pop
(CCCM as of Autust 2021)]],16,FALSE)</f>
        <v>400</v>
      </c>
      <c r="DK76" s="942">
        <f>VLOOKUP(WWWW[[#This Row],[Site Name]],SiteDB6[[Site Name]:[Pop
(CCCM as of Autust 2021)]],17,FALSE)</f>
        <v>2228</v>
      </c>
    </row>
    <row r="77" spans="1:115">
      <c r="A77" s="932" t="s">
        <v>3146</v>
      </c>
      <c r="B77" s="932" t="s">
        <v>2256</v>
      </c>
      <c r="C77" s="933" t="s">
        <v>2256</v>
      </c>
      <c r="D77" s="933" t="s">
        <v>230</v>
      </c>
      <c r="E77" s="845" t="s">
        <v>293</v>
      </c>
      <c r="F77" s="933" t="s">
        <v>356</v>
      </c>
      <c r="G77" s="898" t="s">
        <v>43</v>
      </c>
      <c r="H77" s="933" t="s">
        <v>367</v>
      </c>
      <c r="I77" s="935">
        <v>386</v>
      </c>
      <c r="J77" s="935">
        <v>1086</v>
      </c>
      <c r="K77" s="684">
        <f>WWWW[[#This Row],[Total PoP ]]/WWWW[[#This Row],[Total HH]]</f>
        <v>2.8134715025906734</v>
      </c>
      <c r="L77" s="907">
        <v>44791</v>
      </c>
      <c r="M77" s="908">
        <v>45094</v>
      </c>
      <c r="N77" s="500">
        <v>187</v>
      </c>
      <c r="O77" s="500"/>
      <c r="P77" s="500"/>
      <c r="Q77" s="500">
        <v>14</v>
      </c>
      <c r="R77" s="500">
        <v>19</v>
      </c>
      <c r="S77" s="500"/>
      <c r="T77" s="500"/>
      <c r="U77" s="500">
        <v>48</v>
      </c>
      <c r="V77" s="450">
        <v>0.75</v>
      </c>
      <c r="W77" s="500">
        <v>112</v>
      </c>
      <c r="X77" s="450">
        <v>0.94</v>
      </c>
      <c r="Y77" s="500"/>
      <c r="Z77" s="500">
        <v>210</v>
      </c>
      <c r="AA77" s="500"/>
      <c r="AB77" s="909"/>
      <c r="AC77" s="500">
        <v>93</v>
      </c>
      <c r="AD77" s="500">
        <v>94</v>
      </c>
      <c r="AE77" s="500">
        <v>32</v>
      </c>
      <c r="AF77" s="500">
        <v>94</v>
      </c>
      <c r="AG77" s="450">
        <v>1</v>
      </c>
      <c r="AH77" s="450">
        <v>1</v>
      </c>
      <c r="AI77" s="450">
        <v>1</v>
      </c>
      <c r="AJ77" s="500"/>
      <c r="AK77" s="500">
        <v>22</v>
      </c>
      <c r="AL77" s="500">
        <v>8</v>
      </c>
      <c r="AM77" s="500"/>
      <c r="AN77" s="500" t="s">
        <v>41</v>
      </c>
      <c r="AO77" s="538"/>
      <c r="AP77" s="500">
        <v>83</v>
      </c>
      <c r="AQ77" s="500">
        <v>365</v>
      </c>
      <c r="AR77" s="500">
        <v>83</v>
      </c>
      <c r="AS77" s="500">
        <v>118</v>
      </c>
      <c r="AT77" s="500">
        <v>386</v>
      </c>
      <c r="AU77" s="500"/>
      <c r="AV77" s="450">
        <v>0</v>
      </c>
      <c r="AW77" s="450">
        <v>0.98</v>
      </c>
      <c r="AX77" s="451">
        <v>8</v>
      </c>
      <c r="AY77" s="910"/>
      <c r="AZ77" s="450">
        <v>0.95</v>
      </c>
      <c r="BA77" s="450">
        <v>0.95</v>
      </c>
      <c r="BB77" s="450"/>
      <c r="BC77" s="450">
        <v>0</v>
      </c>
      <c r="BD77" s="500"/>
      <c r="BE77" s="500"/>
      <c r="BF77" s="500"/>
      <c r="BG77" s="500"/>
      <c r="BH77" s="500"/>
      <c r="BI77" s="500"/>
      <c r="BJ77" s="500"/>
      <c r="BK77" s="500"/>
      <c r="BL77" s="937" t="str">
        <f>IF(WWWW[[#This Row],['#_Water samples_Tested_at_water_source]]="","no test","Tested")</f>
        <v>Tested</v>
      </c>
      <c r="BM77" s="937" t="str">
        <f>IF(WWWW[[#This Row],['#_Water samples_Tested_at_HH]]="","no test","Tested")</f>
        <v>Tested</v>
      </c>
      <c r="BN77" s="938" t="str">
        <f>IF(AND(WWWW[[#This Row],[Water_testing_at source]]="no test",WWWW[[#This Row],[Water_testing_at HH]]="no test"),"No Test","Tested")</f>
        <v>Tested</v>
      </c>
      <c r="BO77"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7" s="939">
        <f>WWWW[[#This Row],[% HRP1]]*WWWW[[#This Row],[Total PoP ]]</f>
        <v>1086</v>
      </c>
      <c r="BQ77" s="940">
        <f>WWWW[[#This Row],[HRP1]]/500</f>
        <v>2.1720000000000002</v>
      </c>
      <c r="BR77" s="941">
        <f>1-WWWW[[#This Row],[% HRP1]]</f>
        <v>0</v>
      </c>
      <c r="BS77" s="940">
        <f>WWWW[[#This Row],[%equitable and continuous access to sufficient quantity of safe drinking and domestic water''s GAP]]*WWWW[[#This Row],[Total PoP ]]</f>
        <v>0</v>
      </c>
      <c r="BT77" s="451">
        <f>ROUND(IF(WWWW[[#This Row],[Total PoP ]]&lt;500,1,WWWW[[#This Row],[Total PoP ]]/500),0)</f>
        <v>2</v>
      </c>
      <c r="BU77" s="938">
        <f>IF(WWWW[[#This Row],[Total required water points]]-WWWW[[#This Row],['#Water points coverage]]&lt;0,0,WWWW[[#This Row],[Total required water points]]-WWWW[[#This Row],['#Water points coverage]])</f>
        <v>0</v>
      </c>
      <c r="BV77" s="452">
        <f>WWWW[[#This Row],[HRP2]]/WWWW[[#This Row],[Total PoP ]]</f>
        <v>1</v>
      </c>
      <c r="BW77"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BX77" s="455">
        <f>IF(WWWW[[#This Row],['#_Functional_adult_latrines]]="","",WWWW[[#This Row],[Total PoP ]]/WWWW[[#This Row],['#_Functional_adult_latrines]])</f>
        <v>11.67741935483871</v>
      </c>
      <c r="BY77" s="938">
        <f>WWWW[[#This Row],['#_of_latrines_in_TLS/CFS]]*50</f>
        <v>400</v>
      </c>
      <c r="BZ77" s="451">
        <f>IF(WWWW[[#This Row],['#_of_latrines_in_THF]]="",0,WWWW[[#This Row],['#_of_latrines_in_THF]]*50)</f>
        <v>0</v>
      </c>
      <c r="CA77" s="938">
        <f>ROUND(IF(WWWW[[#This Row],[Location Type 1]]="camp",WWWW[[#This Row],[Total PoP ]]/20),0)</f>
        <v>54</v>
      </c>
      <c r="CB77" s="938">
        <f>IF(WWWW[[#This Row],[Total required Latrines]]-WWWW[[#This Row],['#_Existing_latrines]]&lt;0,0,WWWW[[#This Row],[Total required Latrines]]-WWWW[[#This Row],['#_Existing_latrines]])</f>
        <v>0</v>
      </c>
      <c r="CC77" s="941">
        <f>1-WWWW[[#This Row],[% HRP2]]</f>
        <v>0</v>
      </c>
      <c r="CD77" s="937">
        <f>IF(WWWW[[#This Row],['#_Existing_latrines]]="","NA",(WWWW[[#This Row],['#_Existing_latrines]]-WWWW[[#This Row],['#_Functional_adult_latrines]])/WWWW[[#This Row],['#_Existing_latrines]])</f>
        <v>1.0638297872340425E-2</v>
      </c>
      <c r="CE77"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649</v>
      </c>
      <c r="CF77" s="940">
        <f>SUM(WWWW[[#This Row],[_'#_of_Men_receiving_consultation_hygiene_promotion_messages_and_sessions]:[_'#_of_Girls_receiving_consultation_hygiene_promotion_messages_and_sessions]])-WWWW[[#This Row],['# people reached by regular dedicated hygiene promotion_5]]</f>
        <v>0</v>
      </c>
      <c r="CG77"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H77" s="938">
        <f>IF(WWWW[[#This Row],['#_of_affected_women_and_girls_receiving_a_sufficient_quantity_of_sanitary_pads]]&gt;WWWW[[#This Row],[Total PoP ]],WWWW[[#This Row],[Total PoP ]],WWWW[[#This Row],['#_of_affected_women_and_girls_receiving_a_sufficient_quantity_of_sanitary_pads]])</f>
        <v>0</v>
      </c>
      <c r="CI77" s="938">
        <f>IF(WWWW[[#This Row],['# People with access to soap]]&gt;WWWW[[#This Row],['# People with access to Sanity Pads]],WWWW[[#This Row],['# People with access to soap]],WWWW[[#This Row],['# People with access to Sanity Pads]])</f>
        <v>1086</v>
      </c>
      <c r="CJ77" s="938">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K77" s="941">
        <f>IF(WWWW[[#This Row],[HRP3]]/WWWW[[#This Row],[Total PoP ]]&gt;100%,100%,WWWW[[#This Row],[HRP3]]/WWWW[[#This Row],[Total PoP ]])</f>
        <v>1</v>
      </c>
      <c r="CL77" s="937">
        <f>1-WWWW[[#This Row],[Hygiene Coverage%]]</f>
        <v>0</v>
      </c>
      <c r="CM77" s="936">
        <f>WWWW[[#This Row],['# people reached by regular dedicated hygiene promotion_5]]/WWWW[[#This Row],[Total PoP ]]</f>
        <v>0.59760589318600366</v>
      </c>
      <c r="CN77" s="937">
        <f>IF(WWWW[[#This Row],['#_of_affected_households_receiving_a_sufficient_quantity_of_soap]]/WWWW[[#This Row],[Total HH]]&gt;1,1,WWWW[[#This Row],['#_of_affected_households_receiving_a_sufficient_quantity_of_soap]]/WWWW[[#This Row],[Total HH]])</f>
        <v>1</v>
      </c>
      <c r="CO77" s="455" t="str">
        <f>IF(WWWW[[#This Row],['#_students at TLS_CFS]]="","No","Yes")</f>
        <v>Yes</v>
      </c>
      <c r="CP77" s="452">
        <f>WWWW[[#This Row],[%_of_affected_people_surveyed_who_report_feeling_informed_about_the_different_WASH_services_available_to_them]]</f>
        <v>0</v>
      </c>
      <c r="CQ7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77" s="500">
        <f>IF(WWWW[[#This Row],['#_PPL_accessed_water_in_TLS]]&gt;WWWW[[#This Row],['# students access to functioning school latrines_HRP5]],WWWW[[#This Row],['#_PPL_accessed_water_in_TLS]],WWWW[[#This Row],['# students access to functioning school latrines_HRP5]])</f>
        <v>400</v>
      </c>
      <c r="CS77" s="500">
        <f>IF(WWWW[[#This Row],['#_PPL_accessed_water_in_THF]]&gt;WWWW[[#This Row],['# people access to functioning latrines in THF_HRP6]],WWWW[[#This Row],['#_PPL_accessed_water_in_THF]],WWWW[[#This Row],['# people access to functioning latrines in THF_HRP6]])</f>
        <v>0</v>
      </c>
      <c r="CT77" s="934" t="str">
        <f>VLOOKUP(WWWW[[#This Row],[Site Name]],SiteDB6[[Site Name]:[CCCM Management]],6,FALSE)</f>
        <v>Yes</v>
      </c>
      <c r="CU77" s="934" t="str">
        <f>VLOOKUP(WWWW[[#This Row],[Site Name]],SiteDB6[[Site Name]:[CCCM Focal Agency]],7,FALSE)</f>
        <v>UNHCR</v>
      </c>
      <c r="CV77" s="934" t="str">
        <f>VLOOKUP(WWWW[[#This Row],[Site Name]],SiteDB6[[Site Name]:[Location Type 1]],9,FALSE)</f>
        <v>Camp</v>
      </c>
      <c r="CW77" s="934" t="str">
        <f>VLOOKUP(WWWW[[#This Row],[Site Name]],SiteDB6[[Site Name]:[Type of Accommodation]],10,FALSE)</f>
        <v>Planned Camp</v>
      </c>
      <c r="CX77" s="934" t="str">
        <f>VLOOKUP(WWWW[[#This Row],[Site Name]],SiteDB6[[Site Name]:[Ethnic or GCA/NGCA]],11,FALSE)</f>
        <v>Muslim</v>
      </c>
      <c r="CY77" s="934">
        <f>VLOOKUP(WWWW[[#This Row],[Site Name]],SiteDB6[[Site Name]:[Lat]],12,FALSE)</f>
        <v>19.424576999999999</v>
      </c>
      <c r="CZ77" s="934">
        <f>VLOOKUP(WWWW[[#This Row],[Site Name]],SiteDB6[[Site Name]:[Long]],13,FALSE)</f>
        <v>93.512326000000002</v>
      </c>
      <c r="DA77" s="934" t="str">
        <f>VLOOKUP(WWWW[[#This Row],[Site Name]],SiteDB6[[Site Name]:[Pcode]],3,FALSE)</f>
        <v>MMR012CMP035</v>
      </c>
      <c r="DB77" s="942" t="str">
        <f t="shared" si="4"/>
        <v>Covered</v>
      </c>
      <c r="DC77" s="477"/>
      <c r="DD77" s="477"/>
      <c r="DE77" s="477">
        <f>WWWW[[#This Row],['# of Male_People with disabilities]]+WWWW[[#This Row],['# of Female_People with disabilities]]</f>
        <v>0</v>
      </c>
      <c r="DF77" s="934"/>
      <c r="DG77" s="942"/>
      <c r="DH77" s="942"/>
      <c r="DI77" s="942"/>
      <c r="DJ77" s="942">
        <f>VLOOKUP(WWWW[[#This Row],[Site Name]],SiteDB6[[Site Name]:[Pop
(CCCM as of Autust 2021)]],16,FALSE)</f>
        <v>334</v>
      </c>
      <c r="DK77" s="942">
        <f>VLOOKUP(WWWW[[#This Row],[Site Name]],SiteDB6[[Site Name]:[Pop
(CCCM as of Autust 2021)]],17,FALSE)</f>
        <v>1001</v>
      </c>
    </row>
    <row r="78" spans="1:115">
      <c r="A78" s="932" t="s">
        <v>3146</v>
      </c>
      <c r="B78" s="932" t="s">
        <v>265</v>
      </c>
      <c r="C78" s="933" t="s">
        <v>265</v>
      </c>
      <c r="D78" s="933" t="s">
        <v>2952</v>
      </c>
      <c r="E78" s="845" t="s">
        <v>293</v>
      </c>
      <c r="F78" s="933" t="s">
        <v>401</v>
      </c>
      <c r="G78" s="898" t="s">
        <v>43</v>
      </c>
      <c r="H78" s="933" t="s">
        <v>409</v>
      </c>
      <c r="I78" s="935">
        <v>1389</v>
      </c>
      <c r="J78" s="935">
        <v>6680</v>
      </c>
      <c r="K78" s="684">
        <f>WWWW[[#This Row],[Total PoP ]]/WWWW[[#This Row],[Total HH]]</f>
        <v>4.8092152627789773</v>
      </c>
      <c r="L78" s="943" t="s">
        <v>3218</v>
      </c>
      <c r="M78" s="944" t="s">
        <v>3219</v>
      </c>
      <c r="N78" s="500">
        <v>0</v>
      </c>
      <c r="O78" s="500"/>
      <c r="P78" s="500"/>
      <c r="Q78" s="500">
        <v>36</v>
      </c>
      <c r="R78" s="500">
        <v>36</v>
      </c>
      <c r="S78" s="500"/>
      <c r="T78" s="500">
        <v>6680</v>
      </c>
      <c r="U78" s="500"/>
      <c r="V78" s="500"/>
      <c r="W78" s="500">
        <v>18</v>
      </c>
      <c r="X78" s="450">
        <v>0.89</v>
      </c>
      <c r="Y78" s="500">
        <v>0</v>
      </c>
      <c r="Z78" s="500"/>
      <c r="AA78" s="500"/>
      <c r="AB78" s="909"/>
      <c r="AC78" s="500">
        <v>230</v>
      </c>
      <c r="AD78" s="500">
        <v>238</v>
      </c>
      <c r="AE78" s="500">
        <v>116</v>
      </c>
      <c r="AF78" s="500">
        <v>174</v>
      </c>
      <c r="AG78" s="450">
        <v>1</v>
      </c>
      <c r="AH78" s="450">
        <v>1</v>
      </c>
      <c r="AI78" s="450"/>
      <c r="AJ78" s="500">
        <v>18</v>
      </c>
      <c r="AK78" s="500">
        <v>114</v>
      </c>
      <c r="AL78" s="500"/>
      <c r="AM78" s="500"/>
      <c r="AN78" s="500" t="s">
        <v>41</v>
      </c>
      <c r="AO78" s="538" t="s">
        <v>3220</v>
      </c>
      <c r="AP78" s="500">
        <v>1376</v>
      </c>
      <c r="AQ78" s="500">
        <v>1499</v>
      </c>
      <c r="AR78" s="500">
        <v>1070</v>
      </c>
      <c r="AS78" s="500">
        <v>1009</v>
      </c>
      <c r="AT78" s="500"/>
      <c r="AU78" s="500"/>
      <c r="AV78" s="450">
        <v>0.7</v>
      </c>
      <c r="AW78" s="450">
        <v>0.52</v>
      </c>
      <c r="AX78" s="451"/>
      <c r="AY78" s="910" t="s">
        <v>3225</v>
      </c>
      <c r="AZ78" s="450">
        <v>0.96</v>
      </c>
      <c r="BA78" s="450">
        <v>0.93</v>
      </c>
      <c r="BB78" s="450">
        <v>1</v>
      </c>
      <c r="BC78" s="450">
        <v>1</v>
      </c>
      <c r="BD78" s="450"/>
      <c r="BE78" s="500">
        <v>176</v>
      </c>
      <c r="BF78" s="500"/>
      <c r="BG78" s="500"/>
      <c r="BH78" s="500"/>
      <c r="BI78" s="500"/>
      <c r="BJ78" s="500"/>
      <c r="BK78" s="500"/>
      <c r="BL78" s="937" t="str">
        <f>IF(WWWW[[#This Row],['#_Water samples_Tested_at_water_source]]="","no test","Tested")</f>
        <v>no test</v>
      </c>
      <c r="BM78" s="937" t="str">
        <f>IF(WWWW[[#This Row],['#_Water samples_Tested_at_HH]]="","no test","Tested")</f>
        <v>Tested</v>
      </c>
      <c r="BN78" s="938" t="str">
        <f>IF(AND(WWWW[[#This Row],[Water_testing_at source]]="no test",WWWW[[#This Row],[Water_testing_at HH]]="no test"),"No Test","Tested")</f>
        <v>Tested</v>
      </c>
      <c r="BO78"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8" s="939">
        <f>WWWW[[#This Row],[% HRP1]]*WWWW[[#This Row],[Total PoP ]]</f>
        <v>6680</v>
      </c>
      <c r="BQ78" s="940">
        <f>WWWW[[#This Row],[HRP1]]/500</f>
        <v>13.36</v>
      </c>
      <c r="BR78" s="941">
        <f>1-WWWW[[#This Row],[% HRP1]]</f>
        <v>0</v>
      </c>
      <c r="BS78" s="940">
        <f>WWWW[[#This Row],[%equitable and continuous access to sufficient quantity of safe drinking and domestic water''s GAP]]*WWWW[[#This Row],[Total PoP ]]</f>
        <v>0</v>
      </c>
      <c r="BT78" s="451">
        <f>ROUND(IF(WWWW[[#This Row],[Total PoP ]]&lt;500,1,WWWW[[#This Row],[Total PoP ]]/500),0)</f>
        <v>13</v>
      </c>
      <c r="BU78" s="938">
        <f>IF(WWWW[[#This Row],[Total required water points]]-WWWW[[#This Row],['#Water points coverage]]&lt;0,0,WWWW[[#This Row],[Total required water points]]-WWWW[[#This Row],['#Water points coverage]])</f>
        <v>0</v>
      </c>
      <c r="BV78" s="452">
        <f>WWWW[[#This Row],[HRP2]]/WWWW[[#This Row],[Total PoP ]]</f>
        <v>0.75958083832335332</v>
      </c>
      <c r="BW78"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78" s="455">
        <f>IF(WWWW[[#This Row],['#_Functional_adult_latrines]]="","",WWWW[[#This Row],[Total PoP ]]/WWWW[[#This Row],['#_Functional_adult_latrines]])</f>
        <v>29.043478260869566</v>
      </c>
      <c r="BY78" s="938">
        <f>WWWW[[#This Row],['#_of_latrines_in_TLS/CFS]]*50</f>
        <v>0</v>
      </c>
      <c r="BZ78" s="451">
        <f>IF(WWWW[[#This Row],['#_of_latrines_in_THF]]="",0,WWWW[[#This Row],['#_of_latrines_in_THF]]*50)</f>
        <v>0</v>
      </c>
      <c r="CA78" s="938">
        <f>ROUND(IF(WWWW[[#This Row],[Location Type 1]]="camp",WWWW[[#This Row],[Total PoP ]]/20),0)</f>
        <v>334</v>
      </c>
      <c r="CB78" s="938">
        <f>IF(WWWW[[#This Row],[Total required Latrines]]-WWWW[[#This Row],['#_Existing_latrines]]&lt;0,0,WWWW[[#This Row],[Total required Latrines]]-WWWW[[#This Row],['#_Existing_latrines]])</f>
        <v>96</v>
      </c>
      <c r="CC78" s="941">
        <f>1-WWWW[[#This Row],[% HRP2]]</f>
        <v>0.24041916167664668</v>
      </c>
      <c r="CD78" s="937">
        <f>IF(WWWW[[#This Row],['#_Existing_latrines]]="","NA",(WWWW[[#This Row],['#_Existing_latrines]]-WWWW[[#This Row],['#_Functional_adult_latrines]])/WWWW[[#This Row],['#_Existing_latrines]])</f>
        <v>3.3613445378151259E-2</v>
      </c>
      <c r="CE78"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F78" s="940">
        <f>SUM(WWWW[[#This Row],[_'#_of_Men_receiving_consultation_hygiene_promotion_messages_and_sessions]:[_'#_of_Girls_receiving_consultation_hygiene_promotion_messages_and_sessions]])-WWWW[[#This Row],['# people reached by regular dedicated hygiene promotion_5]]</f>
        <v>0</v>
      </c>
      <c r="CG78"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78" s="938">
        <f>IF(WWWW[[#This Row],['#_of_affected_women_and_girls_receiving_a_sufficient_quantity_of_sanitary_pads]]&gt;WWWW[[#This Row],[Total PoP ]],WWWW[[#This Row],[Total PoP ]],WWWW[[#This Row],['#_of_affected_women_and_girls_receiving_a_sufficient_quantity_of_sanitary_pads]])</f>
        <v>0</v>
      </c>
      <c r="CI78" s="938">
        <f>IF(WWWW[[#This Row],['# People with access to soap]]&gt;WWWW[[#This Row],['# People with access to Sanity Pads]],WWWW[[#This Row],['# People with access to soap]],WWWW[[#This Row],['# People with access to Sanity Pads]])</f>
        <v>0</v>
      </c>
      <c r="CJ78" s="938">
        <f>IF(WWWW[[#This Row],['# people reached by regular dedicated hygiene promotion_5]]&gt;WWWW[[#This Row],['# People received regular supply of hygiene items_6]],WWWW[[#This Row],['# people reached by regular dedicated hygiene promotion_5]],WWWW[[#This Row],['# People received regular supply of hygiene items_6]])</f>
        <v>4954</v>
      </c>
      <c r="CK78" s="941">
        <f>IF(WWWW[[#This Row],[HRP3]]/WWWW[[#This Row],[Total PoP ]]&gt;100%,100%,WWWW[[#This Row],[HRP3]]/WWWW[[#This Row],[Total PoP ]])</f>
        <v>0.74161676646706587</v>
      </c>
      <c r="CL78" s="937">
        <f>1-WWWW[[#This Row],[Hygiene Coverage%]]</f>
        <v>0.25838323353293413</v>
      </c>
      <c r="CM78" s="936">
        <f>WWWW[[#This Row],['# people reached by regular dedicated hygiene promotion_5]]/WWWW[[#This Row],[Total PoP ]]</f>
        <v>0.74161676646706587</v>
      </c>
      <c r="CN78" s="937">
        <f>IF(WWWW[[#This Row],['#_of_affected_households_receiving_a_sufficient_quantity_of_soap]]/WWWW[[#This Row],[Total HH]]&gt;1,1,WWWW[[#This Row],['#_of_affected_households_receiving_a_sufficient_quantity_of_soap]]/WWWW[[#This Row],[Total HH]])</f>
        <v>0</v>
      </c>
      <c r="CO78" s="455" t="str">
        <f>IF(WWWW[[#This Row],['#_students at TLS_CFS]]="","No","Yes")</f>
        <v>Yes</v>
      </c>
      <c r="CP78" s="452">
        <f>WWWW[[#This Row],[%_of_affected_people_surveyed_who_report_feeling_informed_about_the_different_WASH_services_available_to_them]]</f>
        <v>1</v>
      </c>
      <c r="CQ7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176</v>
      </c>
      <c r="CR78" s="500">
        <f>IF(WWWW[[#This Row],['#_PPL_accessed_water_in_TLS]]&gt;WWWW[[#This Row],['# students access to functioning school latrines_HRP5]],WWWW[[#This Row],['#_PPL_accessed_water_in_TLS]],WWWW[[#This Row],['# students access to functioning school latrines_HRP5]])</f>
        <v>0</v>
      </c>
      <c r="CS78" s="500">
        <f>IF(WWWW[[#This Row],['#_PPL_accessed_water_in_THF]]&gt;WWWW[[#This Row],['# people access to functioning latrines in THF_HRP6]],WWWW[[#This Row],['#_PPL_accessed_water_in_THF]],WWWW[[#This Row],['# people access to functioning latrines in THF_HRP6]])</f>
        <v>0</v>
      </c>
      <c r="CT78" s="934" t="str">
        <f>VLOOKUP(WWWW[[#This Row],[Site Name]],SiteDB6[[Site Name]:[CCCM Management]],6,FALSE)</f>
        <v>Yes</v>
      </c>
      <c r="CU78" s="934" t="str">
        <f>VLOOKUP(WWWW[[#This Row],[Site Name]],SiteDB6[[Site Name]:[CCCM Focal Agency]],7,FALSE)</f>
        <v>DRC</v>
      </c>
      <c r="CV78" s="934" t="str">
        <f>VLOOKUP(WWWW[[#This Row],[Site Name]],SiteDB6[[Site Name]:[Location Type 1]],9,FALSE)</f>
        <v>Camp</v>
      </c>
      <c r="CW78" s="934" t="str">
        <f>VLOOKUP(WWWW[[#This Row],[Site Name]],SiteDB6[[Site Name]:[Type of Accommodation]],10,FALSE)</f>
        <v>Planned Camp</v>
      </c>
      <c r="CX78" s="934" t="str">
        <f>VLOOKUP(WWWW[[#This Row],[Site Name]],SiteDB6[[Site Name]:[Ethnic or GCA/NGCA]],11,FALSE)</f>
        <v>Muslim</v>
      </c>
      <c r="CY78" s="934">
        <f>VLOOKUP(WWWW[[#This Row],[Site Name]],SiteDB6[[Site Name]:[Lat]],12,FALSE)</f>
        <v>20.090183</v>
      </c>
      <c r="CZ78" s="934">
        <f>VLOOKUP(WWWW[[#This Row],[Site Name]],SiteDB6[[Site Name]:[Long]],13,FALSE)</f>
        <v>93.010368999999997</v>
      </c>
      <c r="DA78" s="934" t="str">
        <f>VLOOKUP(WWWW[[#This Row],[Site Name]],SiteDB6[[Site Name]:[Pcode]],3,FALSE)</f>
        <v>MMR012CMP018</v>
      </c>
      <c r="DB78" s="942" t="str">
        <f t="shared" si="4"/>
        <v>Covered</v>
      </c>
      <c r="DC78" s="477"/>
      <c r="DD78" s="477"/>
      <c r="DE78" s="477">
        <f>WWWW[[#This Row],['# of Male_People with disabilities]]+WWWW[[#This Row],['# of Female_People with disabilities]]</f>
        <v>0</v>
      </c>
      <c r="DF78" s="934"/>
      <c r="DG78" s="942"/>
      <c r="DH78" s="942"/>
      <c r="DI78" s="942"/>
      <c r="DJ78" s="942">
        <f>VLOOKUP(WWWW[[#This Row],[Site Name]],SiteDB6[[Site Name]:[Pop
(CCCM as of Autust 2021)]],16,FALSE)</f>
        <v>1387</v>
      </c>
      <c r="DK78" s="942">
        <f>VLOOKUP(WWWW[[#This Row],[Site Name]],SiteDB6[[Site Name]:[Pop
(CCCM as of Autust 2021)]],17,FALSE)</f>
        <v>6674</v>
      </c>
    </row>
    <row r="79" spans="1:115">
      <c r="A79" s="932" t="s">
        <v>3146</v>
      </c>
      <c r="B79" s="932" t="s">
        <v>2620</v>
      </c>
      <c r="C79" s="933" t="s">
        <v>2269</v>
      </c>
      <c r="D79" s="933" t="s">
        <v>3184</v>
      </c>
      <c r="E79" s="845" t="s">
        <v>293</v>
      </c>
      <c r="F79" s="933" t="s">
        <v>294</v>
      </c>
      <c r="G79" s="898" t="s">
        <v>43</v>
      </c>
      <c r="H79" s="933" t="s">
        <v>430</v>
      </c>
      <c r="I79" s="935">
        <v>656</v>
      </c>
      <c r="J79" s="935">
        <v>3486</v>
      </c>
      <c r="K79" s="684">
        <f>WWWW[[#This Row],[Total PoP ]]/WWWW[[#This Row],[Total HH]]</f>
        <v>5.3140243902439028</v>
      </c>
      <c r="L79" s="907">
        <v>44652</v>
      </c>
      <c r="M79" s="908">
        <v>44834</v>
      </c>
      <c r="N79" s="500">
        <v>537</v>
      </c>
      <c r="O79" s="500">
        <v>34</v>
      </c>
      <c r="P79" s="500">
        <v>36</v>
      </c>
      <c r="Q79" s="500"/>
      <c r="R79" s="500"/>
      <c r="S79" s="500"/>
      <c r="T79" s="500"/>
      <c r="U79" s="500">
        <v>2</v>
      </c>
      <c r="V79" s="450">
        <v>0.5</v>
      </c>
      <c r="W79" s="500"/>
      <c r="X79" s="450"/>
      <c r="Y79" s="500"/>
      <c r="Z79" s="500"/>
      <c r="AA79" s="500"/>
      <c r="AB79" s="909"/>
      <c r="AC79" s="500">
        <v>162</v>
      </c>
      <c r="AD79" s="500">
        <v>205</v>
      </c>
      <c r="AE79" s="500"/>
      <c r="AF79" s="500"/>
      <c r="AG79" s="450">
        <v>1</v>
      </c>
      <c r="AH79" s="450">
        <v>0.94</v>
      </c>
      <c r="AI79" s="450">
        <v>0.18</v>
      </c>
      <c r="AJ79" s="500">
        <v>4</v>
      </c>
      <c r="AK79" s="500">
        <v>42</v>
      </c>
      <c r="AL79" s="500">
        <v>3</v>
      </c>
      <c r="AM79" s="500"/>
      <c r="AN79" s="500" t="s">
        <v>41</v>
      </c>
      <c r="AO79" s="538"/>
      <c r="AP79" s="500">
        <v>564</v>
      </c>
      <c r="AQ79" s="500">
        <v>1107</v>
      </c>
      <c r="AR79" s="500">
        <v>629</v>
      </c>
      <c r="AS79" s="500">
        <v>665</v>
      </c>
      <c r="AT79" s="500">
        <v>656</v>
      </c>
      <c r="AU79" s="500">
        <v>1648</v>
      </c>
      <c r="AV79" s="450">
        <v>1</v>
      </c>
      <c r="AW79" s="450">
        <v>1</v>
      </c>
      <c r="AX79" s="451"/>
      <c r="AY79" s="910"/>
      <c r="AZ79" s="450">
        <v>0.94</v>
      </c>
      <c r="BA79" s="450">
        <v>1</v>
      </c>
      <c r="BB79" s="450">
        <v>1</v>
      </c>
      <c r="BC79" s="450">
        <v>1</v>
      </c>
      <c r="BD79" s="450"/>
      <c r="BE79" s="500">
        <v>174</v>
      </c>
      <c r="BF79" s="500"/>
      <c r="BG79" s="500"/>
      <c r="BH79" s="500"/>
      <c r="BI79" s="500"/>
      <c r="BJ79" s="500"/>
      <c r="BK79" s="500"/>
      <c r="BL79" s="937" t="str">
        <f>IF(WWWW[[#This Row],['#_Water samples_Tested_at_water_source]]="","no test","Tested")</f>
        <v>Tested</v>
      </c>
      <c r="BM79" s="937" t="str">
        <f>IF(WWWW[[#This Row],['#_Water samples_Tested_at_HH]]="","no test","Tested")</f>
        <v>no test</v>
      </c>
      <c r="BN79" s="938" t="str">
        <f>IF(AND(WWWW[[#This Row],[Water_testing_at source]]="no test",WWWW[[#This Row],[Water_testing_at HH]]="no test"),"No Test","Tested")</f>
        <v>Tested</v>
      </c>
      <c r="BO79"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9" s="939">
        <f>WWWW[[#This Row],[% HRP1]]*WWWW[[#This Row],[Total PoP ]]</f>
        <v>3486</v>
      </c>
      <c r="BQ79" s="940">
        <f>WWWW[[#This Row],[HRP1]]/500</f>
        <v>6.9720000000000004</v>
      </c>
      <c r="BR79" s="941">
        <f>1-WWWW[[#This Row],[% HRP1]]</f>
        <v>0</v>
      </c>
      <c r="BS79" s="940">
        <f>WWWW[[#This Row],[%equitable and continuous access to sufficient quantity of safe drinking and domestic water''s GAP]]*WWWW[[#This Row],[Total PoP ]]</f>
        <v>0</v>
      </c>
      <c r="BT79" s="451">
        <f>ROUND(IF(WWWW[[#This Row],[Total PoP ]]&lt;500,1,WWWW[[#This Row],[Total PoP ]]/500),0)</f>
        <v>7</v>
      </c>
      <c r="BU79" s="938">
        <f>IF(WWWW[[#This Row],[Total required water points]]-WWWW[[#This Row],['#Water points coverage]]&lt;0,0,WWWW[[#This Row],[Total required water points]]-WWWW[[#This Row],['#Water points coverage]])</f>
        <v>2.7999999999999581E-2</v>
      </c>
      <c r="BV79" s="452">
        <f>WWWW[[#This Row],[HRP2]]/WWWW[[#This Row],[Total PoP ]]</f>
        <v>0.9644291451520367</v>
      </c>
      <c r="BW79"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3362</v>
      </c>
      <c r="BX79" s="455">
        <f>IF(WWWW[[#This Row],['#_Functional_adult_latrines]]="","",WWWW[[#This Row],[Total PoP ]]/WWWW[[#This Row],['#_Functional_adult_latrines]])</f>
        <v>21.518518518518519</v>
      </c>
      <c r="BY79" s="938">
        <f>WWWW[[#This Row],['#_of_latrines_in_TLS/CFS]]*50</f>
        <v>150</v>
      </c>
      <c r="BZ79" s="451">
        <f>IF(WWWW[[#This Row],['#_of_latrines_in_THF]]="",0,WWWW[[#This Row],['#_of_latrines_in_THF]]*50)</f>
        <v>0</v>
      </c>
      <c r="CA79" s="938">
        <f>ROUND(IF(WWWW[[#This Row],[Location Type 1]]="camp",WWWW[[#This Row],[Total PoP ]]/20),0)</f>
        <v>174</v>
      </c>
      <c r="CB79" s="938">
        <f>IF(WWWW[[#This Row],[Total required Latrines]]-WWWW[[#This Row],['#_Existing_latrines]]&lt;0,0,WWWW[[#This Row],[Total required Latrines]]-WWWW[[#This Row],['#_Existing_latrines]])</f>
        <v>0</v>
      </c>
      <c r="CC79" s="941">
        <f>1-WWWW[[#This Row],[% HRP2]]</f>
        <v>3.5570854847963296E-2</v>
      </c>
      <c r="CD79" s="937">
        <f>IF(WWWW[[#This Row],['#_Existing_latrines]]="","NA",(WWWW[[#This Row],['#_Existing_latrines]]-WWWW[[#This Row],['#_Functional_adult_latrines]])/WWWW[[#This Row],['#_Existing_latrines]])</f>
        <v>0.2097560975609756</v>
      </c>
      <c r="CE79"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2965</v>
      </c>
      <c r="CF79" s="940">
        <f>SUM(WWWW[[#This Row],[_'#_of_Men_receiving_consultation_hygiene_promotion_messages_and_sessions]:[_'#_of_Girls_receiving_consultation_hygiene_promotion_messages_and_sessions]])-WWWW[[#This Row],['# people reached by regular dedicated hygiene promotion_5]]</f>
        <v>0</v>
      </c>
      <c r="CG79"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H79" s="938">
        <f>IF(WWWW[[#This Row],['#_of_affected_women_and_girls_receiving_a_sufficient_quantity_of_sanitary_pads]]&gt;WWWW[[#This Row],[Total PoP ]],WWWW[[#This Row],[Total PoP ]],WWWW[[#This Row],['#_of_affected_women_and_girls_receiving_a_sufficient_quantity_of_sanitary_pads]])</f>
        <v>1648</v>
      </c>
      <c r="CI79" s="938">
        <f>IF(WWWW[[#This Row],['# People with access to soap]]&gt;WWWW[[#This Row],['# People with access to Sanity Pads]],WWWW[[#This Row],['# People with access to soap]],WWWW[[#This Row],['# People with access to Sanity Pads]])</f>
        <v>3486</v>
      </c>
      <c r="CJ79" s="938">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K79" s="941">
        <f>IF(WWWW[[#This Row],[HRP3]]/WWWW[[#This Row],[Total PoP ]]&gt;100%,100%,WWWW[[#This Row],[HRP3]]/WWWW[[#This Row],[Total PoP ]])</f>
        <v>1</v>
      </c>
      <c r="CL79" s="937">
        <f>1-WWWW[[#This Row],[Hygiene Coverage%]]</f>
        <v>0</v>
      </c>
      <c r="CM79" s="936">
        <f>WWWW[[#This Row],['# people reached by regular dedicated hygiene promotion_5]]/WWWW[[#This Row],[Total PoP ]]</f>
        <v>0.85054503729202524</v>
      </c>
      <c r="CN79" s="937">
        <f>IF(WWWW[[#This Row],['#_of_affected_households_receiving_a_sufficient_quantity_of_soap]]/WWWW[[#This Row],[Total HH]]&gt;1,1,WWWW[[#This Row],['#_of_affected_households_receiving_a_sufficient_quantity_of_soap]]/WWWW[[#This Row],[Total HH]])</f>
        <v>1</v>
      </c>
      <c r="CO79" s="455" t="str">
        <f>IF(WWWW[[#This Row],['#_students at TLS_CFS]]="","No","Yes")</f>
        <v>Yes</v>
      </c>
      <c r="CP79" s="452">
        <f>WWWW[[#This Row],[%_of_affected_people_surveyed_who_report_feeling_informed_about_the_different_WASH_services_available_to_them]]</f>
        <v>1</v>
      </c>
      <c r="CQ7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174</v>
      </c>
      <c r="CR79" s="500">
        <f>IF(WWWW[[#This Row],['#_PPL_accessed_water_in_TLS]]&gt;WWWW[[#This Row],['# students access to functioning school latrines_HRP5]],WWWW[[#This Row],['#_PPL_accessed_water_in_TLS]],WWWW[[#This Row],['# students access to functioning school latrines_HRP5]])</f>
        <v>150</v>
      </c>
      <c r="CS79" s="500">
        <f>IF(WWWW[[#This Row],['#_PPL_accessed_water_in_THF]]&gt;WWWW[[#This Row],['# people access to functioning latrines in THF_HRP6]],WWWW[[#This Row],['#_PPL_accessed_water_in_THF]],WWWW[[#This Row],['# people access to functioning latrines in THF_HRP6]])</f>
        <v>0</v>
      </c>
      <c r="CT79" s="934" t="str">
        <f>VLOOKUP(WWWW[[#This Row],[Site Name]],SiteDB6[[Site Name]:[CCCM Management]],6,FALSE)</f>
        <v>Yes</v>
      </c>
      <c r="CU79" s="934">
        <f>VLOOKUP(WWWW[[#This Row],[Site Name]],SiteDB6[[Site Name]:[CCCM Focal Agency]],7,FALSE)</f>
        <v>0</v>
      </c>
      <c r="CV79" s="934" t="str">
        <f>VLOOKUP(WWWW[[#This Row],[Site Name]],SiteDB6[[Site Name]:[Location Type 1]],9,FALSE)</f>
        <v>Camp</v>
      </c>
      <c r="CW79" s="934" t="str">
        <f>VLOOKUP(WWWW[[#This Row],[Site Name]],SiteDB6[[Site Name]:[Type of Accommodation]],10,FALSE)</f>
        <v>Planned Camp</v>
      </c>
      <c r="CX79" s="934" t="str">
        <f>VLOOKUP(WWWW[[#This Row],[Site Name]],SiteDB6[[Site Name]:[Ethnic or GCA/NGCA]],11,FALSE)</f>
        <v>Muslim</v>
      </c>
      <c r="CY79" s="934">
        <f>VLOOKUP(WWWW[[#This Row],[Site Name]],SiteDB6[[Site Name]:[Lat]],12,FALSE)</f>
        <v>20.185917</v>
      </c>
      <c r="CZ79" s="934">
        <f>VLOOKUP(WWWW[[#This Row],[Site Name]],SiteDB6[[Site Name]:[Long]],13,FALSE)</f>
        <v>92.831000000000003</v>
      </c>
      <c r="DA79" s="934" t="str">
        <f>VLOOKUP(WWWW[[#This Row],[Site Name]],SiteDB6[[Site Name]:[Pcode]],3,FALSE)</f>
        <v>MMR012CMP092</v>
      </c>
      <c r="DB79" s="942" t="str">
        <f t="shared" si="4"/>
        <v>Covered</v>
      </c>
      <c r="DC79" s="477"/>
      <c r="DD79" s="477"/>
      <c r="DE79" s="477">
        <f>WWWW[[#This Row],['# of Male_People with disabilities]]+WWWW[[#This Row],['# of Female_People with disabilities]]</f>
        <v>0</v>
      </c>
      <c r="DF79" s="934"/>
      <c r="DG79" s="942"/>
      <c r="DH79" s="942"/>
      <c r="DI79" s="942"/>
      <c r="DJ79" s="942">
        <f>VLOOKUP(WWWW[[#This Row],[Site Name]],SiteDB6[[Site Name]:[Pop
(CCCM as of Autust 2021)]],16,FALSE)</f>
        <v>657</v>
      </c>
      <c r="DK79" s="942">
        <f>VLOOKUP(WWWW[[#This Row],[Site Name]],SiteDB6[[Site Name]:[Pop
(CCCM as of Autust 2021)]],17,FALSE)</f>
        <v>3906</v>
      </c>
    </row>
    <row r="80" spans="1:115">
      <c r="A80" s="932" t="s">
        <v>3146</v>
      </c>
      <c r="B80" s="932" t="s">
        <v>265</v>
      </c>
      <c r="C80" s="933" t="s">
        <v>265</v>
      </c>
      <c r="D80" s="933" t="s">
        <v>2983</v>
      </c>
      <c r="E80" s="845" t="s">
        <v>293</v>
      </c>
      <c r="F80" s="933" t="s">
        <v>401</v>
      </c>
      <c r="G80" s="898" t="s">
        <v>43</v>
      </c>
      <c r="H80" s="933" t="s">
        <v>405</v>
      </c>
      <c r="I80" s="935">
        <v>1076</v>
      </c>
      <c r="J80" s="935">
        <v>5024</v>
      </c>
      <c r="K80" s="684">
        <f>WWWW[[#This Row],[Total PoP ]]/WWWW[[#This Row],[Total HH]]</f>
        <v>4.6691449814126393</v>
      </c>
      <c r="L80" s="943" t="s">
        <v>3218</v>
      </c>
      <c r="M80" s="944" t="s">
        <v>3219</v>
      </c>
      <c r="N80" s="500">
        <v>0</v>
      </c>
      <c r="O80" s="500"/>
      <c r="P80" s="500"/>
      <c r="Q80" s="500">
        <v>3</v>
      </c>
      <c r="R80" s="500">
        <v>3</v>
      </c>
      <c r="S80" s="500"/>
      <c r="T80" s="500">
        <v>5024</v>
      </c>
      <c r="U80" s="500">
        <v>0</v>
      </c>
      <c r="V80" s="500">
        <v>0</v>
      </c>
      <c r="W80" s="500">
        <v>3</v>
      </c>
      <c r="X80" s="450">
        <v>0.67</v>
      </c>
      <c r="Y80" s="500">
        <v>0</v>
      </c>
      <c r="Z80" s="500"/>
      <c r="AA80" s="500"/>
      <c r="AB80" s="909"/>
      <c r="AC80" s="500">
        <v>154</v>
      </c>
      <c r="AD80" s="500">
        <v>158</v>
      </c>
      <c r="AE80" s="500">
        <v>20</v>
      </c>
      <c r="AF80" s="500">
        <v>154</v>
      </c>
      <c r="AG80" s="450">
        <v>1</v>
      </c>
      <c r="AH80" s="450">
        <v>1</v>
      </c>
      <c r="AI80" s="450"/>
      <c r="AJ80" s="500">
        <v>26</v>
      </c>
      <c r="AK80" s="500">
        <v>127</v>
      </c>
      <c r="AL80" s="500"/>
      <c r="AM80" s="500"/>
      <c r="AN80" s="500" t="s">
        <v>41</v>
      </c>
      <c r="AO80" s="538" t="s">
        <v>3220</v>
      </c>
      <c r="AP80" s="500">
        <v>974</v>
      </c>
      <c r="AQ80" s="500">
        <v>1090</v>
      </c>
      <c r="AR80" s="500">
        <v>901</v>
      </c>
      <c r="AS80" s="500">
        <v>792</v>
      </c>
      <c r="AT80" s="500"/>
      <c r="AU80" s="500"/>
      <c r="AV80" s="450">
        <v>0.36</v>
      </c>
      <c r="AW80" s="450"/>
      <c r="AX80" s="451"/>
      <c r="AY80" s="910" t="s">
        <v>3226</v>
      </c>
      <c r="AZ80" s="450">
        <v>0.95</v>
      </c>
      <c r="BA80" s="450">
        <v>0.97</v>
      </c>
      <c r="BB80" s="450">
        <v>1</v>
      </c>
      <c r="BC80" s="450">
        <v>0.97</v>
      </c>
      <c r="BD80" s="450"/>
      <c r="BE80" s="500">
        <v>100</v>
      </c>
      <c r="BF80" s="500"/>
      <c r="BG80" s="500"/>
      <c r="BH80" s="500"/>
      <c r="BI80" s="500"/>
      <c r="BJ80" s="500"/>
      <c r="BK80" s="500"/>
      <c r="BL80" s="937" t="str">
        <f>IF(WWWW[[#This Row],['#_Water samples_Tested_at_water_source]]="","no test","Tested")</f>
        <v>Tested</v>
      </c>
      <c r="BM80" s="937" t="str">
        <f>IF(WWWW[[#This Row],['#_Water samples_Tested_at_HH]]="","no test","Tested")</f>
        <v>Tested</v>
      </c>
      <c r="BN80" s="938" t="str">
        <f>IF(AND(WWWW[[#This Row],[Water_testing_at source]]="no test",WWWW[[#This Row],[Water_testing_at HH]]="no test"),"No Test","Tested")</f>
        <v>Tested</v>
      </c>
      <c r="BO80"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0" s="939">
        <f>WWWW[[#This Row],[% HRP1]]*WWWW[[#This Row],[Total PoP ]]</f>
        <v>5024</v>
      </c>
      <c r="BQ80" s="940">
        <f>WWWW[[#This Row],[HRP1]]/500</f>
        <v>10.048</v>
      </c>
      <c r="BR80" s="941">
        <f>1-WWWW[[#This Row],[% HRP1]]</f>
        <v>0</v>
      </c>
      <c r="BS80" s="940">
        <f>WWWW[[#This Row],[%equitable and continuous access to sufficient quantity of safe drinking and domestic water''s GAP]]*WWWW[[#This Row],[Total PoP ]]</f>
        <v>0</v>
      </c>
      <c r="BT80" s="451">
        <f>ROUND(IF(WWWW[[#This Row],[Total PoP ]]&lt;500,1,WWWW[[#This Row],[Total PoP ]]/500),0)</f>
        <v>10</v>
      </c>
      <c r="BU80" s="938">
        <f>IF(WWWW[[#This Row],[Total required water points]]-WWWW[[#This Row],['#Water points coverage]]&lt;0,0,WWWW[[#This Row],[Total required water points]]-WWWW[[#This Row],['#Water points coverage]])</f>
        <v>0</v>
      </c>
      <c r="BV80" s="452">
        <f>WWWW[[#This Row],[HRP2]]/WWWW[[#This Row],[Total PoP ]]</f>
        <v>0.74183917197452232</v>
      </c>
      <c r="BW80"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3727</v>
      </c>
      <c r="BX80" s="455">
        <f>IF(WWWW[[#This Row],['#_Functional_adult_latrines]]="","",WWWW[[#This Row],[Total PoP ]]/WWWW[[#This Row],['#_Functional_adult_latrines]])</f>
        <v>32.623376623376622</v>
      </c>
      <c r="BY80" s="938">
        <f>WWWW[[#This Row],['#_of_latrines_in_TLS/CFS]]*50</f>
        <v>0</v>
      </c>
      <c r="BZ80" s="451">
        <f>IF(WWWW[[#This Row],['#_of_latrines_in_THF]]="",0,WWWW[[#This Row],['#_of_latrines_in_THF]]*50)</f>
        <v>0</v>
      </c>
      <c r="CA80" s="938">
        <f>ROUND(IF(WWWW[[#This Row],[Location Type 1]]="camp",WWWW[[#This Row],[Total PoP ]]/20),0)</f>
        <v>251</v>
      </c>
      <c r="CB80" s="938">
        <f>IF(WWWW[[#This Row],[Total required Latrines]]-WWWW[[#This Row],['#_Existing_latrines]]&lt;0,0,WWWW[[#This Row],[Total required Latrines]]-WWWW[[#This Row],['#_Existing_latrines]])</f>
        <v>93</v>
      </c>
      <c r="CC80" s="941">
        <f>1-WWWW[[#This Row],[% HRP2]]</f>
        <v>0.25816082802547768</v>
      </c>
      <c r="CD80" s="937">
        <f>IF(WWWW[[#This Row],['#_Existing_latrines]]="","NA",(WWWW[[#This Row],['#_Existing_latrines]]-WWWW[[#This Row],['#_Functional_adult_latrines]])/WWWW[[#This Row],['#_Existing_latrines]])</f>
        <v>2.5316455696202531E-2</v>
      </c>
      <c r="CE80"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F80" s="940">
        <f>SUM(WWWW[[#This Row],[_'#_of_Men_receiving_consultation_hygiene_promotion_messages_and_sessions]:[_'#_of_Girls_receiving_consultation_hygiene_promotion_messages_and_sessions]])-WWWW[[#This Row],['# people reached by regular dedicated hygiene promotion_5]]</f>
        <v>0</v>
      </c>
      <c r="CG80"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0" s="938">
        <f>IF(WWWW[[#This Row],['#_of_affected_women_and_girls_receiving_a_sufficient_quantity_of_sanitary_pads]]&gt;WWWW[[#This Row],[Total PoP ]],WWWW[[#This Row],[Total PoP ]],WWWW[[#This Row],['#_of_affected_women_and_girls_receiving_a_sufficient_quantity_of_sanitary_pads]])</f>
        <v>0</v>
      </c>
      <c r="CI80" s="938">
        <f>IF(WWWW[[#This Row],['# People with access to soap]]&gt;WWWW[[#This Row],['# People with access to Sanity Pads]],WWWW[[#This Row],['# People with access to soap]],WWWW[[#This Row],['# People with access to Sanity Pads]])</f>
        <v>0</v>
      </c>
      <c r="CJ80" s="938">
        <f>IF(WWWW[[#This Row],['# people reached by regular dedicated hygiene promotion_5]]&gt;WWWW[[#This Row],['# People received regular supply of hygiene items_6]],WWWW[[#This Row],['# people reached by regular dedicated hygiene promotion_5]],WWWW[[#This Row],['# People received regular supply of hygiene items_6]])</f>
        <v>3757</v>
      </c>
      <c r="CK80" s="941">
        <f>IF(WWWW[[#This Row],[HRP3]]/WWWW[[#This Row],[Total PoP ]]&gt;100%,100%,WWWW[[#This Row],[HRP3]]/WWWW[[#This Row],[Total PoP ]])</f>
        <v>0.74781050955414008</v>
      </c>
      <c r="CL80" s="937">
        <f>1-WWWW[[#This Row],[Hygiene Coverage%]]</f>
        <v>0.25218949044585992</v>
      </c>
      <c r="CM80" s="936">
        <f>WWWW[[#This Row],['# people reached by regular dedicated hygiene promotion_5]]/WWWW[[#This Row],[Total PoP ]]</f>
        <v>0.74781050955414008</v>
      </c>
      <c r="CN80" s="937">
        <f>IF(WWWW[[#This Row],['#_of_affected_households_receiving_a_sufficient_quantity_of_soap]]/WWWW[[#This Row],[Total HH]]&gt;1,1,WWWW[[#This Row],['#_of_affected_households_receiving_a_sufficient_quantity_of_soap]]/WWWW[[#This Row],[Total HH]])</f>
        <v>0</v>
      </c>
      <c r="CO80" s="455" t="str">
        <f>IF(WWWW[[#This Row],['#_students at TLS_CFS]]="","No","Yes")</f>
        <v>Yes</v>
      </c>
      <c r="CP80" s="452">
        <f>WWWW[[#This Row],[%_of_affected_people_surveyed_who_report_feeling_informed_about_the_different_WASH_services_available_to_them]]</f>
        <v>1</v>
      </c>
      <c r="CQ8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100</v>
      </c>
      <c r="CR80" s="500">
        <f>IF(WWWW[[#This Row],['#_PPL_accessed_water_in_TLS]]&gt;WWWW[[#This Row],['# students access to functioning school latrines_HRP5]],WWWW[[#This Row],['#_PPL_accessed_water_in_TLS]],WWWW[[#This Row],['# students access to functioning school latrines_HRP5]])</f>
        <v>0</v>
      </c>
      <c r="CS80" s="500">
        <f>IF(WWWW[[#This Row],['#_PPL_accessed_water_in_THF]]&gt;WWWW[[#This Row],['# people access to functioning latrines in THF_HRP6]],WWWW[[#This Row],['#_PPL_accessed_water_in_THF]],WWWW[[#This Row],['# people access to functioning latrines in THF_HRP6]])</f>
        <v>0</v>
      </c>
      <c r="CT80" s="934" t="str">
        <f>VLOOKUP(WWWW[[#This Row],[Site Name]],SiteDB6[[Site Name]:[CCCM Management]],6,FALSE)</f>
        <v>Yes</v>
      </c>
      <c r="CU80" s="934" t="str">
        <f>VLOOKUP(WWWW[[#This Row],[Site Name]],SiteDB6[[Site Name]:[CCCM Focal Agency]],7,FALSE)</f>
        <v>LWF</v>
      </c>
      <c r="CV80" s="934" t="str">
        <f>VLOOKUP(WWWW[[#This Row],[Site Name]],SiteDB6[[Site Name]:[Location Type 1]],9,FALSE)</f>
        <v>Camp</v>
      </c>
      <c r="CW80" s="934" t="str">
        <f>VLOOKUP(WWWW[[#This Row],[Site Name]],SiteDB6[[Site Name]:[Type of Accommodation]],10,FALSE)</f>
        <v>Individual House</v>
      </c>
      <c r="CX80" s="934" t="str">
        <f>VLOOKUP(WWWW[[#This Row],[Site Name]],SiteDB6[[Site Name]:[Ethnic or GCA/NGCA]],11,FALSE)</f>
        <v>Muslim</v>
      </c>
      <c r="CY80" s="934">
        <f>VLOOKUP(WWWW[[#This Row],[Site Name]],SiteDB6[[Site Name]:[Lat]],12,FALSE)</f>
        <v>20.073437999999999</v>
      </c>
      <c r="CZ80" s="934">
        <f>VLOOKUP(WWWW[[#This Row],[Site Name]],SiteDB6[[Site Name]:[Long]],13,FALSE)</f>
        <v>93.154551999999995</v>
      </c>
      <c r="DA80" s="934" t="str">
        <f>VLOOKUP(WWWW[[#This Row],[Site Name]],SiteDB6[[Site Name]:[Pcode]],3,FALSE)</f>
        <v>MMR012CMP017</v>
      </c>
      <c r="DB80" s="942" t="str">
        <f t="shared" si="4"/>
        <v>Covered</v>
      </c>
      <c r="DC80" s="477"/>
      <c r="DD80" s="477"/>
      <c r="DE80" s="477">
        <f>WWWW[[#This Row],['# of Male_People with disabilities]]+WWWW[[#This Row],['# of Female_People with disabilities]]</f>
        <v>0</v>
      </c>
      <c r="DF80" s="934"/>
      <c r="DG80" s="942"/>
      <c r="DH80" s="942"/>
      <c r="DI80" s="942"/>
      <c r="DJ80" s="942">
        <f>VLOOKUP(WWWW[[#This Row],[Site Name]],SiteDB6[[Site Name]:[Pop
(CCCM as of Autust 2021)]],16,FALSE)</f>
        <v>1059</v>
      </c>
      <c r="DK80" s="942">
        <f>VLOOKUP(WWWW[[#This Row],[Site Name]],SiteDB6[[Site Name]:[Pop
(CCCM as of Autust 2021)]],17,FALSE)</f>
        <v>5004</v>
      </c>
    </row>
    <row r="81" spans="1:115">
      <c r="A81" s="932" t="s">
        <v>3146</v>
      </c>
      <c r="B81" s="932" t="s">
        <v>265</v>
      </c>
      <c r="C81" s="933" t="s">
        <v>265</v>
      </c>
      <c r="D81" s="933" t="s">
        <v>2983</v>
      </c>
      <c r="E81" s="845" t="s">
        <v>293</v>
      </c>
      <c r="F81" s="933" t="s">
        <v>401</v>
      </c>
      <c r="G81" s="898" t="s">
        <v>43</v>
      </c>
      <c r="H81" s="933" t="s">
        <v>406</v>
      </c>
      <c r="I81" s="935">
        <v>1064</v>
      </c>
      <c r="J81" s="935">
        <v>5137</v>
      </c>
      <c r="K81" s="684">
        <f>WWWW[[#This Row],[Total PoP ]]/WWWW[[#This Row],[Total HH]]</f>
        <v>4.8280075187969924</v>
      </c>
      <c r="L81" s="943" t="s">
        <v>3218</v>
      </c>
      <c r="M81" s="944" t="s">
        <v>3219</v>
      </c>
      <c r="N81" s="500">
        <v>0</v>
      </c>
      <c r="O81" s="500"/>
      <c r="P81" s="500"/>
      <c r="Q81" s="500">
        <v>3</v>
      </c>
      <c r="R81" s="500">
        <v>3</v>
      </c>
      <c r="S81" s="500"/>
      <c r="T81" s="500">
        <v>5137</v>
      </c>
      <c r="U81" s="500">
        <v>0</v>
      </c>
      <c r="V81" s="500">
        <v>0</v>
      </c>
      <c r="W81" s="500">
        <v>3</v>
      </c>
      <c r="X81" s="450">
        <v>0</v>
      </c>
      <c r="Y81" s="500">
        <v>0</v>
      </c>
      <c r="Z81" s="500"/>
      <c r="AA81" s="500"/>
      <c r="AB81" s="909"/>
      <c r="AC81" s="500">
        <v>196</v>
      </c>
      <c r="AD81" s="500">
        <v>197</v>
      </c>
      <c r="AE81" s="500">
        <v>25</v>
      </c>
      <c r="AF81" s="500">
        <v>196</v>
      </c>
      <c r="AG81" s="450">
        <v>0.98</v>
      </c>
      <c r="AH81" s="450">
        <v>0.96</v>
      </c>
      <c r="AI81" s="450"/>
      <c r="AJ81" s="500">
        <v>36</v>
      </c>
      <c r="AK81" s="500">
        <v>91</v>
      </c>
      <c r="AL81" s="500"/>
      <c r="AM81" s="500"/>
      <c r="AN81" s="500" t="s">
        <v>41</v>
      </c>
      <c r="AO81" s="538" t="s">
        <v>3220</v>
      </c>
      <c r="AP81" s="500">
        <v>1051</v>
      </c>
      <c r="AQ81" s="500">
        <v>1120</v>
      </c>
      <c r="AR81" s="500">
        <v>932</v>
      </c>
      <c r="AS81" s="500">
        <v>769</v>
      </c>
      <c r="AT81" s="500"/>
      <c r="AU81" s="500"/>
      <c r="AV81" s="450">
        <v>0.59</v>
      </c>
      <c r="AW81" s="450">
        <v>0.84</v>
      </c>
      <c r="AX81" s="451"/>
      <c r="AY81" s="910" t="s">
        <v>3227</v>
      </c>
      <c r="AZ81" s="450">
        <v>0.93</v>
      </c>
      <c r="BA81" s="450">
        <v>0.97</v>
      </c>
      <c r="BB81" s="450">
        <v>0.86</v>
      </c>
      <c r="BC81" s="450">
        <v>0.8</v>
      </c>
      <c r="BD81" s="450"/>
      <c r="BE81" s="500">
        <v>75</v>
      </c>
      <c r="BF81" s="500"/>
      <c r="BG81" s="500"/>
      <c r="BH81" s="500"/>
      <c r="BI81" s="500"/>
      <c r="BJ81" s="500"/>
      <c r="BK81" s="500"/>
      <c r="BL81" s="937" t="str">
        <f>IF(WWWW[[#This Row],['#_Water samples_Tested_at_water_source]]="","no test","Tested")</f>
        <v>Tested</v>
      </c>
      <c r="BM81" s="937" t="str">
        <f>IF(WWWW[[#This Row],['#_Water samples_Tested_at_HH]]="","no test","Tested")</f>
        <v>Tested</v>
      </c>
      <c r="BN81" s="938" t="str">
        <f>IF(AND(WWWW[[#This Row],[Water_testing_at source]]="no test",WWWW[[#This Row],[Water_testing_at HH]]="no test"),"No Test","Tested")</f>
        <v>Tested</v>
      </c>
      <c r="BO81"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1" s="939">
        <f>WWWW[[#This Row],[% HRP1]]*WWWW[[#This Row],[Total PoP ]]</f>
        <v>5137</v>
      </c>
      <c r="BQ81" s="940">
        <f>WWWW[[#This Row],[HRP1]]/500</f>
        <v>10.273999999999999</v>
      </c>
      <c r="BR81" s="941">
        <f>1-WWWW[[#This Row],[% HRP1]]</f>
        <v>0</v>
      </c>
      <c r="BS81" s="940">
        <f>WWWW[[#This Row],[%equitable and continuous access to sufficient quantity of safe drinking and domestic water''s GAP]]*WWWW[[#This Row],[Total PoP ]]</f>
        <v>0</v>
      </c>
      <c r="BT81" s="451">
        <f>ROUND(IF(WWWW[[#This Row],[Total PoP ]]&lt;500,1,WWWW[[#This Row],[Total PoP ]]/500),0)</f>
        <v>10</v>
      </c>
      <c r="BU81" s="938">
        <f>IF(WWWW[[#This Row],[Total required water points]]-WWWW[[#This Row],['#Water points coverage]]&lt;0,0,WWWW[[#This Row],[Total required water points]]-WWWW[[#This Row],['#Water points coverage]])</f>
        <v>0</v>
      </c>
      <c r="BV81" s="452">
        <f>WWWW[[#This Row],[HRP2]]/WWWW[[#This Row],[Total PoP ]]</f>
        <v>0.92096554409188247</v>
      </c>
      <c r="BW81"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4731</v>
      </c>
      <c r="BX81" s="455">
        <f>IF(WWWW[[#This Row],['#_Functional_adult_latrines]]="","",WWWW[[#This Row],[Total PoP ]]/WWWW[[#This Row],['#_Functional_adult_latrines]])</f>
        <v>26.209183673469386</v>
      </c>
      <c r="BY81" s="938">
        <f>WWWW[[#This Row],['#_of_latrines_in_TLS/CFS]]*50</f>
        <v>0</v>
      </c>
      <c r="BZ81" s="451">
        <f>IF(WWWW[[#This Row],['#_of_latrines_in_THF]]="",0,WWWW[[#This Row],['#_of_latrines_in_THF]]*50)</f>
        <v>0</v>
      </c>
      <c r="CA81" s="938">
        <f>ROUND(IF(WWWW[[#This Row],[Location Type 1]]="camp",WWWW[[#This Row],[Total PoP ]]/20),0)</f>
        <v>257</v>
      </c>
      <c r="CB81" s="938">
        <f>IF(WWWW[[#This Row],[Total required Latrines]]-WWWW[[#This Row],['#_Existing_latrines]]&lt;0,0,WWWW[[#This Row],[Total required Latrines]]-WWWW[[#This Row],['#_Existing_latrines]])</f>
        <v>60</v>
      </c>
      <c r="CC81" s="941">
        <f>1-WWWW[[#This Row],[% HRP2]]</f>
        <v>7.9034455908117529E-2</v>
      </c>
      <c r="CD81" s="937">
        <f>IF(WWWW[[#This Row],['#_Existing_latrines]]="","NA",(WWWW[[#This Row],['#_Existing_latrines]]-WWWW[[#This Row],['#_Functional_adult_latrines]])/WWWW[[#This Row],['#_Existing_latrines]])</f>
        <v>5.076142131979695E-3</v>
      </c>
      <c r="CE81"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F81" s="940">
        <f>SUM(WWWW[[#This Row],[_'#_of_Men_receiving_consultation_hygiene_promotion_messages_and_sessions]:[_'#_of_Girls_receiving_consultation_hygiene_promotion_messages_and_sessions]])-WWWW[[#This Row],['# people reached by regular dedicated hygiene promotion_5]]</f>
        <v>0</v>
      </c>
      <c r="CG81"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1" s="938">
        <f>IF(WWWW[[#This Row],['#_of_affected_women_and_girls_receiving_a_sufficient_quantity_of_sanitary_pads]]&gt;WWWW[[#This Row],[Total PoP ]],WWWW[[#This Row],[Total PoP ]],WWWW[[#This Row],['#_of_affected_women_and_girls_receiving_a_sufficient_quantity_of_sanitary_pads]])</f>
        <v>0</v>
      </c>
      <c r="CI81" s="938">
        <f>IF(WWWW[[#This Row],['# People with access to soap]]&gt;WWWW[[#This Row],['# People with access to Sanity Pads]],WWWW[[#This Row],['# People with access to soap]],WWWW[[#This Row],['# People with access to Sanity Pads]])</f>
        <v>0</v>
      </c>
      <c r="CJ81" s="938">
        <f>IF(WWWW[[#This Row],['# people reached by regular dedicated hygiene promotion_5]]&gt;WWWW[[#This Row],['# People received regular supply of hygiene items_6]],WWWW[[#This Row],['# people reached by regular dedicated hygiene promotion_5]],WWWW[[#This Row],['# People received regular supply of hygiene items_6]])</f>
        <v>3872</v>
      </c>
      <c r="CK81" s="941">
        <f>IF(WWWW[[#This Row],[HRP3]]/WWWW[[#This Row],[Total PoP ]]&gt;100%,100%,WWWW[[#This Row],[HRP3]]/WWWW[[#This Row],[Total PoP ]])</f>
        <v>0.75374732334047112</v>
      </c>
      <c r="CL81" s="937">
        <f>1-WWWW[[#This Row],[Hygiene Coverage%]]</f>
        <v>0.24625267665952888</v>
      </c>
      <c r="CM81" s="936">
        <f>WWWW[[#This Row],['# people reached by regular dedicated hygiene promotion_5]]/WWWW[[#This Row],[Total PoP ]]</f>
        <v>0.75374732334047112</v>
      </c>
      <c r="CN81" s="937">
        <f>IF(WWWW[[#This Row],['#_of_affected_households_receiving_a_sufficient_quantity_of_soap]]/WWWW[[#This Row],[Total HH]]&gt;1,1,WWWW[[#This Row],['#_of_affected_households_receiving_a_sufficient_quantity_of_soap]]/WWWW[[#This Row],[Total HH]])</f>
        <v>0</v>
      </c>
      <c r="CO81" s="455" t="str">
        <f>IF(WWWW[[#This Row],['#_students at TLS_CFS]]="","No","Yes")</f>
        <v>Yes</v>
      </c>
      <c r="CP81" s="452">
        <f>WWWW[[#This Row],[%_of_affected_people_surveyed_who_report_feeling_informed_about_the_different_WASH_services_available_to_them]]</f>
        <v>0.86</v>
      </c>
      <c r="CQ8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75</v>
      </c>
      <c r="CR81" s="500">
        <f>IF(WWWW[[#This Row],['#_PPL_accessed_water_in_TLS]]&gt;WWWW[[#This Row],['# students access to functioning school latrines_HRP5]],WWWW[[#This Row],['#_PPL_accessed_water_in_TLS]],WWWW[[#This Row],['# students access to functioning school latrines_HRP5]])</f>
        <v>0</v>
      </c>
      <c r="CS81" s="500">
        <f>IF(WWWW[[#This Row],['#_PPL_accessed_water_in_THF]]&gt;WWWW[[#This Row],['# people access to functioning latrines in THF_HRP6]],WWWW[[#This Row],['#_PPL_accessed_water_in_THF]],WWWW[[#This Row],['# people access to functioning latrines in THF_HRP6]])</f>
        <v>0</v>
      </c>
      <c r="CT81" s="934" t="str">
        <f>VLOOKUP(WWWW[[#This Row],[Site Name]],SiteDB6[[Site Name]:[CCCM Management]],6,FALSE)</f>
        <v>Yes</v>
      </c>
      <c r="CU81" s="934" t="str">
        <f>VLOOKUP(WWWW[[#This Row],[Site Name]],SiteDB6[[Site Name]:[CCCM Focal Agency]],7,FALSE)</f>
        <v>LWF</v>
      </c>
      <c r="CV81" s="934" t="str">
        <f>VLOOKUP(WWWW[[#This Row],[Site Name]],SiteDB6[[Site Name]:[Location Type 1]],9,FALSE)</f>
        <v>Camp</v>
      </c>
      <c r="CW81" s="934" t="str">
        <f>VLOOKUP(WWWW[[#This Row],[Site Name]],SiteDB6[[Site Name]:[Type of Accommodation]],10,FALSE)</f>
        <v>Planned Camp</v>
      </c>
      <c r="CX81" s="934" t="str">
        <f>VLOOKUP(WWWW[[#This Row],[Site Name]],SiteDB6[[Site Name]:[Ethnic or GCA/NGCA]],11,FALSE)</f>
        <v>Muslim</v>
      </c>
      <c r="CY81" s="934">
        <f>VLOOKUP(WWWW[[#This Row],[Site Name]],SiteDB6[[Site Name]:[Lat]],12,FALSE)</f>
        <v>20.073437999999999</v>
      </c>
      <c r="CZ81" s="934">
        <f>VLOOKUP(WWWW[[#This Row],[Site Name]],SiteDB6[[Site Name]:[Long]],13,FALSE)</f>
        <v>93.154551999999995</v>
      </c>
      <c r="DA81" s="934" t="str">
        <f>VLOOKUP(WWWW[[#This Row],[Site Name]],SiteDB6[[Site Name]:[Pcode]],3,FALSE)</f>
        <v>MMR012CMP017</v>
      </c>
      <c r="DB81" s="942" t="str">
        <f t="shared" si="4"/>
        <v>Covered</v>
      </c>
      <c r="DC81" s="477"/>
      <c r="DD81" s="477"/>
      <c r="DE81" s="477">
        <f>WWWW[[#This Row],['# of Male_People with disabilities]]+WWWW[[#This Row],['# of Female_People with disabilities]]</f>
        <v>0</v>
      </c>
      <c r="DF81" s="934"/>
      <c r="DG81" s="942"/>
      <c r="DH81" s="942"/>
      <c r="DI81" s="942"/>
      <c r="DJ81" s="942">
        <f>VLOOKUP(WWWW[[#This Row],[Site Name]],SiteDB6[[Site Name]:[Pop
(CCCM as of Autust 2021)]],16,FALSE)</f>
        <v>982</v>
      </c>
      <c r="DK81" s="942">
        <f>VLOOKUP(WWWW[[#This Row],[Site Name]],SiteDB6[[Site Name]:[Pop
(CCCM as of Autust 2021)]],17,FALSE)</f>
        <v>4828</v>
      </c>
    </row>
    <row r="82" spans="1:115">
      <c r="A82" s="932" t="s">
        <v>3146</v>
      </c>
      <c r="B82" s="932" t="s">
        <v>2269</v>
      </c>
      <c r="C82" s="933" t="s">
        <v>2269</v>
      </c>
      <c r="D82" s="933" t="s">
        <v>3184</v>
      </c>
      <c r="E82" s="845" t="s">
        <v>293</v>
      </c>
      <c r="F82" s="933" t="s">
        <v>294</v>
      </c>
      <c r="G82" s="898" t="s">
        <v>43</v>
      </c>
      <c r="H82" s="933" t="s">
        <v>440</v>
      </c>
      <c r="I82" s="935">
        <v>774</v>
      </c>
      <c r="J82" s="935">
        <v>3095</v>
      </c>
      <c r="K82" s="684">
        <f>WWWW[[#This Row],[Total PoP ]]/WWWW[[#This Row],[Total HH]]</f>
        <v>3.9987080103359172</v>
      </c>
      <c r="L82" s="907">
        <v>44652</v>
      </c>
      <c r="M82" s="908">
        <v>44834</v>
      </c>
      <c r="N82" s="500">
        <v>719</v>
      </c>
      <c r="O82" s="500">
        <v>64</v>
      </c>
      <c r="P82" s="500">
        <v>76</v>
      </c>
      <c r="Q82" s="500"/>
      <c r="R82" s="500"/>
      <c r="S82" s="500"/>
      <c r="T82" s="500"/>
      <c r="U82" s="500">
        <v>17</v>
      </c>
      <c r="V82" s="450">
        <v>0.41</v>
      </c>
      <c r="W82" s="500">
        <v>5</v>
      </c>
      <c r="X82" s="450">
        <v>0.2</v>
      </c>
      <c r="Y82" s="500"/>
      <c r="Z82" s="500"/>
      <c r="AA82" s="500"/>
      <c r="AB82" s="909"/>
      <c r="AC82" s="500">
        <v>160</v>
      </c>
      <c r="AD82" s="500">
        <v>187</v>
      </c>
      <c r="AE82" s="500"/>
      <c r="AF82" s="500"/>
      <c r="AG82" s="450">
        <v>1</v>
      </c>
      <c r="AH82" s="450">
        <v>1</v>
      </c>
      <c r="AI82" s="450">
        <v>0.1</v>
      </c>
      <c r="AJ82" s="500"/>
      <c r="AK82" s="500">
        <v>19</v>
      </c>
      <c r="AL82" s="500">
        <v>2</v>
      </c>
      <c r="AM82" s="500"/>
      <c r="AN82" s="500" t="s">
        <v>41</v>
      </c>
      <c r="AO82" s="538"/>
      <c r="AP82" s="500">
        <v>2147</v>
      </c>
      <c r="AQ82" s="500">
        <v>2423</v>
      </c>
      <c r="AR82" s="500">
        <v>1510</v>
      </c>
      <c r="AS82" s="500">
        <v>1488</v>
      </c>
      <c r="AT82" s="500">
        <v>774</v>
      </c>
      <c r="AU82" s="500">
        <v>2250</v>
      </c>
      <c r="AV82" s="450">
        <v>1</v>
      </c>
      <c r="AW82" s="450">
        <v>1</v>
      </c>
      <c r="AX82" s="451"/>
      <c r="AY82" s="910"/>
      <c r="AZ82" s="450">
        <v>1</v>
      </c>
      <c r="BA82" s="450">
        <v>1</v>
      </c>
      <c r="BB82" s="450">
        <v>1</v>
      </c>
      <c r="BC82" s="450">
        <v>1</v>
      </c>
      <c r="BD82" s="450"/>
      <c r="BE82" s="500">
        <v>91</v>
      </c>
      <c r="BF82" s="500"/>
      <c r="BG82" s="500"/>
      <c r="BH82" s="500"/>
      <c r="BI82" s="500"/>
      <c r="BJ82" s="500"/>
      <c r="BK82" s="500"/>
      <c r="BL82" s="937" t="str">
        <f>IF(WWWW[[#This Row],['#_Water samples_Tested_at_water_source]]="","no test","Tested")</f>
        <v>Tested</v>
      </c>
      <c r="BM82" s="937" t="str">
        <f>IF(WWWW[[#This Row],['#_Water samples_Tested_at_HH]]="","no test","Tested")</f>
        <v>Tested</v>
      </c>
      <c r="BN82" s="938" t="str">
        <f>IF(AND(WWWW[[#This Row],[Water_testing_at source]]="no test",WWWW[[#This Row],[Water_testing_at HH]]="no test"),"No Test","Tested")</f>
        <v>Tested</v>
      </c>
      <c r="BO82"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2" s="939">
        <f>WWWW[[#This Row],[% HRP1]]*WWWW[[#This Row],[Total PoP ]]</f>
        <v>3095</v>
      </c>
      <c r="BQ82" s="940">
        <f>WWWW[[#This Row],[HRP1]]/500</f>
        <v>6.19</v>
      </c>
      <c r="BR82" s="941">
        <f>1-WWWW[[#This Row],[% HRP1]]</f>
        <v>0</v>
      </c>
      <c r="BS82" s="940">
        <f>WWWW[[#This Row],[%equitable and continuous access to sufficient quantity of safe drinking and domestic water''s GAP]]*WWWW[[#This Row],[Total PoP ]]</f>
        <v>0</v>
      </c>
      <c r="BT82" s="451">
        <f>ROUND(IF(WWWW[[#This Row],[Total PoP ]]&lt;500,1,WWWW[[#This Row],[Total PoP ]]/500),0)</f>
        <v>6</v>
      </c>
      <c r="BU82" s="938">
        <f>IF(WWWW[[#This Row],[Total required water points]]-WWWW[[#This Row],['#Water points coverage]]&lt;0,0,WWWW[[#This Row],[Total required water points]]-WWWW[[#This Row],['#Water points coverage]])</f>
        <v>0</v>
      </c>
      <c r="BV82" s="452">
        <f>WWWW[[#This Row],[HRP2]]/WWWW[[#This Row],[Total PoP ]]</f>
        <v>1</v>
      </c>
      <c r="BW82"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82" s="455">
        <f>IF(WWWW[[#This Row],['#_Functional_adult_latrines]]="","",WWWW[[#This Row],[Total PoP ]]/WWWW[[#This Row],['#_Functional_adult_latrines]])</f>
        <v>19.34375</v>
      </c>
      <c r="BY82" s="938">
        <f>WWWW[[#This Row],['#_of_latrines_in_TLS/CFS]]*50</f>
        <v>100</v>
      </c>
      <c r="BZ82" s="451">
        <f>IF(WWWW[[#This Row],['#_of_latrines_in_THF]]="",0,WWWW[[#This Row],['#_of_latrines_in_THF]]*50)</f>
        <v>0</v>
      </c>
      <c r="CA82" s="938">
        <f>ROUND(IF(WWWW[[#This Row],[Location Type 1]]="camp",WWWW[[#This Row],[Total PoP ]]/20),0)</f>
        <v>155</v>
      </c>
      <c r="CB82" s="938">
        <f>IF(WWWW[[#This Row],[Total required Latrines]]-WWWW[[#This Row],['#_Existing_latrines]]&lt;0,0,WWWW[[#This Row],[Total required Latrines]]-WWWW[[#This Row],['#_Existing_latrines]])</f>
        <v>0</v>
      </c>
      <c r="CC82" s="941">
        <f>1-WWWW[[#This Row],[% HRP2]]</f>
        <v>0</v>
      </c>
      <c r="CD82" s="937">
        <f>IF(WWWW[[#This Row],['#_Existing_latrines]]="","NA",(WWWW[[#This Row],['#_Existing_latrines]]-WWWW[[#This Row],['#_Functional_adult_latrines]])/WWWW[[#This Row],['#_Existing_latrines]])</f>
        <v>0.14438502673796791</v>
      </c>
      <c r="CE82"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3095</v>
      </c>
      <c r="CF82" s="940">
        <f>SUM(WWWW[[#This Row],[_'#_of_Men_receiving_consultation_hygiene_promotion_messages_and_sessions]:[_'#_of_Girls_receiving_consultation_hygiene_promotion_messages_and_sessions]])-WWWW[[#This Row],['# people reached by regular dedicated hygiene promotion_5]]</f>
        <v>4473</v>
      </c>
      <c r="CG82"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H82" s="938">
        <f>IF(WWWW[[#This Row],['#_of_affected_women_and_girls_receiving_a_sufficient_quantity_of_sanitary_pads]]&gt;WWWW[[#This Row],[Total PoP ]],WWWW[[#This Row],[Total PoP ]],WWWW[[#This Row],['#_of_affected_women_and_girls_receiving_a_sufficient_quantity_of_sanitary_pads]])</f>
        <v>2250</v>
      </c>
      <c r="CI82" s="938">
        <f>IF(WWWW[[#This Row],['# People with access to soap]]&gt;WWWW[[#This Row],['# People with access to Sanity Pads]],WWWW[[#This Row],['# People with access to soap]],WWWW[[#This Row],['# People with access to Sanity Pads]])</f>
        <v>3095</v>
      </c>
      <c r="CJ82" s="938">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K82" s="941">
        <f>IF(WWWW[[#This Row],[HRP3]]/WWWW[[#This Row],[Total PoP ]]&gt;100%,100%,WWWW[[#This Row],[HRP3]]/WWWW[[#This Row],[Total PoP ]])</f>
        <v>1</v>
      </c>
      <c r="CL82" s="937">
        <f>1-WWWW[[#This Row],[Hygiene Coverage%]]</f>
        <v>0</v>
      </c>
      <c r="CM82" s="936">
        <f>WWWW[[#This Row],['# people reached by regular dedicated hygiene promotion_5]]/WWWW[[#This Row],[Total PoP ]]</f>
        <v>1</v>
      </c>
      <c r="CN82" s="937">
        <f>IF(WWWW[[#This Row],['#_of_affected_households_receiving_a_sufficient_quantity_of_soap]]/WWWW[[#This Row],[Total HH]]&gt;1,1,WWWW[[#This Row],['#_of_affected_households_receiving_a_sufficient_quantity_of_soap]]/WWWW[[#This Row],[Total HH]])</f>
        <v>1</v>
      </c>
      <c r="CO82" s="455" t="str">
        <f>IF(WWWW[[#This Row],['#_students at TLS_CFS]]="","No","Yes")</f>
        <v>Yes</v>
      </c>
      <c r="CP82" s="452">
        <f>WWWW[[#This Row],[%_of_affected_people_surveyed_who_report_feeling_informed_about_the_different_WASH_services_available_to_them]]</f>
        <v>1</v>
      </c>
      <c r="CQ8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91</v>
      </c>
      <c r="CR82" s="500">
        <f>IF(WWWW[[#This Row],['#_PPL_accessed_water_in_TLS]]&gt;WWWW[[#This Row],['# students access to functioning school latrines_HRP5]],WWWW[[#This Row],['#_PPL_accessed_water_in_TLS]],WWWW[[#This Row],['# students access to functioning school latrines_HRP5]])</f>
        <v>100</v>
      </c>
      <c r="CS82" s="500">
        <f>IF(WWWW[[#This Row],['#_PPL_accessed_water_in_THF]]&gt;WWWW[[#This Row],['# people access to functioning latrines in THF_HRP6]],WWWW[[#This Row],['#_PPL_accessed_water_in_THF]],WWWW[[#This Row],['# people access to functioning latrines in THF_HRP6]])</f>
        <v>0</v>
      </c>
      <c r="CT82" s="934" t="str">
        <f>VLOOKUP(WWWW[[#This Row],[Site Name]],SiteDB6[[Site Name]:[CCCM Management]],6,FALSE)</f>
        <v>Yes</v>
      </c>
      <c r="CU82" s="934">
        <f>VLOOKUP(WWWW[[#This Row],[Site Name]],SiteDB6[[Site Name]:[CCCM Focal Agency]],7,FALSE)</f>
        <v>0</v>
      </c>
      <c r="CV82" s="934" t="str">
        <f>VLOOKUP(WWWW[[#This Row],[Site Name]],SiteDB6[[Site Name]:[Location Type 1]],9,FALSE)</f>
        <v>Camp</v>
      </c>
      <c r="CW82" s="934" t="str">
        <f>VLOOKUP(WWWW[[#This Row],[Site Name]],SiteDB6[[Site Name]:[Type of Accommodation]],10,FALSE)</f>
        <v>Planned Camp</v>
      </c>
      <c r="CX82" s="934" t="str">
        <f>VLOOKUP(WWWW[[#This Row],[Site Name]],SiteDB6[[Site Name]:[Ethnic or GCA/NGCA]],11,FALSE)</f>
        <v>Muslim</v>
      </c>
      <c r="CY82" s="934">
        <f>VLOOKUP(WWWW[[#This Row],[Site Name]],SiteDB6[[Site Name]:[Lat]],12,FALSE)</f>
        <v>20.206778</v>
      </c>
      <c r="CZ82" s="934">
        <f>VLOOKUP(WWWW[[#This Row],[Site Name]],SiteDB6[[Site Name]:[Long]],13,FALSE)</f>
        <v>92.774193999999994</v>
      </c>
      <c r="DA82" s="934" t="str">
        <f>VLOOKUP(WWWW[[#This Row],[Site Name]],SiteDB6[[Site Name]:[Pcode]],3,FALSE)</f>
        <v>MMR012CMP098</v>
      </c>
      <c r="DB82" s="942" t="str">
        <f t="shared" si="4"/>
        <v>Covered</v>
      </c>
      <c r="DC82" s="477"/>
      <c r="DD82" s="477"/>
      <c r="DE82" s="477">
        <f>WWWW[[#This Row],['# of Male_People with disabilities]]+WWWW[[#This Row],['# of Female_People with disabilities]]</f>
        <v>0</v>
      </c>
      <c r="DF82" s="934"/>
      <c r="DG82" s="942"/>
      <c r="DH82" s="942"/>
      <c r="DI82" s="942"/>
      <c r="DJ82" s="942">
        <f>VLOOKUP(WWWW[[#This Row],[Site Name]],SiteDB6[[Site Name]:[Pop
(CCCM as of Autust 2021)]],16,FALSE)</f>
        <v>777</v>
      </c>
      <c r="DK82" s="942">
        <f>VLOOKUP(WWWW[[#This Row],[Site Name]],SiteDB6[[Site Name]:[Pop
(CCCM as of Autust 2021)]],17,FALSE)</f>
        <v>4735</v>
      </c>
    </row>
    <row r="83" spans="1:115">
      <c r="A83" s="932" t="s">
        <v>3146</v>
      </c>
      <c r="B83" s="932" t="s">
        <v>2269</v>
      </c>
      <c r="C83" s="933" t="s">
        <v>2269</v>
      </c>
      <c r="D83" s="933" t="s">
        <v>3184</v>
      </c>
      <c r="E83" s="845" t="s">
        <v>293</v>
      </c>
      <c r="F83" s="933" t="s">
        <v>294</v>
      </c>
      <c r="G83" s="898" t="s">
        <v>43</v>
      </c>
      <c r="H83" s="933" t="s">
        <v>431</v>
      </c>
      <c r="I83" s="935">
        <v>2728</v>
      </c>
      <c r="J83" s="935">
        <v>13302</v>
      </c>
      <c r="K83" s="684">
        <f>WWWW[[#This Row],[Total PoP ]]/WWWW[[#This Row],[Total HH]]</f>
        <v>4.8760997067448679</v>
      </c>
      <c r="L83" s="907">
        <v>44652</v>
      </c>
      <c r="M83" s="908">
        <v>44834</v>
      </c>
      <c r="N83" s="500">
        <v>2058</v>
      </c>
      <c r="O83" s="500">
        <v>215</v>
      </c>
      <c r="P83" s="500">
        <v>226</v>
      </c>
      <c r="Q83" s="500"/>
      <c r="R83" s="500"/>
      <c r="S83" s="500"/>
      <c r="T83" s="500"/>
      <c r="U83" s="500">
        <v>170</v>
      </c>
      <c r="V83" s="450">
        <v>0.76</v>
      </c>
      <c r="W83" s="500">
        <v>83</v>
      </c>
      <c r="X83" s="450">
        <v>0.16</v>
      </c>
      <c r="Y83" s="500"/>
      <c r="Z83" s="500"/>
      <c r="AA83" s="500"/>
      <c r="AB83" s="909"/>
      <c r="AC83" s="500">
        <v>467</v>
      </c>
      <c r="AD83" s="500">
        <v>688</v>
      </c>
      <c r="AE83" s="500"/>
      <c r="AF83" s="500"/>
      <c r="AG83" s="450">
        <v>0.99</v>
      </c>
      <c r="AH83" s="450">
        <v>1</v>
      </c>
      <c r="AI83" s="450">
        <v>0.09</v>
      </c>
      <c r="AJ83" s="500">
        <v>4</v>
      </c>
      <c r="AK83" s="500">
        <v>120</v>
      </c>
      <c r="AL83" s="500">
        <v>21</v>
      </c>
      <c r="AM83" s="500"/>
      <c r="AN83" s="500" t="s">
        <v>41</v>
      </c>
      <c r="AO83" s="538"/>
      <c r="AP83" s="500">
        <v>679</v>
      </c>
      <c r="AQ83" s="500">
        <v>2028</v>
      </c>
      <c r="AR83" s="500">
        <v>2022</v>
      </c>
      <c r="AS83" s="500">
        <v>1900</v>
      </c>
      <c r="AT83" s="500">
        <v>2728</v>
      </c>
      <c r="AU83" s="500">
        <v>7161</v>
      </c>
      <c r="AV83" s="450">
        <v>0.96</v>
      </c>
      <c r="AW83" s="450">
        <v>1</v>
      </c>
      <c r="AX83" s="451">
        <v>13</v>
      </c>
      <c r="AY83" s="910"/>
      <c r="AZ83" s="450">
        <v>1</v>
      </c>
      <c r="BA83" s="450">
        <v>1</v>
      </c>
      <c r="BB83" s="450">
        <v>1</v>
      </c>
      <c r="BC83" s="450">
        <v>1</v>
      </c>
      <c r="BD83" s="450"/>
      <c r="BE83" s="500">
        <v>168</v>
      </c>
      <c r="BF83" s="500"/>
      <c r="BG83" s="500"/>
      <c r="BH83" s="500"/>
      <c r="BI83" s="500"/>
      <c r="BJ83" s="500"/>
      <c r="BK83" s="500"/>
      <c r="BL83" s="937" t="str">
        <f>IF(WWWW[[#This Row],['#_Water samples_Tested_at_water_source]]="","no test","Tested")</f>
        <v>Tested</v>
      </c>
      <c r="BM83" s="937" t="str">
        <f>IF(WWWW[[#This Row],['#_Water samples_Tested_at_HH]]="","no test","Tested")</f>
        <v>Tested</v>
      </c>
      <c r="BN83" s="938" t="str">
        <f>IF(AND(WWWW[[#This Row],[Water_testing_at source]]="no test",WWWW[[#This Row],[Water_testing_at HH]]="no test"),"No Test","Tested")</f>
        <v>Tested</v>
      </c>
      <c r="BO83"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3" s="939">
        <f>WWWW[[#This Row],[% HRP1]]*WWWW[[#This Row],[Total PoP ]]</f>
        <v>13302</v>
      </c>
      <c r="BQ83" s="940">
        <f>WWWW[[#This Row],[HRP1]]/500</f>
        <v>26.603999999999999</v>
      </c>
      <c r="BR83" s="941">
        <f>1-WWWW[[#This Row],[% HRP1]]</f>
        <v>0</v>
      </c>
      <c r="BS83" s="940">
        <f>WWWW[[#This Row],[%equitable and continuous access to sufficient quantity of safe drinking and domestic water''s GAP]]*WWWW[[#This Row],[Total PoP ]]</f>
        <v>0</v>
      </c>
      <c r="BT83" s="451">
        <f>ROUND(IF(WWWW[[#This Row],[Total PoP ]]&lt;500,1,WWWW[[#This Row],[Total PoP ]]/500),0)</f>
        <v>27</v>
      </c>
      <c r="BU83" s="938">
        <f>IF(WWWW[[#This Row],[Total required water points]]-WWWW[[#This Row],['#Water points coverage]]&lt;0,0,WWWW[[#This Row],[Total required water points]]-WWWW[[#This Row],['#Water points coverage]])</f>
        <v>0.3960000000000008</v>
      </c>
      <c r="BV83" s="452">
        <f>WWWW[[#This Row],[HRP2]]/WWWW[[#This Row],[Total PoP ]]</f>
        <v>0.71718538565629231</v>
      </c>
      <c r="BW83"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9540</v>
      </c>
      <c r="BX83" s="455">
        <f>IF(WWWW[[#This Row],['#_Functional_adult_latrines]]="","",WWWW[[#This Row],[Total PoP ]]/WWWW[[#This Row],['#_Functional_adult_latrines]])</f>
        <v>28.483940042826553</v>
      </c>
      <c r="BY83" s="938">
        <f>WWWW[[#This Row],['#_of_latrines_in_TLS/CFS]]*50</f>
        <v>1050</v>
      </c>
      <c r="BZ83" s="451">
        <f>IF(WWWW[[#This Row],['#_of_latrines_in_THF]]="",0,WWWW[[#This Row],['#_of_latrines_in_THF]]*50)</f>
        <v>0</v>
      </c>
      <c r="CA83" s="938">
        <f>ROUND(IF(WWWW[[#This Row],[Location Type 1]]="camp",WWWW[[#This Row],[Total PoP ]]/20),0)</f>
        <v>665</v>
      </c>
      <c r="CB83" s="938">
        <f>IF(WWWW[[#This Row],[Total required Latrines]]-WWWW[[#This Row],['#_Existing_latrines]]&lt;0,0,WWWW[[#This Row],[Total required Latrines]]-WWWW[[#This Row],['#_Existing_latrines]])</f>
        <v>0</v>
      </c>
      <c r="CC83" s="941">
        <f>1-WWWW[[#This Row],[% HRP2]]</f>
        <v>0.28281461434370769</v>
      </c>
      <c r="CD83" s="937">
        <f>IF(WWWW[[#This Row],['#_Existing_latrines]]="","NA",(WWWW[[#This Row],['#_Existing_latrines]]-WWWW[[#This Row],['#_Functional_adult_latrines]])/WWWW[[#This Row],['#_Existing_latrines]])</f>
        <v>0.32122093023255816</v>
      </c>
      <c r="CE83"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6629</v>
      </c>
      <c r="CF83" s="940">
        <f>SUM(WWWW[[#This Row],[_'#_of_Men_receiving_consultation_hygiene_promotion_messages_and_sessions]:[_'#_of_Girls_receiving_consultation_hygiene_promotion_messages_and_sessions]])-WWWW[[#This Row],['# people reached by regular dedicated hygiene promotion_5]]</f>
        <v>0</v>
      </c>
      <c r="CG83"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H83" s="938">
        <f>IF(WWWW[[#This Row],['#_of_affected_women_and_girls_receiving_a_sufficient_quantity_of_sanitary_pads]]&gt;WWWW[[#This Row],[Total PoP ]],WWWW[[#This Row],[Total PoP ]],WWWW[[#This Row],['#_of_affected_women_and_girls_receiving_a_sufficient_quantity_of_sanitary_pads]])</f>
        <v>7161</v>
      </c>
      <c r="CI83" s="938">
        <f>IF(WWWW[[#This Row],['# People with access to soap]]&gt;WWWW[[#This Row],['# People with access to Sanity Pads]],WWWW[[#This Row],['# People with access to soap]],WWWW[[#This Row],['# People with access to Sanity Pads]])</f>
        <v>13302</v>
      </c>
      <c r="CJ83" s="938">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K83" s="941">
        <f>IF(WWWW[[#This Row],[HRP3]]/WWWW[[#This Row],[Total PoP ]]&gt;100%,100%,WWWW[[#This Row],[HRP3]]/WWWW[[#This Row],[Total PoP ]])</f>
        <v>1</v>
      </c>
      <c r="CL83" s="937">
        <f>1-WWWW[[#This Row],[Hygiene Coverage%]]</f>
        <v>0</v>
      </c>
      <c r="CM83" s="936">
        <f>WWWW[[#This Row],['# people reached by regular dedicated hygiene promotion_5]]/WWWW[[#This Row],[Total PoP ]]</f>
        <v>0.49834611336641105</v>
      </c>
      <c r="CN83" s="937">
        <f>IF(WWWW[[#This Row],['#_of_affected_households_receiving_a_sufficient_quantity_of_soap]]/WWWW[[#This Row],[Total HH]]&gt;1,1,WWWW[[#This Row],['#_of_affected_households_receiving_a_sufficient_quantity_of_soap]]/WWWW[[#This Row],[Total HH]])</f>
        <v>1</v>
      </c>
      <c r="CO83" s="455" t="str">
        <f>IF(WWWW[[#This Row],['#_students at TLS_CFS]]="","No","Yes")</f>
        <v>Yes</v>
      </c>
      <c r="CP83" s="452">
        <f>WWWW[[#This Row],[%_of_affected_people_surveyed_who_report_feeling_informed_about_the_different_WASH_services_available_to_them]]</f>
        <v>1</v>
      </c>
      <c r="CQ8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168</v>
      </c>
      <c r="CR83" s="500">
        <f>IF(WWWW[[#This Row],['#_PPL_accessed_water_in_TLS]]&gt;WWWW[[#This Row],['# students access to functioning school latrines_HRP5]],WWWW[[#This Row],['#_PPL_accessed_water_in_TLS]],WWWW[[#This Row],['# students access to functioning school latrines_HRP5]])</f>
        <v>1050</v>
      </c>
      <c r="CS83" s="500">
        <f>IF(WWWW[[#This Row],['#_PPL_accessed_water_in_THF]]&gt;WWWW[[#This Row],['# people access to functioning latrines in THF_HRP6]],WWWW[[#This Row],['#_PPL_accessed_water_in_THF]],WWWW[[#This Row],['# people access to functioning latrines in THF_HRP6]])</f>
        <v>0</v>
      </c>
      <c r="CT83" s="934" t="str">
        <f>VLOOKUP(WWWW[[#This Row],[Site Name]],SiteDB6[[Site Name]:[CCCM Management]],6,FALSE)</f>
        <v>Yes</v>
      </c>
      <c r="CU83" s="934">
        <f>VLOOKUP(WWWW[[#This Row],[Site Name]],SiteDB6[[Site Name]:[CCCM Focal Agency]],7,FALSE)</f>
        <v>0</v>
      </c>
      <c r="CV83" s="934" t="str">
        <f>VLOOKUP(WWWW[[#This Row],[Site Name]],SiteDB6[[Site Name]:[Location Type 1]],9,FALSE)</f>
        <v>Camp</v>
      </c>
      <c r="CW83" s="934" t="str">
        <f>VLOOKUP(WWWW[[#This Row],[Site Name]],SiteDB6[[Site Name]:[Type of Accommodation]],10,FALSE)</f>
        <v>Planned Camp</v>
      </c>
      <c r="CX83" s="934" t="str">
        <f>VLOOKUP(WWWW[[#This Row],[Site Name]],SiteDB6[[Site Name]:[Ethnic or GCA/NGCA]],11,FALSE)</f>
        <v>Muslim</v>
      </c>
      <c r="CY83" s="934">
        <f>VLOOKUP(WWWW[[#This Row],[Site Name]],SiteDB6[[Site Name]:[Lat]],12,FALSE)</f>
        <v>20.18994</v>
      </c>
      <c r="CZ83" s="934">
        <f>VLOOKUP(WWWW[[#This Row],[Site Name]],SiteDB6[[Site Name]:[Long]],13,FALSE)</f>
        <v>92.798880999999994</v>
      </c>
      <c r="DA83" s="934" t="str">
        <f>VLOOKUP(WWWW[[#This Row],[Site Name]],SiteDB6[[Site Name]:[Pcode]],3,FALSE)</f>
        <v>MMR012CMP115</v>
      </c>
      <c r="DB83" s="942" t="str">
        <f t="shared" si="4"/>
        <v>Covered</v>
      </c>
      <c r="DC83" s="477"/>
      <c r="DD83" s="477"/>
      <c r="DE83" s="477">
        <f>WWWW[[#This Row],['# of Male_People with disabilities]]+WWWW[[#This Row],['# of Female_People with disabilities]]</f>
        <v>0</v>
      </c>
      <c r="DF83" s="934"/>
      <c r="DG83" s="942"/>
      <c r="DH83" s="942"/>
      <c r="DI83" s="942"/>
      <c r="DJ83" s="942">
        <f>VLOOKUP(WWWW[[#This Row],[Site Name]],SiteDB6[[Site Name]:[Pop
(CCCM as of Autust 2021)]],16,FALSE)</f>
        <v>2640</v>
      </c>
      <c r="DK83" s="942">
        <f>VLOOKUP(WWWW[[#This Row],[Site Name]],SiteDB6[[Site Name]:[Pop
(CCCM as of Autust 2021)]],17,FALSE)</f>
        <v>15778</v>
      </c>
    </row>
    <row r="84" spans="1:115">
      <c r="A84" s="932" t="s">
        <v>3146</v>
      </c>
      <c r="B84" s="932" t="s">
        <v>286</v>
      </c>
      <c r="C84" s="933" t="s">
        <v>286</v>
      </c>
      <c r="D84" s="933" t="s">
        <v>233</v>
      </c>
      <c r="E84" s="845" t="s">
        <v>293</v>
      </c>
      <c r="F84" s="933" t="s">
        <v>294</v>
      </c>
      <c r="G84" s="898" t="s">
        <v>43</v>
      </c>
      <c r="H84" s="933" t="s">
        <v>429</v>
      </c>
      <c r="I84" s="935">
        <v>2275</v>
      </c>
      <c r="J84" s="935">
        <v>12495</v>
      </c>
      <c r="K84" s="684">
        <f>WWWW[[#This Row],[Total PoP ]]/WWWW[[#This Row],[Total HH]]</f>
        <v>5.4923076923076923</v>
      </c>
      <c r="L84" s="907">
        <v>44713</v>
      </c>
      <c r="M84" s="908">
        <v>45077</v>
      </c>
      <c r="N84" s="500"/>
      <c r="O84" s="500">
        <v>195</v>
      </c>
      <c r="P84" s="500">
        <v>211</v>
      </c>
      <c r="Q84" s="500"/>
      <c r="R84" s="500"/>
      <c r="S84" s="500"/>
      <c r="T84" s="500"/>
      <c r="U84" s="500"/>
      <c r="V84" s="450"/>
      <c r="W84" s="500">
        <v>493</v>
      </c>
      <c r="X84" s="450">
        <v>0.68</v>
      </c>
      <c r="Y84" s="500"/>
      <c r="Z84" s="500"/>
      <c r="AA84" s="500"/>
      <c r="AB84" s="909"/>
      <c r="AC84" s="500">
        <v>797</v>
      </c>
      <c r="AD84" s="500">
        <v>808</v>
      </c>
      <c r="AE84" s="500">
        <v>369</v>
      </c>
      <c r="AF84" s="500">
        <v>845</v>
      </c>
      <c r="AG84" s="450"/>
      <c r="AH84" s="450"/>
      <c r="AI84" s="450"/>
      <c r="AJ84" s="500"/>
      <c r="AK84" s="500"/>
      <c r="AL84" s="500"/>
      <c r="AM84" s="500"/>
      <c r="AN84" s="500" t="s">
        <v>41</v>
      </c>
      <c r="AO84" s="538"/>
      <c r="AP84" s="500">
        <v>2546</v>
      </c>
      <c r="AQ84" s="500">
        <v>3118</v>
      </c>
      <c r="AR84" s="500">
        <v>3557</v>
      </c>
      <c r="AS84" s="500">
        <v>3274</v>
      </c>
      <c r="AT84" s="500"/>
      <c r="AU84" s="500">
        <v>3118</v>
      </c>
      <c r="AV84" s="450"/>
      <c r="AW84" s="450"/>
      <c r="AX84" s="451"/>
      <c r="AY84" s="910"/>
      <c r="AZ84" s="450"/>
      <c r="BA84" s="450"/>
      <c r="BB84" s="450"/>
      <c r="BC84" s="450"/>
      <c r="BD84" s="500"/>
      <c r="BE84" s="500"/>
      <c r="BF84" s="500"/>
      <c r="BG84" s="500"/>
      <c r="BH84" s="500"/>
      <c r="BI84" s="500"/>
      <c r="BJ84" s="500"/>
      <c r="BK84" s="500"/>
      <c r="BL84" s="937" t="str">
        <f>IF(WWWW[[#This Row],['#_Water samples_Tested_at_water_source]]="","no test","Tested")</f>
        <v>no test</v>
      </c>
      <c r="BM84" s="937" t="str">
        <f>IF(WWWW[[#This Row],['#_Water samples_Tested_at_HH]]="","no test","Tested")</f>
        <v>Tested</v>
      </c>
      <c r="BN84" s="938" t="str">
        <f>IF(AND(WWWW[[#This Row],[Water_testing_at source]]="no test",WWWW[[#This Row],[Water_testing_at HH]]="no test"),"No Test","Tested")</f>
        <v>Tested</v>
      </c>
      <c r="BO84"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4" s="939">
        <f>WWWW[[#This Row],[% HRP1]]*WWWW[[#This Row],[Total PoP ]]</f>
        <v>12495</v>
      </c>
      <c r="BQ84" s="940">
        <f>WWWW[[#This Row],[HRP1]]/500</f>
        <v>24.99</v>
      </c>
      <c r="BR84" s="941">
        <f>1-WWWW[[#This Row],[% HRP1]]</f>
        <v>0</v>
      </c>
      <c r="BS84" s="940">
        <f>WWWW[[#This Row],[%equitable and continuous access to sufficient quantity of safe drinking and domestic water''s GAP]]*WWWW[[#This Row],[Total PoP ]]</f>
        <v>0</v>
      </c>
      <c r="BT84" s="451">
        <f>ROUND(IF(WWWW[[#This Row],[Total PoP ]]&lt;500,1,WWWW[[#This Row],[Total PoP ]]/500),0)</f>
        <v>25</v>
      </c>
      <c r="BU84" s="938">
        <f>IF(WWWW[[#This Row],[Total required water points]]-WWWW[[#This Row],['#Water points coverage]]&lt;0,0,WWWW[[#This Row],[Total required water points]]-WWWW[[#This Row],['#Water points coverage]])</f>
        <v>1.0000000000001563E-2</v>
      </c>
      <c r="BV84" s="452">
        <f>WWWW[[#This Row],[HRP2]]/WWWW[[#This Row],[Total PoP ]]</f>
        <v>1</v>
      </c>
      <c r="BW84"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84" s="455">
        <f>IF(WWWW[[#This Row],['#_Functional_adult_latrines]]="","",WWWW[[#This Row],[Total PoP ]]/WWWW[[#This Row],['#_Functional_adult_latrines]])</f>
        <v>15.677540777917189</v>
      </c>
      <c r="BY84" s="938">
        <f>WWWW[[#This Row],['#_of_latrines_in_TLS/CFS]]*50</f>
        <v>0</v>
      </c>
      <c r="BZ84" s="451">
        <f>IF(WWWW[[#This Row],['#_of_latrines_in_THF]]="",0,WWWW[[#This Row],['#_of_latrines_in_THF]]*50)</f>
        <v>0</v>
      </c>
      <c r="CA84" s="938">
        <f>ROUND(IF(WWWW[[#This Row],[Location Type 1]]="camp",WWWW[[#This Row],[Total PoP ]]/20),0)</f>
        <v>625</v>
      </c>
      <c r="CB84" s="938">
        <f>IF(WWWW[[#This Row],[Total required Latrines]]-WWWW[[#This Row],['#_Existing_latrines]]&lt;0,0,WWWW[[#This Row],[Total required Latrines]]-WWWW[[#This Row],['#_Existing_latrines]])</f>
        <v>0</v>
      </c>
      <c r="CC84" s="941">
        <f>1-WWWW[[#This Row],[% HRP2]]</f>
        <v>0</v>
      </c>
      <c r="CD84" s="937">
        <f>IF(WWWW[[#This Row],['#_Existing_latrines]]="","NA",(WWWW[[#This Row],['#_Existing_latrines]]-WWWW[[#This Row],['#_Functional_adult_latrines]])/WWWW[[#This Row],['#_Existing_latrines]])</f>
        <v>1.3613861386138614E-2</v>
      </c>
      <c r="CE84"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12495</v>
      </c>
      <c r="CF84" s="940">
        <f>SUM(WWWW[[#This Row],[_'#_of_Men_receiving_consultation_hygiene_promotion_messages_and_sessions]:[_'#_of_Girls_receiving_consultation_hygiene_promotion_messages_and_sessions]])-WWWW[[#This Row],['# people reached by regular dedicated hygiene promotion_5]]</f>
        <v>0</v>
      </c>
      <c r="CG84"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4" s="938">
        <f>IF(WWWW[[#This Row],['#_of_affected_women_and_girls_receiving_a_sufficient_quantity_of_sanitary_pads]]&gt;WWWW[[#This Row],[Total PoP ]],WWWW[[#This Row],[Total PoP ]],WWWW[[#This Row],['#_of_affected_women_and_girls_receiving_a_sufficient_quantity_of_sanitary_pads]])</f>
        <v>3118</v>
      </c>
      <c r="CI84" s="938">
        <f>IF(WWWW[[#This Row],['# People with access to soap]]&gt;WWWW[[#This Row],['# People with access to Sanity Pads]],WWWW[[#This Row],['# People with access to soap]],WWWW[[#This Row],['# People with access to Sanity Pads]])</f>
        <v>3118</v>
      </c>
      <c r="CJ84" s="938">
        <f>IF(WWWW[[#This Row],['# people reached by regular dedicated hygiene promotion_5]]&gt;WWWW[[#This Row],['# People received regular supply of hygiene items_6]],WWWW[[#This Row],['# people reached by regular dedicated hygiene promotion_5]],WWWW[[#This Row],['# People received regular supply of hygiene items_6]])</f>
        <v>12495</v>
      </c>
      <c r="CK84" s="941">
        <f>IF(WWWW[[#This Row],[HRP3]]/WWWW[[#This Row],[Total PoP ]]&gt;100%,100%,WWWW[[#This Row],[HRP3]]/WWWW[[#This Row],[Total PoP ]])</f>
        <v>1</v>
      </c>
      <c r="CL84" s="937">
        <f>1-WWWW[[#This Row],[Hygiene Coverage%]]</f>
        <v>0</v>
      </c>
      <c r="CM84" s="936">
        <f>WWWW[[#This Row],['# people reached by regular dedicated hygiene promotion_5]]/WWWW[[#This Row],[Total PoP ]]</f>
        <v>1</v>
      </c>
      <c r="CN84" s="937">
        <f>IF(WWWW[[#This Row],['#_of_affected_households_receiving_a_sufficient_quantity_of_soap]]/WWWW[[#This Row],[Total HH]]&gt;1,1,WWWW[[#This Row],['#_of_affected_households_receiving_a_sufficient_quantity_of_soap]]/WWWW[[#This Row],[Total HH]])</f>
        <v>0</v>
      </c>
      <c r="CO84" s="455" t="str">
        <f>IF(WWWW[[#This Row],['#_students at TLS_CFS]]="","No","Yes")</f>
        <v>No</v>
      </c>
      <c r="CP84" s="452">
        <f>WWWW[[#This Row],[%_of_affected_people_surveyed_who_report_feeling_informed_about_the_different_WASH_services_available_to_them]]</f>
        <v>0</v>
      </c>
      <c r="CQ8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84" s="500">
        <f>IF(WWWW[[#This Row],['#_PPL_accessed_water_in_TLS]]&gt;WWWW[[#This Row],['# students access to functioning school latrines_HRP5]],WWWW[[#This Row],['#_PPL_accessed_water_in_TLS]],WWWW[[#This Row],['# students access to functioning school latrines_HRP5]])</f>
        <v>0</v>
      </c>
      <c r="CS84" s="500">
        <f>IF(WWWW[[#This Row],['#_PPL_accessed_water_in_THF]]&gt;WWWW[[#This Row],['# people access to functioning latrines in THF_HRP6]],WWWW[[#This Row],['#_PPL_accessed_water_in_THF]],WWWW[[#This Row],['# people access to functioning latrines in THF_HRP6]])</f>
        <v>0</v>
      </c>
      <c r="CT84" s="934" t="str">
        <f>VLOOKUP(WWWW[[#This Row],[Site Name]],SiteDB6[[Site Name]:[CCCM Management]],6,FALSE)</f>
        <v>Yes</v>
      </c>
      <c r="CU84" s="934">
        <f>VLOOKUP(WWWW[[#This Row],[Site Name]],SiteDB6[[Site Name]:[CCCM Focal Agency]],7,FALSE)</f>
        <v>0</v>
      </c>
      <c r="CV84" s="934" t="str">
        <f>VLOOKUP(WWWW[[#This Row],[Site Name]],SiteDB6[[Site Name]:[Location Type 1]],9,FALSE)</f>
        <v>Camp</v>
      </c>
      <c r="CW84" s="934" t="str">
        <f>VLOOKUP(WWWW[[#This Row],[Site Name]],SiteDB6[[Site Name]:[Type of Accommodation]],10,FALSE)</f>
        <v>Planned Camp</v>
      </c>
      <c r="CX84" s="934" t="str">
        <f>VLOOKUP(WWWW[[#This Row],[Site Name]],SiteDB6[[Site Name]:[Ethnic or GCA/NGCA]],11,FALSE)</f>
        <v>Muslim</v>
      </c>
      <c r="CY84" s="934">
        <f>VLOOKUP(WWWW[[#This Row],[Site Name]],SiteDB6[[Site Name]:[Lat]],12,FALSE)</f>
        <v>20.185092000000001</v>
      </c>
      <c r="CZ84" s="934">
        <f>VLOOKUP(WWWW[[#This Row],[Site Name]],SiteDB6[[Site Name]:[Long]],13,FALSE)</f>
        <v>92.802295999999998</v>
      </c>
      <c r="DA84" s="934" t="str">
        <f>VLOOKUP(WWWW[[#This Row],[Site Name]],SiteDB6[[Site Name]:[Pcode]],3,FALSE)</f>
        <v>MMR012CMP116</v>
      </c>
      <c r="DB84" s="942" t="str">
        <f t="shared" si="4"/>
        <v>Covered</v>
      </c>
      <c r="DC84" s="477"/>
      <c r="DD84" s="477"/>
      <c r="DE84" s="477">
        <f>WWWW[[#This Row],['# of Male_People with disabilities]]+WWWW[[#This Row],['# of Female_People with disabilities]]</f>
        <v>0</v>
      </c>
      <c r="DF84" s="934"/>
      <c r="DG84" s="942"/>
      <c r="DH84" s="942"/>
      <c r="DI84" s="942"/>
      <c r="DJ84" s="942">
        <f>VLOOKUP(WWWW[[#This Row],[Site Name]],SiteDB6[[Site Name]:[Pop
(CCCM as of Autust 2021)]],16,FALSE)</f>
        <v>2275</v>
      </c>
      <c r="DK84" s="942">
        <f>VLOOKUP(WWWW[[#This Row],[Site Name]],SiteDB6[[Site Name]:[Pop
(CCCM as of Autust 2021)]],17,FALSE)</f>
        <v>12341</v>
      </c>
    </row>
    <row r="85" spans="1:115">
      <c r="A85" s="932" t="s">
        <v>3146</v>
      </c>
      <c r="B85" s="932" t="s">
        <v>286</v>
      </c>
      <c r="C85" s="933" t="s">
        <v>286</v>
      </c>
      <c r="D85" s="933" t="s">
        <v>233</v>
      </c>
      <c r="E85" s="845" t="s">
        <v>293</v>
      </c>
      <c r="F85" s="933" t="s">
        <v>294</v>
      </c>
      <c r="G85" s="898" t="s">
        <v>43</v>
      </c>
      <c r="H85" s="933" t="s">
        <v>2273</v>
      </c>
      <c r="I85" s="935">
        <v>400</v>
      </c>
      <c r="J85" s="935">
        <v>2698</v>
      </c>
      <c r="K85" s="684">
        <f>WWWW[[#This Row],[Total PoP ]]/WWWW[[#This Row],[Total HH]]</f>
        <v>6.7450000000000001</v>
      </c>
      <c r="L85" s="907">
        <v>44713</v>
      </c>
      <c r="M85" s="908">
        <v>45077</v>
      </c>
      <c r="N85" s="500"/>
      <c r="O85" s="500">
        <v>35</v>
      </c>
      <c r="P85" s="500">
        <v>42</v>
      </c>
      <c r="Q85" s="500"/>
      <c r="R85" s="500"/>
      <c r="S85" s="500"/>
      <c r="T85" s="500"/>
      <c r="U85" s="500"/>
      <c r="V85" s="450"/>
      <c r="W85" s="500">
        <v>248</v>
      </c>
      <c r="X85" s="450">
        <v>0.78</v>
      </c>
      <c r="Y85" s="500"/>
      <c r="Z85" s="500"/>
      <c r="AA85" s="500"/>
      <c r="AB85" s="909"/>
      <c r="AC85" s="500">
        <v>150</v>
      </c>
      <c r="AD85" s="500">
        <v>150</v>
      </c>
      <c r="AE85" s="500">
        <v>173</v>
      </c>
      <c r="AF85" s="500">
        <v>372</v>
      </c>
      <c r="AG85" s="450"/>
      <c r="AH85" s="450"/>
      <c r="AI85" s="450"/>
      <c r="AJ85" s="500">
        <v>2</v>
      </c>
      <c r="AK85" s="500"/>
      <c r="AL85" s="500"/>
      <c r="AM85" s="500"/>
      <c r="AN85" s="500" t="s">
        <v>41</v>
      </c>
      <c r="AO85" s="538"/>
      <c r="AP85" s="500">
        <v>592</v>
      </c>
      <c r="AQ85" s="500">
        <v>727</v>
      </c>
      <c r="AR85" s="500">
        <v>712</v>
      </c>
      <c r="AS85" s="500">
        <v>667</v>
      </c>
      <c r="AT85" s="500"/>
      <c r="AU85" s="500">
        <v>727</v>
      </c>
      <c r="AV85" s="450"/>
      <c r="AW85" s="450"/>
      <c r="AX85" s="451"/>
      <c r="AY85" s="910"/>
      <c r="AZ85" s="450"/>
      <c r="BA85" s="450"/>
      <c r="BB85" s="450"/>
      <c r="BC85" s="450"/>
      <c r="BD85" s="500"/>
      <c r="BE85" s="500"/>
      <c r="BF85" s="500"/>
      <c r="BG85" s="500"/>
      <c r="BH85" s="500"/>
      <c r="BI85" s="500"/>
      <c r="BJ85" s="500"/>
      <c r="BK85" s="500"/>
      <c r="BL85" s="937" t="str">
        <f>IF(WWWW[[#This Row],['#_Water samples_Tested_at_water_source]]="","no test","Tested")</f>
        <v>no test</v>
      </c>
      <c r="BM85" s="937" t="str">
        <f>IF(WWWW[[#This Row],['#_Water samples_Tested_at_HH]]="","no test","Tested")</f>
        <v>Tested</v>
      </c>
      <c r="BN85" s="938" t="str">
        <f>IF(AND(WWWW[[#This Row],[Water_testing_at source]]="no test",WWWW[[#This Row],[Water_testing_at HH]]="no test"),"No Test","Tested")</f>
        <v>Tested</v>
      </c>
      <c r="BO85"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5" s="939">
        <f>WWWW[[#This Row],[% HRP1]]*WWWW[[#This Row],[Total PoP ]]</f>
        <v>2698</v>
      </c>
      <c r="BQ85" s="940">
        <f>WWWW[[#This Row],[HRP1]]/500</f>
        <v>5.3959999999999999</v>
      </c>
      <c r="BR85" s="941">
        <f>1-WWWW[[#This Row],[% HRP1]]</f>
        <v>0</v>
      </c>
      <c r="BS85" s="940">
        <f>WWWW[[#This Row],[%equitable and continuous access to sufficient quantity of safe drinking and domestic water''s GAP]]*WWWW[[#This Row],[Total PoP ]]</f>
        <v>0</v>
      </c>
      <c r="BT85" s="451">
        <f>ROUND(IF(WWWW[[#This Row],[Total PoP ]]&lt;500,1,WWWW[[#This Row],[Total PoP ]]/500),0)</f>
        <v>5</v>
      </c>
      <c r="BU85" s="938">
        <f>IF(WWWW[[#This Row],[Total required water points]]-WWWW[[#This Row],['#Water points coverage]]&lt;0,0,WWWW[[#This Row],[Total required water points]]-WWWW[[#This Row],['#Water points coverage]])</f>
        <v>0</v>
      </c>
      <c r="BV85" s="452">
        <f>WWWW[[#This Row],[HRP2]]/WWWW[[#This Row],[Total PoP ]]</f>
        <v>1</v>
      </c>
      <c r="BW85"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85" s="455">
        <f>IF(WWWW[[#This Row],['#_Functional_adult_latrines]]="","",WWWW[[#This Row],[Total PoP ]]/WWWW[[#This Row],['#_Functional_adult_latrines]])</f>
        <v>17.986666666666668</v>
      </c>
      <c r="BY85" s="938">
        <f>WWWW[[#This Row],['#_of_latrines_in_TLS/CFS]]*50</f>
        <v>0</v>
      </c>
      <c r="BZ85" s="451">
        <f>IF(WWWW[[#This Row],['#_of_latrines_in_THF]]="",0,WWWW[[#This Row],['#_of_latrines_in_THF]]*50)</f>
        <v>0</v>
      </c>
      <c r="CA85" s="938">
        <f>ROUND(IF(WWWW[[#This Row],[Location Type 1]]="camp",WWWW[[#This Row],[Total PoP ]]/20),0)</f>
        <v>135</v>
      </c>
      <c r="CB85" s="938">
        <f>IF(WWWW[[#This Row],[Total required Latrines]]-WWWW[[#This Row],['#_Existing_latrines]]&lt;0,0,WWWW[[#This Row],[Total required Latrines]]-WWWW[[#This Row],['#_Existing_latrines]])</f>
        <v>0</v>
      </c>
      <c r="CC85" s="941">
        <f>1-WWWW[[#This Row],[% HRP2]]</f>
        <v>0</v>
      </c>
      <c r="CD85" s="937">
        <f>IF(WWWW[[#This Row],['#_Existing_latrines]]="","NA",(WWWW[[#This Row],['#_Existing_latrines]]-WWWW[[#This Row],['#_Functional_adult_latrines]])/WWWW[[#This Row],['#_Existing_latrines]])</f>
        <v>0</v>
      </c>
      <c r="CE85"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2698</v>
      </c>
      <c r="CF85" s="940">
        <f>SUM(WWWW[[#This Row],[_'#_of_Men_receiving_consultation_hygiene_promotion_messages_and_sessions]:[_'#_of_Girls_receiving_consultation_hygiene_promotion_messages_and_sessions]])-WWWW[[#This Row],['# people reached by regular dedicated hygiene promotion_5]]</f>
        <v>0</v>
      </c>
      <c r="CG85"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5" s="938">
        <f>IF(WWWW[[#This Row],['#_of_affected_women_and_girls_receiving_a_sufficient_quantity_of_sanitary_pads]]&gt;WWWW[[#This Row],[Total PoP ]],WWWW[[#This Row],[Total PoP ]],WWWW[[#This Row],['#_of_affected_women_and_girls_receiving_a_sufficient_quantity_of_sanitary_pads]])</f>
        <v>727</v>
      </c>
      <c r="CI85" s="938">
        <f>IF(WWWW[[#This Row],['# People with access to soap]]&gt;WWWW[[#This Row],['# People with access to Sanity Pads]],WWWW[[#This Row],['# People with access to soap]],WWWW[[#This Row],['# People with access to Sanity Pads]])</f>
        <v>727</v>
      </c>
      <c r="CJ85" s="938">
        <f>IF(WWWW[[#This Row],['# people reached by regular dedicated hygiene promotion_5]]&gt;WWWW[[#This Row],['# People received regular supply of hygiene items_6]],WWWW[[#This Row],['# people reached by regular dedicated hygiene promotion_5]],WWWW[[#This Row],['# People received regular supply of hygiene items_6]])</f>
        <v>2698</v>
      </c>
      <c r="CK85" s="941">
        <f>IF(WWWW[[#This Row],[HRP3]]/WWWW[[#This Row],[Total PoP ]]&gt;100%,100%,WWWW[[#This Row],[HRP3]]/WWWW[[#This Row],[Total PoP ]])</f>
        <v>1</v>
      </c>
      <c r="CL85" s="937">
        <f>1-WWWW[[#This Row],[Hygiene Coverage%]]</f>
        <v>0</v>
      </c>
      <c r="CM85" s="936">
        <f>WWWW[[#This Row],['# people reached by regular dedicated hygiene promotion_5]]/WWWW[[#This Row],[Total PoP ]]</f>
        <v>1</v>
      </c>
      <c r="CN85" s="937">
        <f>IF(WWWW[[#This Row],['#_of_affected_households_receiving_a_sufficient_quantity_of_soap]]/WWWW[[#This Row],[Total HH]]&gt;1,1,WWWW[[#This Row],['#_of_affected_households_receiving_a_sufficient_quantity_of_soap]]/WWWW[[#This Row],[Total HH]])</f>
        <v>0</v>
      </c>
      <c r="CO85" s="455" t="str">
        <f>IF(WWWW[[#This Row],['#_students at TLS_CFS]]="","No","Yes")</f>
        <v>No</v>
      </c>
      <c r="CP85" s="452">
        <f>WWWW[[#This Row],[%_of_affected_people_surveyed_who_report_feeling_informed_about_the_different_WASH_services_available_to_them]]</f>
        <v>0</v>
      </c>
      <c r="CQ8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85" s="500">
        <f>IF(WWWW[[#This Row],['#_PPL_accessed_water_in_TLS]]&gt;WWWW[[#This Row],['# students access to functioning school latrines_HRP5]],WWWW[[#This Row],['#_PPL_accessed_water_in_TLS]],WWWW[[#This Row],['# students access to functioning school latrines_HRP5]])</f>
        <v>0</v>
      </c>
      <c r="CS85" s="500">
        <f>IF(WWWW[[#This Row],['#_PPL_accessed_water_in_THF]]&gt;WWWW[[#This Row],['# people access to functioning latrines in THF_HRP6]],WWWW[[#This Row],['#_PPL_accessed_water_in_THF]],WWWW[[#This Row],['# people access to functioning latrines in THF_HRP6]])</f>
        <v>0</v>
      </c>
      <c r="CT85" s="934">
        <f>VLOOKUP(WWWW[[#This Row],[Site Name]],SiteDB6[[Site Name]:[CCCM Management]],6,FALSE)</f>
        <v>0</v>
      </c>
      <c r="CU85" s="934">
        <f>VLOOKUP(WWWW[[#This Row],[Site Name]],SiteDB6[[Site Name]:[CCCM Focal Agency]],7,FALSE)</f>
        <v>0</v>
      </c>
      <c r="CV85" s="934" t="str">
        <f>VLOOKUP(WWWW[[#This Row],[Site Name]],SiteDB6[[Site Name]:[Location Type 1]],9,FALSE)</f>
        <v>Camp</v>
      </c>
      <c r="CW85" s="934" t="str">
        <f>VLOOKUP(WWWW[[#This Row],[Site Name]],SiteDB6[[Site Name]:[Type of Accommodation]],10,FALSE)</f>
        <v>Planned Camp</v>
      </c>
      <c r="CX85" s="934" t="str">
        <f>VLOOKUP(WWWW[[#This Row],[Site Name]],SiteDB6[[Site Name]:[Ethnic or GCA/NGCA]],11,FALSE)</f>
        <v>Muslim</v>
      </c>
      <c r="CY85" s="934">
        <f>VLOOKUP(WWWW[[#This Row],[Site Name]],SiteDB6[[Site Name]:[Lat]],12,FALSE)</f>
        <v>20.207284999999999</v>
      </c>
      <c r="CZ85" s="934">
        <f>VLOOKUP(WWWW[[#This Row],[Site Name]],SiteDB6[[Site Name]:[Long]],13,FALSE)</f>
        <v>92.788177000000005</v>
      </c>
      <c r="DA85" s="934" t="str">
        <f>VLOOKUP(WWWW[[#This Row],[Site Name]],SiteDB6[[Site Name]:[Pcode]],3,FALSE)</f>
        <v>MMR012CMP045</v>
      </c>
      <c r="DB85" s="942" t="str">
        <f t="shared" si="4"/>
        <v>Covered</v>
      </c>
      <c r="DC85" s="477"/>
      <c r="DD85" s="477"/>
      <c r="DE85" s="477">
        <f>WWWW[[#This Row],['# of Male_People with disabilities]]+WWWW[[#This Row],['# of Female_People with disabilities]]</f>
        <v>0</v>
      </c>
      <c r="DF85" s="934"/>
      <c r="DG85" s="942"/>
      <c r="DH85" s="942"/>
      <c r="DI85" s="942"/>
      <c r="DJ85" s="942">
        <f>VLOOKUP(WWWW[[#This Row],[Site Name]],SiteDB6[[Site Name]:[Pop
(CCCM as of Autust 2021)]],16,FALSE)</f>
        <v>0</v>
      </c>
      <c r="DK85" s="942">
        <f>VLOOKUP(WWWW[[#This Row],[Site Name]],SiteDB6[[Site Name]:[Pop
(CCCM as of Autust 2021)]],17,FALSE)</f>
        <v>0</v>
      </c>
    </row>
    <row r="86" spans="1:115">
      <c r="A86" s="932" t="s">
        <v>3146</v>
      </c>
      <c r="B86" s="932" t="s">
        <v>2620</v>
      </c>
      <c r="C86" s="933" t="s">
        <v>2620</v>
      </c>
      <c r="D86" s="933" t="s">
        <v>3184</v>
      </c>
      <c r="E86" s="845" t="s">
        <v>293</v>
      </c>
      <c r="F86" s="933" t="s">
        <v>294</v>
      </c>
      <c r="G86" s="898" t="s">
        <v>43</v>
      </c>
      <c r="H86" s="933" t="s">
        <v>438</v>
      </c>
      <c r="I86" s="935">
        <v>2280</v>
      </c>
      <c r="J86" s="935">
        <v>11564</v>
      </c>
      <c r="K86" s="684">
        <f>WWWW[[#This Row],[Total PoP ]]/WWWW[[#This Row],[Total HH]]</f>
        <v>5.0719298245614031</v>
      </c>
      <c r="L86" s="907">
        <v>44652</v>
      </c>
      <c r="M86" s="908">
        <v>44834</v>
      </c>
      <c r="N86" s="500">
        <v>2187</v>
      </c>
      <c r="O86" s="500">
        <v>171</v>
      </c>
      <c r="P86" s="500">
        <v>193</v>
      </c>
      <c r="Q86" s="500"/>
      <c r="R86" s="500"/>
      <c r="S86" s="500"/>
      <c r="T86" s="500"/>
      <c r="U86" s="500">
        <v>207</v>
      </c>
      <c r="V86" s="450">
        <v>0.79</v>
      </c>
      <c r="W86" s="500">
        <v>97</v>
      </c>
      <c r="X86" s="450">
        <v>0.27</v>
      </c>
      <c r="Y86" s="500"/>
      <c r="Z86" s="500"/>
      <c r="AA86" s="500"/>
      <c r="AB86" s="909"/>
      <c r="AC86" s="500">
        <v>479</v>
      </c>
      <c r="AD86" s="500">
        <v>520</v>
      </c>
      <c r="AE86" s="500"/>
      <c r="AF86" s="500"/>
      <c r="AG86" s="450">
        <v>1</v>
      </c>
      <c r="AH86" s="450">
        <v>0.97</v>
      </c>
      <c r="AI86" s="450">
        <v>0.87</v>
      </c>
      <c r="AJ86" s="500">
        <v>4</v>
      </c>
      <c r="AK86" s="500">
        <v>51</v>
      </c>
      <c r="AL86" s="500">
        <v>57</v>
      </c>
      <c r="AM86" s="500"/>
      <c r="AN86" s="500" t="s">
        <v>41</v>
      </c>
      <c r="AO86" s="538"/>
      <c r="AP86" s="500">
        <v>1299</v>
      </c>
      <c r="AQ86" s="500">
        <v>2170</v>
      </c>
      <c r="AR86" s="500">
        <v>1441</v>
      </c>
      <c r="AS86" s="500">
        <v>1390</v>
      </c>
      <c r="AT86" s="500">
        <v>2280</v>
      </c>
      <c r="AU86" s="500">
        <v>5995</v>
      </c>
      <c r="AV86" s="450">
        <v>1</v>
      </c>
      <c r="AW86" s="450">
        <v>1</v>
      </c>
      <c r="AX86" s="451">
        <v>35</v>
      </c>
      <c r="AY86" s="910"/>
      <c r="AZ86" s="450">
        <v>1</v>
      </c>
      <c r="BA86" s="450">
        <v>1</v>
      </c>
      <c r="BB86" s="450">
        <v>1</v>
      </c>
      <c r="BC86" s="450">
        <v>1</v>
      </c>
      <c r="BD86" s="450"/>
      <c r="BE86" s="500">
        <v>159</v>
      </c>
      <c r="BF86" s="500"/>
      <c r="BG86" s="500"/>
      <c r="BH86" s="500"/>
      <c r="BI86" s="500"/>
      <c r="BJ86" s="500"/>
      <c r="BK86" s="500"/>
      <c r="BL86" s="937" t="str">
        <f>IF(WWWW[[#This Row],['#_Water samples_Tested_at_water_source]]="","no test","Tested")</f>
        <v>Tested</v>
      </c>
      <c r="BM86" s="937" t="str">
        <f>IF(WWWW[[#This Row],['#_Water samples_Tested_at_HH]]="","no test","Tested")</f>
        <v>Tested</v>
      </c>
      <c r="BN86" s="938" t="str">
        <f>IF(AND(WWWW[[#This Row],[Water_testing_at source]]="no test",WWWW[[#This Row],[Water_testing_at HH]]="no test"),"No Test","Tested")</f>
        <v>Tested</v>
      </c>
      <c r="BO86"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6" s="939">
        <f>WWWW[[#This Row],[% HRP1]]*WWWW[[#This Row],[Total PoP ]]</f>
        <v>11564</v>
      </c>
      <c r="BQ86" s="940">
        <f>WWWW[[#This Row],[HRP1]]/500</f>
        <v>23.128</v>
      </c>
      <c r="BR86" s="941">
        <f>1-WWWW[[#This Row],[% HRP1]]</f>
        <v>0</v>
      </c>
      <c r="BS86" s="940">
        <f>WWWW[[#This Row],[%equitable and continuous access to sufficient quantity of safe drinking and domestic water''s GAP]]*WWWW[[#This Row],[Total PoP ]]</f>
        <v>0</v>
      </c>
      <c r="BT86" s="451">
        <f>ROUND(IF(WWWW[[#This Row],[Total PoP ]]&lt;500,1,WWWW[[#This Row],[Total PoP ]]/500),0)</f>
        <v>23</v>
      </c>
      <c r="BU86" s="938">
        <f>IF(WWWW[[#This Row],[Total required water points]]-WWWW[[#This Row],['#Water points coverage]]&lt;0,0,WWWW[[#This Row],[Total required water points]]-WWWW[[#This Row],['#Water points coverage]])</f>
        <v>0</v>
      </c>
      <c r="BV86" s="452">
        <f>WWWW[[#This Row],[HRP2]]/WWWW[[#This Row],[Total PoP ]]</f>
        <v>0.83976132826011762</v>
      </c>
      <c r="BW86"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9711</v>
      </c>
      <c r="BX86" s="455">
        <f>IF(WWWW[[#This Row],['#_Functional_adult_latrines]]="","",WWWW[[#This Row],[Total PoP ]]/WWWW[[#This Row],['#_Functional_adult_latrines]])</f>
        <v>24.141962421711899</v>
      </c>
      <c r="BY86" s="938">
        <f>WWWW[[#This Row],['#_of_latrines_in_TLS/CFS]]*50</f>
        <v>2850</v>
      </c>
      <c r="BZ86" s="451">
        <f>IF(WWWW[[#This Row],['#_of_latrines_in_THF]]="",0,WWWW[[#This Row],['#_of_latrines_in_THF]]*50)</f>
        <v>0</v>
      </c>
      <c r="CA86" s="938">
        <f>ROUND(IF(WWWW[[#This Row],[Location Type 1]]="camp",WWWW[[#This Row],[Total PoP ]]/20),0)</f>
        <v>578</v>
      </c>
      <c r="CB86" s="938">
        <f>IF(WWWW[[#This Row],[Total required Latrines]]-WWWW[[#This Row],['#_Existing_latrines]]&lt;0,0,WWWW[[#This Row],[Total required Latrines]]-WWWW[[#This Row],['#_Existing_latrines]])</f>
        <v>58</v>
      </c>
      <c r="CC86" s="941">
        <f>1-WWWW[[#This Row],[% HRP2]]</f>
        <v>0.16023867173988238</v>
      </c>
      <c r="CD86" s="937">
        <f>IF(WWWW[[#This Row],['#_Existing_latrines]]="","NA",(WWWW[[#This Row],['#_Existing_latrines]]-WWWW[[#This Row],['#_Functional_adult_latrines]])/WWWW[[#This Row],['#_Existing_latrines]])</f>
        <v>7.8846153846153844E-2</v>
      </c>
      <c r="CE86"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6300</v>
      </c>
      <c r="CF86" s="940">
        <f>SUM(WWWW[[#This Row],[_'#_of_Men_receiving_consultation_hygiene_promotion_messages_and_sessions]:[_'#_of_Girls_receiving_consultation_hygiene_promotion_messages_and_sessions]])-WWWW[[#This Row],['# people reached by regular dedicated hygiene promotion_5]]</f>
        <v>0</v>
      </c>
      <c r="CG86"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H86" s="938">
        <f>IF(WWWW[[#This Row],['#_of_affected_women_and_girls_receiving_a_sufficient_quantity_of_sanitary_pads]]&gt;WWWW[[#This Row],[Total PoP ]],WWWW[[#This Row],[Total PoP ]],WWWW[[#This Row],['#_of_affected_women_and_girls_receiving_a_sufficient_quantity_of_sanitary_pads]])</f>
        <v>5995</v>
      </c>
      <c r="CI86" s="938">
        <f>IF(WWWW[[#This Row],['# People with access to soap]]&gt;WWWW[[#This Row],['# People with access to Sanity Pads]],WWWW[[#This Row],['# People with access to soap]],WWWW[[#This Row],['# People with access to Sanity Pads]])</f>
        <v>11564</v>
      </c>
      <c r="CJ86" s="938">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K86" s="941">
        <f>IF(WWWW[[#This Row],[HRP3]]/WWWW[[#This Row],[Total PoP ]]&gt;100%,100%,WWWW[[#This Row],[HRP3]]/WWWW[[#This Row],[Total PoP ]])</f>
        <v>1</v>
      </c>
      <c r="CL86" s="937">
        <f>1-WWWW[[#This Row],[Hygiene Coverage%]]</f>
        <v>0</v>
      </c>
      <c r="CM86" s="936">
        <f>WWWW[[#This Row],['# people reached by regular dedicated hygiene promotion_5]]/WWWW[[#This Row],[Total PoP ]]</f>
        <v>0.5447941888619855</v>
      </c>
      <c r="CN86" s="937">
        <f>IF(WWWW[[#This Row],['#_of_affected_households_receiving_a_sufficient_quantity_of_soap]]/WWWW[[#This Row],[Total HH]]&gt;1,1,WWWW[[#This Row],['#_of_affected_households_receiving_a_sufficient_quantity_of_soap]]/WWWW[[#This Row],[Total HH]])</f>
        <v>1</v>
      </c>
      <c r="CO86" s="455" t="str">
        <f>IF(WWWW[[#This Row],['#_students at TLS_CFS]]="","No","Yes")</f>
        <v>Yes</v>
      </c>
      <c r="CP86" s="452">
        <f>WWWW[[#This Row],[%_of_affected_people_surveyed_who_report_feeling_informed_about_the_different_WASH_services_available_to_them]]</f>
        <v>1</v>
      </c>
      <c r="CQ8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159</v>
      </c>
      <c r="CR86" s="500">
        <f>IF(WWWW[[#This Row],['#_PPL_accessed_water_in_TLS]]&gt;WWWW[[#This Row],['# students access to functioning school latrines_HRP5]],WWWW[[#This Row],['#_PPL_accessed_water_in_TLS]],WWWW[[#This Row],['# students access to functioning school latrines_HRP5]])</f>
        <v>2850</v>
      </c>
      <c r="CS86" s="500">
        <f>IF(WWWW[[#This Row],['#_PPL_accessed_water_in_THF]]&gt;WWWW[[#This Row],['# people access to functioning latrines in THF_HRP6]],WWWW[[#This Row],['#_PPL_accessed_water_in_THF]],WWWW[[#This Row],['# people access to functioning latrines in THF_HRP6]])</f>
        <v>0</v>
      </c>
      <c r="CT86" s="934" t="str">
        <f>VLOOKUP(WWWW[[#This Row],[Site Name]],SiteDB6[[Site Name]:[CCCM Management]],6,FALSE)</f>
        <v>Yes</v>
      </c>
      <c r="CU86" s="934">
        <f>VLOOKUP(WWWW[[#This Row],[Site Name]],SiteDB6[[Site Name]:[CCCM Focal Agency]],7,FALSE)</f>
        <v>0</v>
      </c>
      <c r="CV86" s="934" t="str">
        <f>VLOOKUP(WWWW[[#This Row],[Site Name]],SiteDB6[[Site Name]:[Location Type 1]],9,FALSE)</f>
        <v>Camp</v>
      </c>
      <c r="CW86" s="934" t="str">
        <f>VLOOKUP(WWWW[[#This Row],[Site Name]],SiteDB6[[Site Name]:[Type of Accommodation]],10,FALSE)</f>
        <v>Planned Camp</v>
      </c>
      <c r="CX86" s="934" t="str">
        <f>VLOOKUP(WWWW[[#This Row],[Site Name]],SiteDB6[[Site Name]:[Ethnic or GCA/NGCA]],11,FALSE)</f>
        <v>Muslim</v>
      </c>
      <c r="CY86" s="934">
        <f>VLOOKUP(WWWW[[#This Row],[Site Name]],SiteDB6[[Site Name]:[Lat]],12,FALSE)</f>
        <v>20.202525000000001</v>
      </c>
      <c r="CZ86" s="934">
        <f>VLOOKUP(WWWW[[#This Row],[Site Name]],SiteDB6[[Site Name]:[Long]],13,FALSE)</f>
        <v>92.792479999999998</v>
      </c>
      <c r="DA86" s="934" t="str">
        <f>VLOOKUP(WWWW[[#This Row],[Site Name]],SiteDB6[[Site Name]:[Pcode]],3,FALSE)</f>
        <v>MMR012CMP045</v>
      </c>
      <c r="DB86" s="942" t="str">
        <f t="shared" si="4"/>
        <v>Covered</v>
      </c>
      <c r="DC86" s="477"/>
      <c r="DD86" s="477"/>
      <c r="DE86" s="477">
        <f>WWWW[[#This Row],['# of Male_People with disabilities]]+WWWW[[#This Row],['# of Female_People with disabilities]]</f>
        <v>0</v>
      </c>
      <c r="DF86" s="934"/>
      <c r="DG86" s="942"/>
      <c r="DH86" s="942"/>
      <c r="DI86" s="942"/>
      <c r="DJ86" s="942">
        <f>VLOOKUP(WWWW[[#This Row],[Site Name]],SiteDB6[[Site Name]:[Pop
(CCCM as of Autust 2021)]],16,FALSE)</f>
        <v>2678</v>
      </c>
      <c r="DK86" s="942">
        <f>VLOOKUP(WWWW[[#This Row],[Site Name]],SiteDB6[[Site Name]:[Pop
(CCCM as of Autust 2021)]],17,FALSE)</f>
        <v>14788</v>
      </c>
    </row>
    <row r="87" spans="1:115">
      <c r="A87" s="932" t="s">
        <v>3146</v>
      </c>
      <c r="B87" s="932" t="s">
        <v>286</v>
      </c>
      <c r="C87" s="933" t="s">
        <v>286</v>
      </c>
      <c r="D87" s="933" t="s">
        <v>3003</v>
      </c>
      <c r="E87" s="845" t="s">
        <v>293</v>
      </c>
      <c r="F87" s="933" t="s">
        <v>401</v>
      </c>
      <c r="G87" s="898" t="s">
        <v>43</v>
      </c>
      <c r="H87" s="933" t="s">
        <v>404</v>
      </c>
      <c r="I87" s="935">
        <v>811</v>
      </c>
      <c r="J87" s="935">
        <v>2861</v>
      </c>
      <c r="K87" s="684">
        <f>WWWW[[#This Row],[Total PoP ]]/WWWW[[#This Row],[Total HH]]</f>
        <v>3.5277435265104811</v>
      </c>
      <c r="L87" s="907">
        <v>44713</v>
      </c>
      <c r="M87" s="908">
        <v>45077</v>
      </c>
      <c r="N87" s="500"/>
      <c r="O87" s="500"/>
      <c r="P87" s="500"/>
      <c r="Q87" s="500">
        <v>8</v>
      </c>
      <c r="R87" s="500">
        <v>8</v>
      </c>
      <c r="S87" s="500"/>
      <c r="T87" s="500"/>
      <c r="U87" s="500"/>
      <c r="V87" s="450"/>
      <c r="W87" s="500"/>
      <c r="X87" s="450"/>
      <c r="Y87" s="500"/>
      <c r="Z87" s="500"/>
      <c r="AA87" s="500"/>
      <c r="AB87" s="909"/>
      <c r="AC87" s="500">
        <v>354</v>
      </c>
      <c r="AD87" s="500">
        <v>365</v>
      </c>
      <c r="AE87" s="500">
        <v>8</v>
      </c>
      <c r="AF87" s="500">
        <v>244</v>
      </c>
      <c r="AG87" s="450"/>
      <c r="AH87" s="450"/>
      <c r="AI87" s="450"/>
      <c r="AJ87" s="500">
        <v>1</v>
      </c>
      <c r="AK87" s="500"/>
      <c r="AL87" s="500"/>
      <c r="AM87" s="500"/>
      <c r="AN87" s="500" t="s">
        <v>41</v>
      </c>
      <c r="AO87" s="538"/>
      <c r="AP87" s="500">
        <v>761</v>
      </c>
      <c r="AQ87" s="500">
        <v>897</v>
      </c>
      <c r="AR87" s="500">
        <v>638</v>
      </c>
      <c r="AS87" s="500">
        <v>565</v>
      </c>
      <c r="AT87" s="500"/>
      <c r="AU87" s="500">
        <v>897</v>
      </c>
      <c r="AV87" s="450">
        <v>1</v>
      </c>
      <c r="AW87" s="450"/>
      <c r="AX87" s="451"/>
      <c r="AY87" s="910"/>
      <c r="AZ87" s="450"/>
      <c r="BA87" s="450"/>
      <c r="BB87" s="450"/>
      <c r="BC87" s="450"/>
      <c r="BD87" s="500"/>
      <c r="BE87" s="500"/>
      <c r="BF87" s="500"/>
      <c r="BG87" s="500"/>
      <c r="BH87" s="500"/>
      <c r="BI87" s="500"/>
      <c r="BJ87" s="500"/>
      <c r="BK87" s="500"/>
      <c r="BL87" s="937" t="str">
        <f>IF(WWWW[[#This Row],['#_Water samples_Tested_at_water_source]]="","no test","Tested")</f>
        <v>no test</v>
      </c>
      <c r="BM87" s="937" t="str">
        <f>IF(WWWW[[#This Row],['#_Water samples_Tested_at_HH]]="","no test","Tested")</f>
        <v>no test</v>
      </c>
      <c r="BN87" s="938" t="str">
        <f>IF(AND(WWWW[[#This Row],[Water_testing_at source]]="no test",WWWW[[#This Row],[Water_testing_at HH]]="no test"),"No Test","Tested")</f>
        <v>No Test</v>
      </c>
      <c r="BO87"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P87" s="939">
        <f>WWWW[[#This Row],[% HRP1]]*WWWW[[#This Row],[Total PoP ]]</f>
        <v>2000</v>
      </c>
      <c r="BQ87" s="940">
        <f>WWWW[[#This Row],[HRP1]]/500</f>
        <v>4</v>
      </c>
      <c r="BR87" s="941">
        <f>1-WWWW[[#This Row],[% HRP1]]</f>
        <v>0.30094372596994057</v>
      </c>
      <c r="BS87" s="940">
        <f>WWWW[[#This Row],[%equitable and continuous access to sufficient quantity of safe drinking and domestic water''s GAP]]*WWWW[[#This Row],[Total PoP ]]</f>
        <v>861</v>
      </c>
      <c r="BT87" s="451">
        <f>ROUND(IF(WWWW[[#This Row],[Total PoP ]]&lt;500,1,WWWW[[#This Row],[Total PoP ]]/500),0)</f>
        <v>6</v>
      </c>
      <c r="BU87" s="938">
        <f>IF(WWWW[[#This Row],[Total required water points]]-WWWW[[#This Row],['#Water points coverage]]&lt;0,0,WWWW[[#This Row],[Total required water points]]-WWWW[[#This Row],['#Water points coverage]])</f>
        <v>2</v>
      </c>
      <c r="BV87" s="452">
        <f>WWWW[[#This Row],[HRP2]]/WWWW[[#This Row],[Total PoP ]]</f>
        <v>1</v>
      </c>
      <c r="BW87"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87" s="455">
        <f>IF(WWWW[[#This Row],['#_Functional_adult_latrines]]="","",WWWW[[#This Row],[Total PoP ]]/WWWW[[#This Row],['#_Functional_adult_latrines]])</f>
        <v>8.0819209039548028</v>
      </c>
      <c r="BY87" s="938">
        <f>WWWW[[#This Row],['#_of_latrines_in_TLS/CFS]]*50</f>
        <v>0</v>
      </c>
      <c r="BZ87" s="451">
        <f>IF(WWWW[[#This Row],['#_of_latrines_in_THF]]="",0,WWWW[[#This Row],['#_of_latrines_in_THF]]*50)</f>
        <v>0</v>
      </c>
      <c r="CA87" s="938">
        <f>ROUND(IF(WWWW[[#This Row],[Location Type 1]]="camp",WWWW[[#This Row],[Total PoP ]]/20),0)</f>
        <v>143</v>
      </c>
      <c r="CB87" s="938">
        <f>IF(WWWW[[#This Row],[Total required Latrines]]-WWWW[[#This Row],['#_Existing_latrines]]&lt;0,0,WWWW[[#This Row],[Total required Latrines]]-WWWW[[#This Row],['#_Existing_latrines]])</f>
        <v>0</v>
      </c>
      <c r="CC87" s="941">
        <f>1-WWWW[[#This Row],[% HRP2]]</f>
        <v>0</v>
      </c>
      <c r="CD87" s="937">
        <f>IF(WWWW[[#This Row],['#_Existing_latrines]]="","NA",(WWWW[[#This Row],['#_Existing_latrines]]-WWWW[[#This Row],['#_Functional_adult_latrines]])/WWWW[[#This Row],['#_Existing_latrines]])</f>
        <v>3.0136986301369864E-2</v>
      </c>
      <c r="CE87"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2861</v>
      </c>
      <c r="CF87" s="940">
        <f>SUM(WWWW[[#This Row],[_'#_of_Men_receiving_consultation_hygiene_promotion_messages_and_sessions]:[_'#_of_Girls_receiving_consultation_hygiene_promotion_messages_and_sessions]])-WWWW[[#This Row],['# people reached by regular dedicated hygiene promotion_5]]</f>
        <v>0</v>
      </c>
      <c r="CG87"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7" s="938">
        <f>IF(WWWW[[#This Row],['#_of_affected_women_and_girls_receiving_a_sufficient_quantity_of_sanitary_pads]]&gt;WWWW[[#This Row],[Total PoP ]],WWWW[[#This Row],[Total PoP ]],WWWW[[#This Row],['#_of_affected_women_and_girls_receiving_a_sufficient_quantity_of_sanitary_pads]])</f>
        <v>897</v>
      </c>
      <c r="CI87" s="938">
        <f>IF(WWWW[[#This Row],['# People with access to soap]]&gt;WWWW[[#This Row],['# People with access to Sanity Pads]],WWWW[[#This Row],['# People with access to soap]],WWWW[[#This Row],['# People with access to Sanity Pads]])</f>
        <v>897</v>
      </c>
      <c r="CJ87" s="938">
        <f>IF(WWWW[[#This Row],['# people reached by regular dedicated hygiene promotion_5]]&gt;WWWW[[#This Row],['# People received regular supply of hygiene items_6]],WWWW[[#This Row],['# people reached by regular dedicated hygiene promotion_5]],WWWW[[#This Row],['# People received regular supply of hygiene items_6]])</f>
        <v>2861</v>
      </c>
      <c r="CK87" s="941">
        <f>IF(WWWW[[#This Row],[HRP3]]/WWWW[[#This Row],[Total PoP ]]&gt;100%,100%,WWWW[[#This Row],[HRP3]]/WWWW[[#This Row],[Total PoP ]])</f>
        <v>1</v>
      </c>
      <c r="CL87" s="937">
        <f>1-WWWW[[#This Row],[Hygiene Coverage%]]</f>
        <v>0</v>
      </c>
      <c r="CM87" s="936">
        <f>WWWW[[#This Row],['# people reached by regular dedicated hygiene promotion_5]]/WWWW[[#This Row],[Total PoP ]]</f>
        <v>1</v>
      </c>
      <c r="CN87" s="937">
        <f>IF(WWWW[[#This Row],['#_of_affected_households_receiving_a_sufficient_quantity_of_soap]]/WWWW[[#This Row],[Total HH]]&gt;1,1,WWWW[[#This Row],['#_of_affected_households_receiving_a_sufficient_quantity_of_soap]]/WWWW[[#This Row],[Total HH]])</f>
        <v>0</v>
      </c>
      <c r="CO87" s="455" t="str">
        <f>IF(WWWW[[#This Row],['#_students at TLS_CFS]]="","No","Yes")</f>
        <v>No</v>
      </c>
      <c r="CP87" s="452">
        <f>WWWW[[#This Row],[%_of_affected_people_surveyed_who_report_feeling_informed_about_the_different_WASH_services_available_to_them]]</f>
        <v>0</v>
      </c>
      <c r="CQ8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87" s="500">
        <f>IF(WWWW[[#This Row],['#_PPL_accessed_water_in_TLS]]&gt;WWWW[[#This Row],['# students access to functioning school latrines_HRP5]],WWWW[[#This Row],['#_PPL_accessed_water_in_TLS]],WWWW[[#This Row],['# students access to functioning school latrines_HRP5]])</f>
        <v>0</v>
      </c>
      <c r="CS87" s="500">
        <f>IF(WWWW[[#This Row],['#_PPL_accessed_water_in_THF]]&gt;WWWW[[#This Row],['# people access to functioning latrines in THF_HRP6]],WWWW[[#This Row],['#_PPL_accessed_water_in_THF]],WWWW[[#This Row],['# people access to functioning latrines in THF_HRP6]])</f>
        <v>0</v>
      </c>
      <c r="CT87" s="934" t="str">
        <f>VLOOKUP(WWWW[[#This Row],[Site Name]],SiteDB6[[Site Name]:[CCCM Management]],6,FALSE)</f>
        <v>Yes</v>
      </c>
      <c r="CU87" s="934" t="str">
        <f>VLOOKUP(WWWW[[#This Row],[Site Name]],SiteDB6[[Site Name]:[CCCM Focal Agency]],7,FALSE)</f>
        <v>DRC</v>
      </c>
      <c r="CV87" s="934" t="str">
        <f>VLOOKUP(WWWW[[#This Row],[Site Name]],SiteDB6[[Site Name]:[Location Type 1]],9,FALSE)</f>
        <v>Camp</v>
      </c>
      <c r="CW87" s="934" t="str">
        <f>VLOOKUP(WWWW[[#This Row],[Site Name]],SiteDB6[[Site Name]:[Type of Accommodation]],10,FALSE)</f>
        <v>Planned Camp</v>
      </c>
      <c r="CX87" s="934" t="str">
        <f>VLOOKUP(WWWW[[#This Row],[Site Name]],SiteDB6[[Site Name]:[Ethnic or GCA/NGCA]],11,FALSE)</f>
        <v>Muslim</v>
      </c>
      <c r="CY87" s="934">
        <f>VLOOKUP(WWWW[[#This Row],[Site Name]],SiteDB6[[Site Name]:[Lat]],12,FALSE)</f>
        <v>20.064226000000001</v>
      </c>
      <c r="CZ87" s="934">
        <f>VLOOKUP(WWWW[[#This Row],[Site Name]],SiteDB6[[Site Name]:[Long]],13,FALSE)</f>
        <v>92.993758999999997</v>
      </c>
      <c r="DA87" s="934" t="str">
        <f>VLOOKUP(WWWW[[#This Row],[Site Name]],SiteDB6[[Site Name]:[Pcode]],3,FALSE)</f>
        <v>MMR012CMP019</v>
      </c>
      <c r="DB87" s="942" t="str">
        <f t="shared" si="4"/>
        <v>Covered</v>
      </c>
      <c r="DC87" s="477"/>
      <c r="DD87" s="477"/>
      <c r="DE87" s="477">
        <f>WWWW[[#This Row],['# of Male_People with disabilities]]+WWWW[[#This Row],['# of Female_People with disabilities]]</f>
        <v>0</v>
      </c>
      <c r="DF87" s="934"/>
      <c r="DG87" s="942"/>
      <c r="DH87" s="942"/>
      <c r="DI87" s="942"/>
      <c r="DJ87" s="942">
        <f>VLOOKUP(WWWW[[#This Row],[Site Name]],SiteDB6[[Site Name]:[Pop
(CCCM as of Autust 2021)]],16,FALSE)</f>
        <v>682</v>
      </c>
      <c r="DK87" s="942">
        <f>VLOOKUP(WWWW[[#This Row],[Site Name]],SiteDB6[[Site Name]:[Pop
(CCCM as of Autust 2021)]],17,FALSE)</f>
        <v>2588</v>
      </c>
    </row>
    <row r="88" spans="1:115">
      <c r="A88" s="932" t="s">
        <v>3146</v>
      </c>
      <c r="B88" s="932" t="s">
        <v>397</v>
      </c>
      <c r="C88" s="933" t="s">
        <v>397</v>
      </c>
      <c r="D88" s="933" t="s">
        <v>3003</v>
      </c>
      <c r="E88" s="845" t="s">
        <v>293</v>
      </c>
      <c r="F88" s="933" t="s">
        <v>398</v>
      </c>
      <c r="G88" s="898" t="s">
        <v>43</v>
      </c>
      <c r="H88" s="933" t="s">
        <v>399</v>
      </c>
      <c r="I88" s="935">
        <v>716</v>
      </c>
      <c r="J88" s="935">
        <v>2920</v>
      </c>
      <c r="K88" s="684">
        <f>WWWW[[#This Row],[Total PoP ]]/WWWW[[#This Row],[Total HH]]</f>
        <v>4.0782122905027931</v>
      </c>
      <c r="L88" s="907">
        <v>43952</v>
      </c>
      <c r="M88" s="908">
        <v>44316</v>
      </c>
      <c r="N88" s="500"/>
      <c r="O88" s="500"/>
      <c r="P88" s="500"/>
      <c r="Q88" s="500">
        <v>6</v>
      </c>
      <c r="R88" s="500">
        <v>6</v>
      </c>
      <c r="S88" s="500"/>
      <c r="T88" s="500"/>
      <c r="U88" s="500"/>
      <c r="V88" s="450"/>
      <c r="W88" s="500"/>
      <c r="X88" s="450"/>
      <c r="Y88" s="500"/>
      <c r="Z88" s="500"/>
      <c r="AA88" s="500"/>
      <c r="AB88" s="909"/>
      <c r="AC88" s="500">
        <v>642</v>
      </c>
      <c r="AD88" s="500">
        <v>642</v>
      </c>
      <c r="AE88" s="500"/>
      <c r="AF88" s="500"/>
      <c r="AG88" s="450"/>
      <c r="AH88" s="450"/>
      <c r="AI88" s="450"/>
      <c r="AJ88" s="500">
        <v>6</v>
      </c>
      <c r="AK88" s="500"/>
      <c r="AL88" s="500">
        <v>4</v>
      </c>
      <c r="AM88" s="500">
        <v>1</v>
      </c>
      <c r="AN88" s="500" t="s">
        <v>125</v>
      </c>
      <c r="AO88" s="538"/>
      <c r="AP88" s="500"/>
      <c r="AQ88" s="500"/>
      <c r="AR88" s="500"/>
      <c r="AS88" s="500"/>
      <c r="AT88" s="500"/>
      <c r="AU88" s="500"/>
      <c r="AV88" s="450"/>
      <c r="AW88" s="450"/>
      <c r="AX88" s="451"/>
      <c r="AY88" s="910"/>
      <c r="AZ88" s="450"/>
      <c r="BA88" s="450"/>
      <c r="BB88" s="450"/>
      <c r="BC88" s="450"/>
      <c r="BD88" s="450"/>
      <c r="BE88" s="500"/>
      <c r="BF88" s="500"/>
      <c r="BG88" s="500"/>
      <c r="BH88" s="500"/>
      <c r="BI88" s="500"/>
      <c r="BJ88" s="500"/>
      <c r="BK88" s="500"/>
      <c r="BL88" s="937" t="str">
        <f>IF(WWWW[[#This Row],['#_Water samples_Tested_at_water_source]]="","no test","Tested")</f>
        <v>no test</v>
      </c>
      <c r="BM88" s="937" t="str">
        <f>IF(WWWW[[#This Row],['#_Water samples_Tested_at_HH]]="","no test","Tested")</f>
        <v>no test</v>
      </c>
      <c r="BN88" s="938" t="str">
        <f>IF(AND(WWWW[[#This Row],[Water_testing_at source]]="no test",WWWW[[#This Row],[Water_testing_at HH]]="no test"),"No Test","Tested")</f>
        <v>No Test</v>
      </c>
      <c r="BO88"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88" s="939">
        <f>WWWW[[#This Row],[% HRP1]]*WWWW[[#This Row],[Total PoP ]]</f>
        <v>1500.0000000000002</v>
      </c>
      <c r="BQ88" s="940">
        <f>WWWW[[#This Row],[HRP1]]/500</f>
        <v>3.0000000000000004</v>
      </c>
      <c r="BR88" s="941">
        <f>1-WWWW[[#This Row],[% HRP1]]</f>
        <v>0.48630136986301364</v>
      </c>
      <c r="BS88" s="940">
        <f>WWWW[[#This Row],[%equitable and continuous access to sufficient quantity of safe drinking and domestic water''s GAP]]*WWWW[[#This Row],[Total PoP ]]</f>
        <v>1419.9999999999998</v>
      </c>
      <c r="BT88" s="451">
        <f>ROUND(IF(WWWW[[#This Row],[Total PoP ]]&lt;500,1,WWWW[[#This Row],[Total PoP ]]/500),0)</f>
        <v>6</v>
      </c>
      <c r="BU88" s="938">
        <f>IF(WWWW[[#This Row],[Total required water points]]-WWWW[[#This Row],['#Water points coverage]]&lt;0,0,WWWW[[#This Row],[Total required water points]]-WWWW[[#This Row],['#Water points coverage]])</f>
        <v>2.9999999999999996</v>
      </c>
      <c r="BV88" s="452">
        <f>WWWW[[#This Row],[HRP2]]/WWWW[[#This Row],[Total PoP ]]</f>
        <v>1</v>
      </c>
      <c r="BW88"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88" s="455">
        <f>IF(WWWW[[#This Row],['#_Functional_adult_latrines]]="","",WWWW[[#This Row],[Total PoP ]]/WWWW[[#This Row],['#_Functional_adult_latrines]])</f>
        <v>4.5482866043613708</v>
      </c>
      <c r="BY88" s="938">
        <f>WWWW[[#This Row],['#_of_latrines_in_TLS/CFS]]*50</f>
        <v>200</v>
      </c>
      <c r="BZ88" s="451">
        <f>IF(WWWW[[#This Row],['#_of_latrines_in_THF]]="",0,WWWW[[#This Row],['#_of_latrines_in_THF]]*50)</f>
        <v>50</v>
      </c>
      <c r="CA88" s="938">
        <f>ROUND(IF(WWWW[[#This Row],[Location Type 1]]="camp",WWWW[[#This Row],[Total PoP ]]/20),0)</f>
        <v>146</v>
      </c>
      <c r="CB88" s="938">
        <f>IF(WWWW[[#This Row],[Total required Latrines]]-WWWW[[#This Row],['#_Existing_latrines]]&lt;0,0,WWWW[[#This Row],[Total required Latrines]]-WWWW[[#This Row],['#_Existing_latrines]])</f>
        <v>0</v>
      </c>
      <c r="CC88" s="941">
        <f>1-WWWW[[#This Row],[% HRP2]]</f>
        <v>0</v>
      </c>
      <c r="CD88" s="937">
        <f>IF(WWWW[[#This Row],['#_Existing_latrines]]="","NA",(WWWW[[#This Row],['#_Existing_latrines]]-WWWW[[#This Row],['#_Functional_adult_latrines]])/WWWW[[#This Row],['#_Existing_latrines]])</f>
        <v>0</v>
      </c>
      <c r="CE88"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88" s="940">
        <f>SUM(WWWW[[#This Row],[_'#_of_Men_receiving_consultation_hygiene_promotion_messages_and_sessions]:[_'#_of_Girls_receiving_consultation_hygiene_promotion_messages_and_sessions]])-WWWW[[#This Row],['# people reached by regular dedicated hygiene promotion_5]]</f>
        <v>0</v>
      </c>
      <c r="CG88"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H88" s="938">
        <f>IF(WWWW[[#This Row],['#_of_affected_women_and_girls_receiving_a_sufficient_quantity_of_sanitary_pads]]&gt;WWWW[[#This Row],[Total PoP ]],WWWW[[#This Row],[Total PoP ]],WWWW[[#This Row],['#_of_affected_women_and_girls_receiving_a_sufficient_quantity_of_sanitary_pads]])</f>
        <v>0</v>
      </c>
      <c r="CI88" s="938">
        <f>IF(WWWW[[#This Row],['# People with access to soap]]&gt;WWWW[[#This Row],['# People with access to Sanity Pads]],WWWW[[#This Row],['# People with access to soap]],WWWW[[#This Row],['# People with access to Sanity Pads]])</f>
        <v>0</v>
      </c>
      <c r="CJ88" s="938">
        <f>IF(WWWW[[#This Row],['# people reached by regular dedicated hygiene promotion_5]]&gt;WWWW[[#This Row],['# People received regular supply of hygiene items_6]],WWWW[[#This Row],['# people reached by regular dedicated hygiene promotion_5]],WWWW[[#This Row],['# People received regular supply of hygiene items_6]])</f>
        <v>0</v>
      </c>
      <c r="CK88" s="941">
        <f>IF(WWWW[[#This Row],[HRP3]]/WWWW[[#This Row],[Total PoP ]]&gt;100%,100%,WWWW[[#This Row],[HRP3]]/WWWW[[#This Row],[Total PoP ]])</f>
        <v>0</v>
      </c>
      <c r="CL88" s="937">
        <f>1-WWWW[[#This Row],[Hygiene Coverage%]]</f>
        <v>1</v>
      </c>
      <c r="CM88" s="936">
        <f>WWWW[[#This Row],['# people reached by regular dedicated hygiene promotion_5]]/WWWW[[#This Row],[Total PoP ]]</f>
        <v>0</v>
      </c>
      <c r="CN88" s="937">
        <f>IF(WWWW[[#This Row],['#_of_affected_households_receiving_a_sufficient_quantity_of_soap]]/WWWW[[#This Row],[Total HH]]&gt;1,1,WWWW[[#This Row],['#_of_affected_households_receiving_a_sufficient_quantity_of_soap]]/WWWW[[#This Row],[Total HH]])</f>
        <v>0</v>
      </c>
      <c r="CO88" s="455" t="str">
        <f>IF(WWWW[[#This Row],['#_students at TLS_CFS]]="","No","Yes")</f>
        <v>No</v>
      </c>
      <c r="CP88" s="452">
        <f>WWWW[[#This Row],[%_of_affected_people_surveyed_who_report_feeling_informed_about_the_different_WASH_services_available_to_them]]</f>
        <v>0</v>
      </c>
      <c r="CQ8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R88" s="500">
        <f>IF(WWWW[[#This Row],['#_PPL_accessed_water_in_TLS]]&gt;WWWW[[#This Row],['# students access to functioning school latrines_HRP5]],WWWW[[#This Row],['#_PPL_accessed_water_in_TLS]],WWWW[[#This Row],['# students access to functioning school latrines_HRP5]])</f>
        <v>200</v>
      </c>
      <c r="CS88" s="500">
        <f>IF(WWWW[[#This Row],['#_PPL_accessed_water_in_THF]]&gt;WWWW[[#This Row],['# people access to functioning latrines in THF_HRP6]],WWWW[[#This Row],['#_PPL_accessed_water_in_THF]],WWWW[[#This Row],['# people access to functioning latrines in THF_HRP6]])</f>
        <v>50</v>
      </c>
      <c r="CT88" s="934" t="str">
        <f>VLOOKUP(WWWW[[#This Row],[Site Name]],SiteDB6[[Site Name]:[CCCM Management]],6,FALSE)</f>
        <v>Yes</v>
      </c>
      <c r="CU88" s="934" t="str">
        <f>VLOOKUP(WWWW[[#This Row],[Site Name]],SiteDB6[[Site Name]:[CCCM Focal Agency]],7,FALSE)</f>
        <v>RI</v>
      </c>
      <c r="CV88" s="934" t="str">
        <f>VLOOKUP(WWWW[[#This Row],[Site Name]],SiteDB6[[Site Name]:[Location Type 1]],9,FALSE)</f>
        <v>Camp</v>
      </c>
      <c r="CW88" s="934" t="str">
        <f>VLOOKUP(WWWW[[#This Row],[Site Name]],SiteDB6[[Site Name]:[Type of Accommodation]],10,FALSE)</f>
        <v>Planned Camp</v>
      </c>
      <c r="CX88" s="934" t="str">
        <f>VLOOKUP(WWWW[[#This Row],[Site Name]],SiteDB6[[Site Name]:[Ethnic or GCA/NGCA]],11,FALSE)</f>
        <v>Muslim</v>
      </c>
      <c r="CY88" s="934">
        <f>VLOOKUP(WWWW[[#This Row],[Site Name]],SiteDB6[[Site Name]:[Lat]],12,FALSE)</f>
        <v>20.037655000000001</v>
      </c>
      <c r="CZ88" s="934">
        <f>VLOOKUP(WWWW[[#This Row],[Site Name]],SiteDB6[[Site Name]:[Long]],13,FALSE)</f>
        <v>93.370037999999994</v>
      </c>
      <c r="DA88" s="934" t="str">
        <f>VLOOKUP(WWWW[[#This Row],[Site Name]],SiteDB6[[Site Name]:[Pcode]],3,FALSE)</f>
        <v>MMR012CMP014</v>
      </c>
      <c r="DB88" s="942" t="str">
        <f t="shared" si="4"/>
        <v>Covered</v>
      </c>
      <c r="DC88" s="477"/>
      <c r="DD88" s="477"/>
      <c r="DE88" s="477">
        <f>WWWW[[#This Row],['# of Male_People with disabilities]]+WWWW[[#This Row],['# of Female_People with disabilities]]</f>
        <v>0</v>
      </c>
      <c r="DF88" s="934"/>
      <c r="DG88" s="942"/>
      <c r="DH88" s="942"/>
      <c r="DI88" s="942"/>
      <c r="DJ88" s="942">
        <f>VLOOKUP(WWWW[[#This Row],[Site Name]],SiteDB6[[Site Name]:[Pop
(CCCM as of Autust 2021)]],16,FALSE)</f>
        <v>747</v>
      </c>
      <c r="DK88" s="942">
        <f>VLOOKUP(WWWW[[#This Row],[Site Name]],SiteDB6[[Site Name]:[Pop
(CCCM as of Autust 2021)]],17,FALSE)</f>
        <v>3495</v>
      </c>
    </row>
    <row r="89" spans="1:115">
      <c r="A89" s="932" t="s">
        <v>3146</v>
      </c>
      <c r="B89" s="932" t="s">
        <v>2270</v>
      </c>
      <c r="C89" s="933" t="s">
        <v>2270</v>
      </c>
      <c r="D89" s="933" t="s">
        <v>3222</v>
      </c>
      <c r="E89" s="845" t="s">
        <v>293</v>
      </c>
      <c r="F89" s="933" t="s">
        <v>294</v>
      </c>
      <c r="G89" s="898" t="s">
        <v>43</v>
      </c>
      <c r="H89" s="933" t="s">
        <v>421</v>
      </c>
      <c r="I89" s="935">
        <v>2038</v>
      </c>
      <c r="J89" s="935">
        <v>12972</v>
      </c>
      <c r="K89" s="684">
        <f>WWWW[[#This Row],[Total PoP ]]/WWWW[[#This Row],[Total HH]]</f>
        <v>6.3650637880274781</v>
      </c>
      <c r="L89" s="907">
        <v>44835</v>
      </c>
      <c r="M89" s="908">
        <v>45016</v>
      </c>
      <c r="N89" s="500">
        <v>1027</v>
      </c>
      <c r="O89" s="500">
        <v>32</v>
      </c>
      <c r="P89" s="500">
        <v>40</v>
      </c>
      <c r="Q89" s="500"/>
      <c r="R89" s="500"/>
      <c r="S89" s="500"/>
      <c r="T89" s="500"/>
      <c r="U89" s="500">
        <v>2</v>
      </c>
      <c r="V89" s="450">
        <v>0.5</v>
      </c>
      <c r="W89" s="500">
        <v>2</v>
      </c>
      <c r="X89" s="450">
        <v>0</v>
      </c>
      <c r="Y89" s="500">
        <v>1128</v>
      </c>
      <c r="Z89" s="500"/>
      <c r="AA89" s="500"/>
      <c r="AB89" s="909"/>
      <c r="AC89" s="500">
        <v>221</v>
      </c>
      <c r="AD89" s="500">
        <v>253</v>
      </c>
      <c r="AE89" s="500">
        <v>90</v>
      </c>
      <c r="AF89" s="500">
        <v>180</v>
      </c>
      <c r="AG89" s="450">
        <v>1</v>
      </c>
      <c r="AH89" s="450">
        <v>0.83</v>
      </c>
      <c r="AI89" s="450">
        <v>0.47</v>
      </c>
      <c r="AJ89" s="500"/>
      <c r="AK89" s="500">
        <v>913</v>
      </c>
      <c r="AL89" s="500"/>
      <c r="AM89" s="500"/>
      <c r="AN89" s="500" t="s">
        <v>41</v>
      </c>
      <c r="AO89" s="538" t="s">
        <v>3224</v>
      </c>
      <c r="AP89" s="500">
        <v>8</v>
      </c>
      <c r="AQ89" s="500">
        <v>76</v>
      </c>
      <c r="AR89" s="500">
        <v>464</v>
      </c>
      <c r="AS89" s="500">
        <v>406</v>
      </c>
      <c r="AT89" s="500">
        <v>1123</v>
      </c>
      <c r="AU89" s="500">
        <v>3339</v>
      </c>
      <c r="AV89" s="450">
        <v>1</v>
      </c>
      <c r="AW89" s="450">
        <v>1</v>
      </c>
      <c r="AX89" s="451"/>
      <c r="AY89" s="538" t="s">
        <v>3224</v>
      </c>
      <c r="AZ89" s="450">
        <v>1</v>
      </c>
      <c r="BA89" s="450">
        <v>1</v>
      </c>
      <c r="BB89" s="450">
        <v>1</v>
      </c>
      <c r="BC89" s="450">
        <v>0.9</v>
      </c>
      <c r="BD89" s="450"/>
      <c r="BE89" s="500">
        <v>90</v>
      </c>
      <c r="BF89" s="500">
        <v>0</v>
      </c>
      <c r="BG89" s="500">
        <v>20</v>
      </c>
      <c r="BH89" s="500"/>
      <c r="BI89" s="500"/>
      <c r="BJ89" s="500"/>
      <c r="BK89" s="500"/>
      <c r="BL89" s="937" t="str">
        <f>IF(WWWW[[#This Row],['#_Water samples_Tested_at_water_source]]="","no test","Tested")</f>
        <v>Tested</v>
      </c>
      <c r="BM89" s="937" t="str">
        <f>IF(WWWW[[#This Row],['#_Water samples_Tested_at_HH]]="","no test","Tested")</f>
        <v>Tested</v>
      </c>
      <c r="BN89" s="938" t="str">
        <f>IF(AND(WWWW[[#This Row],[Water_testing_at source]]="no test",WWWW[[#This Row],[Water_testing_at HH]]="no test"),"No Test","Tested")</f>
        <v>Tested</v>
      </c>
      <c r="BO89"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0.6167129201356768</v>
      </c>
      <c r="BP89" s="939">
        <f>WWWW[[#This Row],[% HRP1]]*WWWW[[#This Row],[Total PoP ]]</f>
        <v>7999.9999999999991</v>
      </c>
      <c r="BQ89" s="940">
        <f>WWWW[[#This Row],[HRP1]]/500</f>
        <v>15.999999999999998</v>
      </c>
      <c r="BR89" s="941">
        <f>1-WWWW[[#This Row],[% HRP1]]</f>
        <v>0.3832870798643232</v>
      </c>
      <c r="BS89" s="940">
        <f>WWWW[[#This Row],[%equitable and continuous access to sufficient quantity of safe drinking and domestic water''s GAP]]*WWWW[[#This Row],[Total PoP ]]</f>
        <v>4972.0000000000009</v>
      </c>
      <c r="BT89" s="451">
        <f>ROUND(IF(WWWW[[#This Row],[Total PoP ]]&lt;500,1,WWWW[[#This Row],[Total PoP ]]/500),0)</f>
        <v>26</v>
      </c>
      <c r="BU89" s="938">
        <f>IF(WWWW[[#This Row],[Total required water points]]-WWWW[[#This Row],['#Water points coverage]]&lt;0,0,WWWW[[#This Row],[Total required water points]]-WWWW[[#This Row],['#Water points coverage]])</f>
        <v>10.000000000000002</v>
      </c>
      <c r="BV89" s="452">
        <f>WWWW[[#This Row],[HRP2]]/WWWW[[#This Row],[Total PoP ]]</f>
        <v>0.41111625038544558</v>
      </c>
      <c r="BW89"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5333</v>
      </c>
      <c r="BX89" s="455">
        <f>IF(WWWW[[#This Row],['#_Functional_adult_latrines]]="","",WWWW[[#This Row],[Total PoP ]]/WWWW[[#This Row],['#_Functional_adult_latrines]])</f>
        <v>58.696832579185518</v>
      </c>
      <c r="BY89" s="938">
        <f>WWWW[[#This Row],['#_of_latrines_in_TLS/CFS]]*50</f>
        <v>0</v>
      </c>
      <c r="BZ89" s="451">
        <f>IF(WWWW[[#This Row],['#_of_latrines_in_THF]]="",0,WWWW[[#This Row],['#_of_latrines_in_THF]]*50)</f>
        <v>0</v>
      </c>
      <c r="CA89" s="938">
        <f>ROUND(IF(WWWW[[#This Row],[Location Type 1]]="camp",WWWW[[#This Row],[Total PoP ]]/20),0)</f>
        <v>649</v>
      </c>
      <c r="CB89" s="938">
        <f>IF(WWWW[[#This Row],[Total required Latrines]]-WWWW[[#This Row],['#_Existing_latrines]]&lt;0,0,WWWW[[#This Row],[Total required Latrines]]-WWWW[[#This Row],['#_Existing_latrines]])</f>
        <v>396</v>
      </c>
      <c r="CC89" s="941">
        <f>1-WWWW[[#This Row],[% HRP2]]</f>
        <v>0.58888374961455447</v>
      </c>
      <c r="CD89" s="937">
        <f>IF(WWWW[[#This Row],['#_Existing_latrines]]="","NA",(WWWW[[#This Row],['#_Existing_latrines]]-WWWW[[#This Row],['#_Functional_adult_latrines]])/WWWW[[#This Row],['#_Existing_latrines]])</f>
        <v>0.12648221343873517</v>
      </c>
      <c r="CE89"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954</v>
      </c>
      <c r="CF89" s="940">
        <f>SUM(WWWW[[#This Row],[_'#_of_Men_receiving_consultation_hygiene_promotion_messages_and_sessions]:[_'#_of_Girls_receiving_consultation_hygiene_promotion_messages_and_sessions]])-WWWW[[#This Row],['# people reached by regular dedicated hygiene promotion_5]]</f>
        <v>0</v>
      </c>
      <c r="CG89"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7147.9666339548576</v>
      </c>
      <c r="CH89" s="938">
        <f>IF(WWWW[[#This Row],['#_of_affected_women_and_girls_receiving_a_sufficient_quantity_of_sanitary_pads]]&gt;WWWW[[#This Row],[Total PoP ]],WWWW[[#This Row],[Total PoP ]],WWWW[[#This Row],['#_of_affected_women_and_girls_receiving_a_sufficient_quantity_of_sanitary_pads]])</f>
        <v>3339</v>
      </c>
      <c r="CI89" s="938">
        <f>IF(WWWW[[#This Row],['# People with access to soap]]&gt;WWWW[[#This Row],['# People with access to Sanity Pads]],WWWW[[#This Row],['# People with access to soap]],WWWW[[#This Row],['# People with access to Sanity Pads]])</f>
        <v>7147.9666339548576</v>
      </c>
      <c r="CJ89" s="938">
        <f>IF(WWWW[[#This Row],['# people reached by regular dedicated hygiene promotion_5]]&gt;WWWW[[#This Row],['# People received regular supply of hygiene items_6]],WWWW[[#This Row],['# people reached by regular dedicated hygiene promotion_5]],WWWW[[#This Row],['# People received regular supply of hygiene items_6]])</f>
        <v>7147.9666339548576</v>
      </c>
      <c r="CK89" s="941">
        <f>IF(WWWW[[#This Row],[HRP3]]/WWWW[[#This Row],[Total PoP ]]&gt;100%,100%,WWWW[[#This Row],[HRP3]]/WWWW[[#This Row],[Total PoP ]])</f>
        <v>0.55103042198233565</v>
      </c>
      <c r="CL89" s="937">
        <f>1-WWWW[[#This Row],[Hygiene Coverage%]]</f>
        <v>0.44896957801766435</v>
      </c>
      <c r="CM89" s="936">
        <f>WWWW[[#This Row],['# people reached by regular dedicated hygiene promotion_5]]/WWWW[[#This Row],[Total PoP ]]</f>
        <v>7.3543015726179467E-2</v>
      </c>
      <c r="CN89" s="937">
        <f>IF(WWWW[[#This Row],['#_of_affected_households_receiving_a_sufficient_quantity_of_soap]]/WWWW[[#This Row],[Total HH]]&gt;1,1,WWWW[[#This Row],['#_of_affected_households_receiving_a_sufficient_quantity_of_soap]]/WWWW[[#This Row],[Total HH]])</f>
        <v>0.55103042198233565</v>
      </c>
      <c r="CO89" s="455" t="str">
        <f>IF(WWWW[[#This Row],['#_students at TLS_CFS]]="","No","Yes")</f>
        <v>Yes</v>
      </c>
      <c r="CP89" s="452">
        <f>WWWW[[#This Row],[%_of_affected_people_surveyed_who_report_feeling_informed_about_the_different_WASH_services_available_to_them]]</f>
        <v>1</v>
      </c>
      <c r="CQ8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110</v>
      </c>
      <c r="CR89" s="500">
        <f>IF(WWWW[[#This Row],['#_PPL_accessed_water_in_TLS]]&gt;WWWW[[#This Row],['# students access to functioning school latrines_HRP5]],WWWW[[#This Row],['#_PPL_accessed_water_in_TLS]],WWWW[[#This Row],['# students access to functioning school latrines_HRP5]])</f>
        <v>0</v>
      </c>
      <c r="CS89" s="500">
        <f>IF(WWWW[[#This Row],['#_PPL_accessed_water_in_THF]]&gt;WWWW[[#This Row],['# people access to functioning latrines in THF_HRP6]],WWWW[[#This Row],['#_PPL_accessed_water_in_THF]],WWWW[[#This Row],['# people access to functioning latrines in THF_HRP6]])</f>
        <v>0</v>
      </c>
      <c r="CT89" s="934" t="str">
        <f>VLOOKUP(WWWW[[#This Row],[Site Name]],SiteDB6[[Site Name]:[CCCM Management]],6,FALSE)</f>
        <v>Yes</v>
      </c>
      <c r="CU89" s="934">
        <f>VLOOKUP(WWWW[[#This Row],[Site Name]],SiteDB6[[Site Name]:[CCCM Focal Agency]],7,FALSE)</f>
        <v>0</v>
      </c>
      <c r="CV89" s="934" t="str">
        <f>VLOOKUP(WWWW[[#This Row],[Site Name]],SiteDB6[[Site Name]:[Location Type 1]],9,FALSE)</f>
        <v>Camp</v>
      </c>
      <c r="CW89" s="934" t="str">
        <f>VLOOKUP(WWWW[[#This Row],[Site Name]],SiteDB6[[Site Name]:[Type of Accommodation]],10,FALSE)</f>
        <v>Self Settled Camp</v>
      </c>
      <c r="CX89" s="934" t="str">
        <f>VLOOKUP(WWWW[[#This Row],[Site Name]],SiteDB6[[Site Name]:[Ethnic or GCA/NGCA]],11,FALSE)</f>
        <v>Muslim</v>
      </c>
      <c r="CY89" s="934">
        <f>VLOOKUP(WWWW[[#This Row],[Site Name]],SiteDB6[[Site Name]:[Lat]],12,FALSE)</f>
        <v>20.1585</v>
      </c>
      <c r="CZ89" s="934">
        <f>VLOOKUP(WWWW[[#This Row],[Site Name]],SiteDB6[[Site Name]:[Long]],13,FALSE)</f>
        <v>92.839416999999997</v>
      </c>
      <c r="DA89" s="934" t="str">
        <f>VLOOKUP(WWWW[[#This Row],[Site Name]],SiteDB6[[Site Name]:[Pcode]],3,FALSE)</f>
        <v>MMR012CMP046</v>
      </c>
      <c r="DB89" s="942" t="str">
        <f t="shared" si="4"/>
        <v>Covered</v>
      </c>
      <c r="DC89" s="477"/>
      <c r="DD89" s="477"/>
      <c r="DE89" s="477">
        <f>WWWW[[#This Row],['# of Male_People with disabilities]]+WWWW[[#This Row],['# of Female_People with disabilities]]</f>
        <v>0</v>
      </c>
      <c r="DF89" s="934"/>
      <c r="DG89" s="942"/>
      <c r="DH89" s="942"/>
      <c r="DI89" s="942"/>
      <c r="DJ89" s="942">
        <f>VLOOKUP(WWWW[[#This Row],[Site Name]],SiteDB6[[Site Name]:[Pop
(CCCM as of Autust 2021)]],16,FALSE)</f>
        <v>2062</v>
      </c>
      <c r="DK89" s="942">
        <f>VLOOKUP(WWWW[[#This Row],[Site Name]],SiteDB6[[Site Name]:[Pop
(CCCM as of Autust 2021)]],17,FALSE)</f>
        <v>12522</v>
      </c>
    </row>
    <row r="90" spans="1:115">
      <c r="A90" s="932" t="s">
        <v>3146</v>
      </c>
      <c r="B90" s="932" t="s">
        <v>2620</v>
      </c>
      <c r="C90" s="933" t="s">
        <v>2620</v>
      </c>
      <c r="D90" s="933" t="s">
        <v>3184</v>
      </c>
      <c r="E90" s="845" t="s">
        <v>293</v>
      </c>
      <c r="F90" s="933" t="s">
        <v>294</v>
      </c>
      <c r="G90" s="898" t="s">
        <v>43</v>
      </c>
      <c r="H90" s="933" t="s">
        <v>425</v>
      </c>
      <c r="I90" s="935">
        <v>1013</v>
      </c>
      <c r="J90" s="935">
        <v>5950</v>
      </c>
      <c r="K90" s="684">
        <f>WWWW[[#This Row],[Total PoP ]]/WWWW[[#This Row],[Total HH]]</f>
        <v>5.8736426456071076</v>
      </c>
      <c r="L90" s="907">
        <v>44652</v>
      </c>
      <c r="M90" s="908">
        <v>44834</v>
      </c>
      <c r="N90" s="500">
        <v>742</v>
      </c>
      <c r="O90" s="500">
        <v>62</v>
      </c>
      <c r="P90" s="500">
        <v>69</v>
      </c>
      <c r="Q90" s="500"/>
      <c r="R90" s="500"/>
      <c r="S90" s="500"/>
      <c r="T90" s="500"/>
      <c r="U90" s="500">
        <v>6</v>
      </c>
      <c r="V90" s="450">
        <v>0.67</v>
      </c>
      <c r="W90" s="500"/>
      <c r="X90" s="450"/>
      <c r="Y90" s="500"/>
      <c r="Z90" s="500"/>
      <c r="AA90" s="500"/>
      <c r="AB90" s="909"/>
      <c r="AC90" s="500">
        <v>202</v>
      </c>
      <c r="AD90" s="500">
        <v>317</v>
      </c>
      <c r="AE90" s="500"/>
      <c r="AF90" s="500"/>
      <c r="AG90" s="450"/>
      <c r="AH90" s="450"/>
      <c r="AI90" s="450"/>
      <c r="AJ90" s="500"/>
      <c r="AK90" s="500">
        <v>38</v>
      </c>
      <c r="AL90" s="500">
        <v>7</v>
      </c>
      <c r="AM90" s="500"/>
      <c r="AN90" s="500" t="s">
        <v>41</v>
      </c>
      <c r="AO90" s="538"/>
      <c r="AP90" s="500">
        <v>610</v>
      </c>
      <c r="AQ90" s="500">
        <v>1322</v>
      </c>
      <c r="AR90" s="500">
        <v>2285</v>
      </c>
      <c r="AS90" s="500">
        <v>2184</v>
      </c>
      <c r="AT90" s="500">
        <v>1312</v>
      </c>
      <c r="AU90" s="500">
        <v>3872</v>
      </c>
      <c r="AV90" s="450">
        <v>0.6</v>
      </c>
      <c r="AW90" s="450">
        <v>1</v>
      </c>
      <c r="AX90" s="451">
        <v>0</v>
      </c>
      <c r="AY90" s="910"/>
      <c r="AZ90" s="450">
        <v>0.62</v>
      </c>
      <c r="BA90" s="450">
        <v>0.83</v>
      </c>
      <c r="BB90" s="450">
        <v>0.96</v>
      </c>
      <c r="BC90" s="450">
        <v>0.8</v>
      </c>
      <c r="BD90" s="450"/>
      <c r="BE90" s="500">
        <v>130</v>
      </c>
      <c r="BF90" s="500"/>
      <c r="BG90" s="500"/>
      <c r="BH90" s="500"/>
      <c r="BI90" s="500"/>
      <c r="BJ90" s="500"/>
      <c r="BK90" s="500"/>
      <c r="BL90" s="937" t="str">
        <f>IF(WWWW[[#This Row],['#_Water samples_Tested_at_water_source]]="","no test","Tested")</f>
        <v>Tested</v>
      </c>
      <c r="BM90" s="937" t="str">
        <f>IF(WWWW[[#This Row],['#_Water samples_Tested_at_HH]]="","no test","Tested")</f>
        <v>no test</v>
      </c>
      <c r="BN90" s="938" t="str">
        <f>IF(AND(WWWW[[#This Row],[Water_testing_at source]]="no test",WWWW[[#This Row],[Water_testing_at HH]]="no test"),"No Test","Tested")</f>
        <v>Tested</v>
      </c>
      <c r="BO90" s="93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90" s="939">
        <f>WWWW[[#This Row],[% HRP1]]*WWWW[[#This Row],[Total PoP ]]</f>
        <v>5950</v>
      </c>
      <c r="BQ90" s="940">
        <f>WWWW[[#This Row],[HRP1]]/500</f>
        <v>11.9</v>
      </c>
      <c r="BR90" s="941">
        <f>1-WWWW[[#This Row],[% HRP1]]</f>
        <v>0</v>
      </c>
      <c r="BS90" s="940">
        <f>WWWW[[#This Row],[%equitable and continuous access to sufficient quantity of safe drinking and domestic water''s GAP]]*WWWW[[#This Row],[Total PoP ]]</f>
        <v>0</v>
      </c>
      <c r="BT90" s="451">
        <f>ROUND(IF(WWWW[[#This Row],[Total PoP ]]&lt;500,1,WWWW[[#This Row],[Total PoP ]]/500),0)</f>
        <v>12</v>
      </c>
      <c r="BU90" s="938">
        <f>IF(WWWW[[#This Row],[Total required water points]]-WWWW[[#This Row],['#Water points coverage]]&lt;0,0,WWWW[[#This Row],[Total required water points]]-WWWW[[#This Row],['#Water points coverage]])</f>
        <v>9.9999999999999645E-2</v>
      </c>
      <c r="BV90" s="452">
        <f>WWWW[[#This Row],[HRP2]]/WWWW[[#This Row],[Total PoP ]]</f>
        <v>0.68537815126050416</v>
      </c>
      <c r="BW90" s="94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4078</v>
      </c>
      <c r="BX90" s="455">
        <f>IF(WWWW[[#This Row],['#_Functional_adult_latrines]]="","",WWWW[[#This Row],[Total PoP ]]/WWWW[[#This Row],['#_Functional_adult_latrines]])</f>
        <v>29.455445544554454</v>
      </c>
      <c r="BY90" s="938">
        <f>WWWW[[#This Row],['#_of_latrines_in_TLS/CFS]]*50</f>
        <v>350</v>
      </c>
      <c r="BZ90" s="451">
        <f>IF(WWWW[[#This Row],['#_of_latrines_in_THF]]="",0,WWWW[[#This Row],['#_of_latrines_in_THF]]*50)</f>
        <v>0</v>
      </c>
      <c r="CA90" s="938">
        <f>ROUND(IF(WWWW[[#This Row],[Location Type 1]]="camp",WWWW[[#This Row],[Total PoP ]]/20),0)</f>
        <v>298</v>
      </c>
      <c r="CB90" s="938">
        <f>IF(WWWW[[#This Row],[Total required Latrines]]-WWWW[[#This Row],['#_Existing_latrines]]&lt;0,0,WWWW[[#This Row],[Total required Latrines]]-WWWW[[#This Row],['#_Existing_latrines]])</f>
        <v>0</v>
      </c>
      <c r="CC90" s="941">
        <f>1-WWWW[[#This Row],[% HRP2]]</f>
        <v>0.31462184873949584</v>
      </c>
      <c r="CD90" s="937">
        <f>IF(WWWW[[#This Row],['#_Existing_latrines]]="","NA",(WWWW[[#This Row],['#_Existing_latrines]]-WWWW[[#This Row],['#_Functional_adult_latrines]])/WWWW[[#This Row],['#_Existing_latrines]])</f>
        <v>0.36277602523659308</v>
      </c>
      <c r="CE90" s="94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5950</v>
      </c>
      <c r="CF90" s="940">
        <f>SUM(WWWW[[#This Row],[_'#_of_Men_receiving_consultation_hygiene_promotion_messages_and_sessions]:[_'#_of_Girls_receiving_consultation_hygiene_promotion_messages_and_sessions]])-WWWW[[#This Row],['# people reached by regular dedicated hygiene promotion_5]]</f>
        <v>451</v>
      </c>
      <c r="CG90" s="93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H90" s="938">
        <f>IF(WWWW[[#This Row],['#_of_affected_women_and_girls_receiving_a_sufficient_quantity_of_sanitary_pads]]&gt;WWWW[[#This Row],[Total PoP ]],WWWW[[#This Row],[Total PoP ]],WWWW[[#This Row],['#_of_affected_women_and_girls_receiving_a_sufficient_quantity_of_sanitary_pads]])</f>
        <v>3872</v>
      </c>
      <c r="CI90" s="938">
        <f>IF(WWWW[[#This Row],['# People with access to soap]]&gt;WWWW[[#This Row],['# People with access to Sanity Pads]],WWWW[[#This Row],['# People with access to soap]],WWWW[[#This Row],['# People with access to Sanity Pads]])</f>
        <v>5950</v>
      </c>
      <c r="CJ90" s="938">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K90" s="941">
        <f>IF(WWWW[[#This Row],[HRP3]]/WWWW[[#This Row],[Total PoP ]]&gt;100%,100%,WWWW[[#This Row],[HRP3]]/WWWW[[#This Row],[Total PoP ]])</f>
        <v>1</v>
      </c>
      <c r="CL90" s="937">
        <f>1-WWWW[[#This Row],[Hygiene Coverage%]]</f>
        <v>0</v>
      </c>
      <c r="CM90" s="936">
        <f>WWWW[[#This Row],['# people reached by regular dedicated hygiene promotion_5]]/WWWW[[#This Row],[Total PoP ]]</f>
        <v>1</v>
      </c>
      <c r="CN90" s="937">
        <f>IF(WWWW[[#This Row],['#_of_affected_households_receiving_a_sufficient_quantity_of_soap]]/WWWW[[#This Row],[Total HH]]&gt;1,1,WWWW[[#This Row],['#_of_affected_households_receiving_a_sufficient_quantity_of_soap]]/WWWW[[#This Row],[Total HH]])</f>
        <v>1</v>
      </c>
      <c r="CO90" s="455" t="str">
        <f>IF(WWWW[[#This Row],['#_students at TLS_CFS]]="","No","Yes")</f>
        <v>Yes</v>
      </c>
      <c r="CP90" s="452">
        <f>WWWW[[#This Row],[%_of_affected_people_surveyed_who_report_feeling_informed_about_the_different_WASH_services_available_to_them]]</f>
        <v>0.96</v>
      </c>
      <c r="CQ9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130</v>
      </c>
      <c r="CR90" s="500">
        <f>IF(WWWW[[#This Row],['#_PPL_accessed_water_in_TLS]]&gt;WWWW[[#This Row],['# students access to functioning school latrines_HRP5]],WWWW[[#This Row],['#_PPL_accessed_water_in_TLS]],WWWW[[#This Row],['# students access to functioning school latrines_HRP5]])</f>
        <v>350</v>
      </c>
      <c r="CS90" s="500">
        <f>IF(WWWW[[#This Row],['#_PPL_accessed_water_in_THF]]&gt;WWWW[[#This Row],['# people access to functioning latrines in THF_HRP6]],WWWW[[#This Row],['#_PPL_accessed_water_in_THF]],WWWW[[#This Row],['# people access to functioning latrines in THF_HRP6]])</f>
        <v>0</v>
      </c>
      <c r="CT90" s="934" t="str">
        <f>VLOOKUP(WWWW[[#This Row],[Site Name]],SiteDB6[[Site Name]:[CCCM Management]],6,FALSE)</f>
        <v>Yes</v>
      </c>
      <c r="CU90" s="934">
        <f>VLOOKUP(WWWW[[#This Row],[Site Name]],SiteDB6[[Site Name]:[CCCM Focal Agency]],7,FALSE)</f>
        <v>0</v>
      </c>
      <c r="CV90" s="934" t="str">
        <f>VLOOKUP(WWWW[[#This Row],[Site Name]],SiteDB6[[Site Name]:[Location Type 1]],9,FALSE)</f>
        <v>Camp</v>
      </c>
      <c r="CW90" s="934" t="str">
        <f>VLOOKUP(WWWW[[#This Row],[Site Name]],SiteDB6[[Site Name]:[Type of Accommodation]],10,FALSE)</f>
        <v>Planned Camp</v>
      </c>
      <c r="CX90" s="934" t="str">
        <f>VLOOKUP(WWWW[[#This Row],[Site Name]],SiteDB6[[Site Name]:[Ethnic or GCA/NGCA]],11,FALSE)</f>
        <v>Muslim</v>
      </c>
      <c r="CY90" s="934">
        <f>VLOOKUP(WWWW[[#This Row],[Site Name]],SiteDB6[[Site Name]:[Lat]],12,FALSE)</f>
        <v>20.179939999999998</v>
      </c>
      <c r="CZ90" s="934">
        <f>VLOOKUP(WWWW[[#This Row],[Site Name]],SiteDB6[[Site Name]:[Long]],13,FALSE)</f>
        <v>92.831879000000001</v>
      </c>
      <c r="DA90" s="934" t="str">
        <f>VLOOKUP(WWWW[[#This Row],[Site Name]],SiteDB6[[Site Name]:[Pcode]],3,FALSE)</f>
        <v>MMR012CMP048</v>
      </c>
      <c r="DB90" s="942" t="str">
        <f t="shared" si="4"/>
        <v>Covered</v>
      </c>
      <c r="DC90" s="477"/>
      <c r="DD90" s="477"/>
      <c r="DE90" s="477">
        <f>WWWW[[#This Row],['# of Male_People with disabilities]]+WWWW[[#This Row],['# of Female_People with disabilities]]</f>
        <v>0</v>
      </c>
      <c r="DF90" s="934"/>
      <c r="DG90" s="942"/>
      <c r="DH90" s="942"/>
      <c r="DI90" s="942"/>
      <c r="DJ90" s="942">
        <f>VLOOKUP(WWWW[[#This Row],[Site Name]],SiteDB6[[Site Name]:[Pop
(CCCM as of Autust 2021)]],16,FALSE)</f>
        <v>1019</v>
      </c>
      <c r="DK90" s="942">
        <f>VLOOKUP(WWWW[[#This Row],[Site Name]],SiteDB6[[Site Name]:[Pop
(CCCM as of Autust 2021)]],17,FALSE)</f>
        <v>6906</v>
      </c>
    </row>
    <row r="93" spans="1:115">
      <c r="AG93" s="31"/>
    </row>
    <row r="94" spans="1:115">
      <c r="AG94" s="31"/>
    </row>
  </sheetData>
  <mergeCells count="20">
    <mergeCell ref="B1:D1"/>
    <mergeCell ref="E1:H1"/>
    <mergeCell ref="BY2:BY3"/>
    <mergeCell ref="BW2:BW3"/>
    <mergeCell ref="BR2:BS3"/>
    <mergeCell ref="BT2:BU2"/>
    <mergeCell ref="DJ5:DK5"/>
    <mergeCell ref="DG4:DI4"/>
    <mergeCell ref="CD2:CD3"/>
    <mergeCell ref="CA2:CA3"/>
    <mergeCell ref="CB2:CC3"/>
    <mergeCell ref="BL5:BN5"/>
    <mergeCell ref="BR5:BS5"/>
    <mergeCell ref="L1:M1"/>
    <mergeCell ref="BL2:BN3"/>
    <mergeCell ref="BO2:BO3"/>
    <mergeCell ref="BP2:BP3"/>
    <mergeCell ref="BE1:BG1"/>
    <mergeCell ref="AZ1:BC1"/>
    <mergeCell ref="BQ2:BQ3"/>
  </mergeCells>
  <phoneticPr fontId="150" type="noConversion"/>
  <conditionalFormatting sqref="CL2 CE2:CF2">
    <cfRule type="iconSet" priority="196">
      <iconSet reverse="1">
        <cfvo type="percent" val="0"/>
        <cfvo type="percent" val="0" gte="0"/>
        <cfvo type="percent" val="30"/>
      </iconSet>
    </cfRule>
  </conditionalFormatting>
  <conditionalFormatting sqref="CE5:CF5">
    <cfRule type="iconSet" priority="44">
      <iconSet reverse="1">
        <cfvo type="percent" val="0"/>
        <cfvo type="percent" val="0" gte="0"/>
        <cfvo type="percent" val="30"/>
      </iconSet>
    </cfRule>
  </conditionalFormatting>
  <conditionalFormatting sqref="CL4">
    <cfRule type="iconSet" priority="41">
      <iconSet reverse="1">
        <cfvo type="percent" val="0"/>
        <cfvo type="percent" val="0" gte="0"/>
        <cfvo type="percent" val="30"/>
      </iconSet>
    </cfRule>
  </conditionalFormatting>
  <conditionalFormatting sqref="BR4">
    <cfRule type="iconSet" priority="43">
      <iconSet reverse="1">
        <cfvo type="percent" val="0"/>
        <cfvo type="percent" val="0" gte="0"/>
        <cfvo type="percent" val="30"/>
      </iconSet>
    </cfRule>
  </conditionalFormatting>
  <conditionalFormatting sqref="CC4">
    <cfRule type="iconSet" priority="11732">
      <iconSet reverse="1">
        <cfvo type="percent" val="0"/>
        <cfvo type="percent" val="0" gte="0"/>
        <cfvo type="percent" val="30"/>
      </iconSet>
    </cfRule>
  </conditionalFormatting>
  <conditionalFormatting sqref="CD5 BY5:BZ5">
    <cfRule type="iconSet" priority="11752">
      <iconSet reverse="1">
        <cfvo type="percent" val="0"/>
        <cfvo type="percent" val="0" gte="0"/>
        <cfvo type="percent" val="10"/>
      </iconSet>
    </cfRule>
  </conditionalFormatting>
  <conditionalFormatting sqref="BS4">
    <cfRule type="iconSet" priority="34">
      <iconSet reverse="1">
        <cfvo type="percent" val="0"/>
        <cfvo type="percent" val="0" gte="0"/>
        <cfvo type="percent" val="30"/>
      </iconSet>
    </cfRule>
  </conditionalFormatting>
  <conditionalFormatting sqref="BT4">
    <cfRule type="iconSet" priority="30">
      <iconSet reverse="1">
        <cfvo type="percent" val="0"/>
        <cfvo type="percent" val="0" gte="0"/>
        <cfvo type="percent" val="30"/>
      </iconSet>
    </cfRule>
  </conditionalFormatting>
  <conditionalFormatting sqref="CL3">
    <cfRule type="iconSet" priority="12241">
      <iconSet reverse="1">
        <cfvo type="percent" val="0"/>
        <cfvo type="percent" val="0" gte="0"/>
        <cfvo type="percent" val="30"/>
      </iconSet>
    </cfRule>
  </conditionalFormatting>
  <conditionalFormatting sqref="DN7:DN1048576">
    <cfRule type="iconSet" priority="12285">
      <iconSet reverse="1">
        <cfvo type="percent" val="0"/>
        <cfvo type="percent" val="0" gte="0"/>
        <cfvo type="percent" val="30"/>
      </iconSet>
    </cfRule>
  </conditionalFormatting>
  <conditionalFormatting sqref="BU4">
    <cfRule type="iconSet" priority="12460">
      <iconSet reverse="1">
        <cfvo type="percent" val="0"/>
        <cfvo type="percent" val="0" gte="0"/>
        <cfvo type="percent" val="30"/>
      </iconSet>
    </cfRule>
  </conditionalFormatting>
  <conditionalFormatting sqref="BR7:BR90">
    <cfRule type="iconSet" priority="12624">
      <iconSet reverse="1">
        <cfvo type="percent" val="0"/>
        <cfvo type="num" val="0" gte="0"/>
        <cfvo type="num" val="0.3"/>
      </iconSet>
    </cfRule>
  </conditionalFormatting>
  <conditionalFormatting sqref="CC7:CC90">
    <cfRule type="iconSet" priority="12626">
      <iconSet reverse="1">
        <cfvo type="percent" val="0"/>
        <cfvo type="num" val="0" gte="0"/>
        <cfvo type="num" val="0.3"/>
      </iconSet>
    </cfRule>
  </conditionalFormatting>
  <conditionalFormatting sqref="CL7:CL90">
    <cfRule type="iconSet" priority="12628">
      <iconSet reverse="1">
        <cfvo type="percent" val="0"/>
        <cfvo type="num" val="0" gte="0"/>
        <cfvo type="num" val="0.3"/>
      </iconSet>
    </cfRule>
  </conditionalFormatting>
  <dataValidations count="7">
    <dataValidation type="list" allowBlank="1" showInputMessage="1" showErrorMessage="1" sqref="E7:E90" xr:uid="{C2D5BC16-667D-40AF-86C5-33FBB3A67832}">
      <formula1>"Kachin, Rakhine, Shan (North)"</formula1>
    </dataValidation>
    <dataValidation type="list" allowBlank="1" showInputMessage="1" showErrorMessage="1" sqref="F7:F90" xr:uid="{00000000-0002-0000-0200-00000B000000}">
      <formula1>OFFSET(Statestart_1,MATCH(E7, State_list, 0), 1,COUNTIF(State_list,E7),1)</formula1>
    </dataValidation>
    <dataValidation type="list" allowBlank="1" showInputMessage="1" showErrorMessage="1" sqref="H7:H90" xr:uid="{0421B108-C2E1-4520-AC78-3A68D881D6E4}">
      <formula1>OFFSET(Township_start,MATCH(F7,Township_list, 0),1, COUNTIF(Township_list,F7),1)</formula1>
    </dataValidation>
    <dataValidation type="list" allowBlank="1" showInputMessage="1" showErrorMessage="1" sqref="H91:H1048576 E91:F1048576 C91:C1048576" xr:uid="{00000000-0002-0000-0200-000000000000}">
      <formula1>#REF!</formula1>
    </dataValidation>
    <dataValidation type="list" allowBlank="1" showInputMessage="1" showErrorMessage="1" sqref="AN7:AN90" xr:uid="{00000000-0002-0000-0200-000003000000}">
      <formula1>"Yes,No"</formula1>
    </dataValidation>
    <dataValidation type="whole" operator="lessThan" allowBlank="1" showInputMessage="1" showErrorMessage="1" sqref="N7:N90" xr:uid="{00000000-0002-0000-0200-000005000000}">
      <formula1>999999</formula1>
    </dataValidation>
    <dataValidation type="list" allowBlank="1" showInputMessage="1" showErrorMessage="1" sqref="DB7:DB90" xr:uid="{00000000-0002-0000-0200-000002000000}">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B7:B69 C7:C90</xm:sqref>
        </x14:dataValidation>
        <x14:dataValidation type="list" allowBlank="1" showInputMessage="1" showErrorMessage="1" xr:uid="{00000000-0002-0000-0200-00000E000000}">
          <x14:formula1>
            <xm:f>Lookup!$A$4:$A$15</xm:f>
          </x14:formula1>
          <xm:sqref>A7:A90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S296" activePane="bottomRight" state="frozen"/>
      <selection pane="topRight" activeCell="D1" sqref="D1"/>
      <selection pane="bottomLeft" activeCell="A296" sqref="A296"/>
      <selection pane="bottomRight" activeCell="W1117" sqref="W1117"/>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3081</v>
      </c>
      <c r="S2" s="66" t="s">
        <v>3082</v>
      </c>
      <c r="T2" s="90" t="s">
        <v>752</v>
      </c>
      <c r="U2" s="44" t="s">
        <v>35</v>
      </c>
      <c r="V2" s="17" t="s">
        <v>753</v>
      </c>
      <c r="W2" s="17" t="s">
        <v>2196</v>
      </c>
      <c r="X2" s="17" t="s">
        <v>2903</v>
      </c>
      <c r="Y2" s="17" t="s">
        <v>2904</v>
      </c>
      <c r="Z2" s="17" t="s">
        <v>2905</v>
      </c>
    </row>
    <row r="3" spans="1:26" s="67" customFormat="1" ht="14.25" hidden="1" customHeight="1">
      <c r="A3" s="354" t="s">
        <v>2624</v>
      </c>
      <c r="B3" s="167" t="s">
        <v>356</v>
      </c>
      <c r="C3" s="168" t="s">
        <v>2679</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2624</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2624</v>
      </c>
      <c r="B5" s="167" t="s">
        <v>356</v>
      </c>
      <c r="C5" s="168" t="s">
        <v>2523</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2624</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2624</v>
      </c>
      <c r="B7" s="350" t="s">
        <v>356</v>
      </c>
      <c r="C7" s="67" t="s">
        <v>2520</v>
      </c>
      <c r="D7" s="399"/>
      <c r="E7" s="67">
        <v>198475</v>
      </c>
      <c r="J7" s="67" t="s">
        <v>793</v>
      </c>
      <c r="K7" s="67" t="s">
        <v>793</v>
      </c>
      <c r="L7" s="163" t="s">
        <v>793</v>
      </c>
      <c r="M7" s="67" t="s">
        <v>293</v>
      </c>
      <c r="R7" s="85"/>
      <c r="S7" s="354"/>
      <c r="T7" s="91"/>
      <c r="U7" s="87"/>
      <c r="X7" s="454"/>
      <c r="Y7" s="454"/>
      <c r="Z7" s="454"/>
    </row>
    <row r="8" spans="1:26" s="67" customFormat="1" ht="11" hidden="1" customHeight="1">
      <c r="A8" s="354" t="s">
        <v>2624</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customHeight="1">
      <c r="A9" s="354" t="s">
        <v>2624</v>
      </c>
      <c r="B9" s="350" t="s">
        <v>356</v>
      </c>
      <c r="C9" s="67" t="s">
        <v>367</v>
      </c>
      <c r="D9" s="399" t="s">
        <v>3079</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2624</v>
      </c>
      <c r="B10" s="351" t="s">
        <v>356</v>
      </c>
      <c r="C10" s="351" t="s">
        <v>2522</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2624</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2624</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2624</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2624</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2624</v>
      </c>
      <c r="B15" s="351" t="s">
        <v>356</v>
      </c>
      <c r="C15" s="351" t="s">
        <v>2521</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2624</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2624</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2624</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2624</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2624</v>
      </c>
      <c r="B20" s="350" t="s">
        <v>301</v>
      </c>
      <c r="C20" s="67" t="s">
        <v>944</v>
      </c>
      <c r="D20" s="399" t="s">
        <v>2686</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2624</v>
      </c>
      <c r="B21" s="350" t="s">
        <v>301</v>
      </c>
      <c r="C21" s="350" t="s">
        <v>943</v>
      </c>
      <c r="D21" s="399" t="s">
        <v>2686</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2624</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2624</v>
      </c>
      <c r="B23" s="350" t="s">
        <v>301</v>
      </c>
      <c r="C23" s="350" t="s">
        <v>565</v>
      </c>
      <c r="D23" s="399" t="s">
        <v>2686</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2624</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2624</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2624</v>
      </c>
      <c r="B26" s="357" t="s">
        <v>301</v>
      </c>
      <c r="C26" s="358" t="s">
        <v>2735</v>
      </c>
      <c r="D26" s="352"/>
      <c r="E26" s="163">
        <v>196937</v>
      </c>
      <c r="J26" s="67" t="s">
        <v>2629</v>
      </c>
      <c r="K26" s="67" t="s">
        <v>2597</v>
      </c>
      <c r="L26" s="67" t="s">
        <v>2597</v>
      </c>
      <c r="N26" s="163">
        <v>20.64656067</v>
      </c>
      <c r="O26" s="163">
        <v>92.976043700000005</v>
      </c>
      <c r="R26" s="361"/>
      <c r="S26" s="354"/>
      <c r="T26" s="91">
        <v>43591</v>
      </c>
      <c r="U26" s="361"/>
      <c r="W26" s="353"/>
      <c r="X26" s="454"/>
      <c r="Y26" s="454"/>
      <c r="Z26" s="454"/>
    </row>
    <row r="27" spans="1:26" s="67" customFormat="1" ht="14.25" hidden="1" customHeight="1">
      <c r="A27" s="354" t="s">
        <v>2624</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2624</v>
      </c>
      <c r="B28" s="357" t="s">
        <v>301</v>
      </c>
      <c r="C28" s="358" t="s">
        <v>2736</v>
      </c>
      <c r="D28" s="352"/>
      <c r="E28" s="350">
        <v>196940</v>
      </c>
      <c r="F28" s="350"/>
      <c r="G28" s="350"/>
      <c r="H28" s="350"/>
      <c r="I28" s="350"/>
      <c r="J28" s="350" t="s">
        <v>2629</v>
      </c>
      <c r="K28" s="350" t="s">
        <v>2597</v>
      </c>
      <c r="L28" s="350" t="s">
        <v>2597</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2624</v>
      </c>
      <c r="B29" s="357" t="s">
        <v>301</v>
      </c>
      <c r="C29" s="358" t="s">
        <v>2734</v>
      </c>
      <c r="D29" s="352"/>
      <c r="E29" s="350">
        <v>196942</v>
      </c>
      <c r="F29" s="350"/>
      <c r="G29" s="350"/>
      <c r="H29" s="350"/>
      <c r="I29" s="350"/>
      <c r="J29" s="67" t="s">
        <v>2629</v>
      </c>
      <c r="K29" s="67" t="s">
        <v>2597</v>
      </c>
      <c r="L29" s="67" t="s">
        <v>2597</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2624</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2624</v>
      </c>
      <c r="B31" s="357" t="s">
        <v>301</v>
      </c>
      <c r="C31" s="358" t="s">
        <v>2731</v>
      </c>
      <c r="D31" s="352"/>
      <c r="E31" s="350">
        <v>196943</v>
      </c>
      <c r="F31" s="350"/>
      <c r="G31" s="350"/>
      <c r="H31" s="350"/>
      <c r="I31" s="350"/>
      <c r="J31" s="350" t="s">
        <v>2629</v>
      </c>
      <c r="K31" s="350" t="s">
        <v>2597</v>
      </c>
      <c r="L31" s="350" t="s">
        <v>2597</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2624</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2624</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2624</v>
      </c>
      <c r="B34" s="350" t="s">
        <v>301</v>
      </c>
      <c r="C34" s="350" t="s">
        <v>555</v>
      </c>
      <c r="D34" s="399" t="s">
        <v>2686</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2624</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2624</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2624</v>
      </c>
      <c r="B37" s="357" t="s">
        <v>301</v>
      </c>
      <c r="C37" s="358" t="s">
        <v>2730</v>
      </c>
      <c r="D37" s="352"/>
      <c r="F37" s="350"/>
      <c r="J37" s="67" t="s">
        <v>2629</v>
      </c>
      <c r="K37" s="67" t="s">
        <v>2597</v>
      </c>
      <c r="L37" s="67" t="s">
        <v>2597</v>
      </c>
      <c r="R37" s="361"/>
      <c r="S37" s="354"/>
      <c r="T37" s="91">
        <v>43591</v>
      </c>
      <c r="U37" s="361"/>
      <c r="W37" s="353"/>
      <c r="X37" s="454"/>
      <c r="Y37" s="454"/>
      <c r="Z37" s="454"/>
    </row>
    <row r="38" spans="1:26" s="67" customFormat="1" ht="14.25" hidden="1" customHeight="1">
      <c r="A38" s="354" t="s">
        <v>2624</v>
      </c>
      <c r="B38" s="167" t="s">
        <v>301</v>
      </c>
      <c r="C38" s="168" t="s">
        <v>546</v>
      </c>
      <c r="D38" s="399" t="s">
        <v>2686</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2624</v>
      </c>
      <c r="B39" s="357" t="s">
        <v>301</v>
      </c>
      <c r="C39" s="358" t="s">
        <v>2693</v>
      </c>
      <c r="D39" s="352"/>
      <c r="E39" s="67">
        <v>196906</v>
      </c>
      <c r="J39" s="67" t="s">
        <v>2629</v>
      </c>
      <c r="K39" s="67" t="s">
        <v>2597</v>
      </c>
      <c r="L39" s="67" t="s">
        <v>2597</v>
      </c>
      <c r="N39" s="67">
        <v>20.680830001831101</v>
      </c>
      <c r="O39" s="67">
        <v>92.917633056640597</v>
      </c>
      <c r="R39" s="361"/>
      <c r="S39" s="354"/>
      <c r="T39" s="91">
        <v>43591</v>
      </c>
      <c r="U39" s="361"/>
      <c r="W39" s="353"/>
      <c r="X39" s="454"/>
      <c r="Y39" s="454"/>
      <c r="Z39" s="454"/>
    </row>
    <row r="40" spans="1:26" s="67" customFormat="1" ht="14.25" hidden="1" customHeight="1">
      <c r="A40" s="354" t="s">
        <v>2624</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2624</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2624</v>
      </c>
      <c r="B42" s="462" t="s">
        <v>301</v>
      </c>
      <c r="C42" s="463" t="s">
        <v>2781</v>
      </c>
      <c r="D42" s="457"/>
      <c r="E42" s="350"/>
      <c r="F42" s="350"/>
      <c r="G42" s="350"/>
      <c r="H42" s="350"/>
      <c r="I42" s="350"/>
      <c r="J42" s="350" t="s">
        <v>2629</v>
      </c>
      <c r="K42" s="350" t="s">
        <v>2597</v>
      </c>
      <c r="L42" s="350" t="s">
        <v>2597</v>
      </c>
      <c r="M42" s="350"/>
      <c r="N42" s="350"/>
      <c r="O42" s="350"/>
      <c r="P42" s="350"/>
      <c r="Q42" s="350"/>
      <c r="R42" s="466"/>
      <c r="S42" s="354"/>
      <c r="T42" s="373">
        <v>43591</v>
      </c>
      <c r="U42" s="466"/>
      <c r="V42" s="350"/>
      <c r="W42" s="458"/>
      <c r="X42" s="454"/>
      <c r="Y42" s="454"/>
      <c r="Z42" s="454"/>
    </row>
    <row r="43" spans="1:26" s="67" customFormat="1" ht="14.25" hidden="1" customHeight="1">
      <c r="A43" s="354" t="s">
        <v>2624</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2624</v>
      </c>
      <c r="B44" s="454" t="s">
        <v>301</v>
      </c>
      <c r="C44" s="454" t="s">
        <v>644</v>
      </c>
      <c r="D44" s="399" t="s">
        <v>2686</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2624</v>
      </c>
      <c r="B45" s="462" t="s">
        <v>301</v>
      </c>
      <c r="C45" s="463" t="s">
        <v>2737</v>
      </c>
      <c r="D45" s="457"/>
      <c r="E45" s="350">
        <v>196865</v>
      </c>
      <c r="F45" s="350"/>
      <c r="G45" s="350"/>
      <c r="H45" s="350"/>
      <c r="I45" s="350"/>
      <c r="J45" s="350" t="s">
        <v>2629</v>
      </c>
      <c r="K45" s="350" t="s">
        <v>2597</v>
      </c>
      <c r="L45" s="350" t="s">
        <v>2597</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2624</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2624</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2624</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2624</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2624</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2624</v>
      </c>
      <c r="B51" s="350" t="s">
        <v>301</v>
      </c>
      <c r="C51" s="350" t="s">
        <v>609</v>
      </c>
      <c r="D51" s="399" t="s">
        <v>2686</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2624</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2624</v>
      </c>
      <c r="B53" s="462" t="s">
        <v>301</v>
      </c>
      <c r="C53" s="463" t="s">
        <v>2732</v>
      </c>
      <c r="D53" s="457"/>
      <c r="E53" s="67" t="s">
        <v>2761</v>
      </c>
      <c r="J53" s="67" t="s">
        <v>2629</v>
      </c>
      <c r="K53" s="67" t="s">
        <v>2597</v>
      </c>
      <c r="L53" s="67" t="s">
        <v>2597</v>
      </c>
      <c r="R53" s="466"/>
      <c r="S53" s="354"/>
      <c r="T53" s="91">
        <v>43591</v>
      </c>
      <c r="U53" s="466"/>
      <c r="W53" s="458"/>
      <c r="X53" s="454"/>
      <c r="Y53" s="454"/>
      <c r="Z53" s="454"/>
    </row>
    <row r="54" spans="1:26" s="67" customFormat="1" ht="14.25" hidden="1" customHeight="1">
      <c r="A54" s="459" t="s">
        <v>2624</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2624</v>
      </c>
      <c r="B55" s="462" t="s">
        <v>301</v>
      </c>
      <c r="C55" s="463" t="s">
        <v>2729</v>
      </c>
      <c r="D55" s="352"/>
      <c r="E55" s="454">
        <v>220632</v>
      </c>
      <c r="F55" s="454"/>
      <c r="G55" s="454"/>
      <c r="H55" s="454"/>
      <c r="I55" s="454"/>
      <c r="J55" s="454" t="s">
        <v>2629</v>
      </c>
      <c r="K55" s="454" t="s">
        <v>2597</v>
      </c>
      <c r="L55" s="454" t="s">
        <v>2597</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2624</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2624</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2624</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customHeight="1">
      <c r="A59" s="459" t="s">
        <v>2624</v>
      </c>
      <c r="B59" s="454" t="s">
        <v>301</v>
      </c>
      <c r="C59" s="454" t="s">
        <v>938</v>
      </c>
      <c r="D59" s="399" t="s">
        <v>3079</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2624</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2624</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2624</v>
      </c>
      <c r="B62" s="357" t="s">
        <v>301</v>
      </c>
      <c r="C62" s="358" t="s">
        <v>2733</v>
      </c>
      <c r="D62" s="352"/>
      <c r="E62" s="67" t="s">
        <v>2762</v>
      </c>
      <c r="J62" s="67" t="s">
        <v>2629</v>
      </c>
      <c r="K62" s="67" t="s">
        <v>2597</v>
      </c>
      <c r="L62" s="67" t="s">
        <v>2597</v>
      </c>
      <c r="R62" s="361"/>
      <c r="S62" s="354"/>
      <c r="T62" s="91">
        <v>43591</v>
      </c>
      <c r="U62" s="361"/>
      <c r="W62" s="353"/>
      <c r="X62" s="454"/>
      <c r="Y62" s="454"/>
      <c r="Z62" s="454"/>
    </row>
    <row r="63" spans="1:26" s="67" customFormat="1" ht="14.25" hidden="1" customHeight="1">
      <c r="A63" s="354" t="s">
        <v>2624</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2624</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2624</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2624</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2624</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2624</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2624</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2624</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2624</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2624</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2624</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2624</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2624</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2624</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2624</v>
      </c>
      <c r="B77" s="357" t="s">
        <v>301</v>
      </c>
      <c r="C77" s="358" t="s">
        <v>592</v>
      </c>
      <c r="D77" s="399" t="s">
        <v>2686</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2624</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2624</v>
      </c>
      <c r="B79" s="357" t="s">
        <v>301</v>
      </c>
      <c r="C79" s="358" t="s">
        <v>945</v>
      </c>
      <c r="D79" s="399" t="s">
        <v>2686</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2624</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2624</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2624</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2624</v>
      </c>
      <c r="B83" s="357" t="s">
        <v>301</v>
      </c>
      <c r="C83" s="358" t="s">
        <v>2694</v>
      </c>
      <c r="D83" s="352"/>
      <c r="E83" s="67">
        <v>196911</v>
      </c>
      <c r="J83" s="67" t="s">
        <v>2629</v>
      </c>
      <c r="K83" s="67" t="s">
        <v>2597</v>
      </c>
      <c r="L83" s="67" t="s">
        <v>2597</v>
      </c>
      <c r="N83" s="67">
        <v>20.674160003662099</v>
      </c>
      <c r="O83" s="67">
        <v>92.9078369140625</v>
      </c>
      <c r="R83" s="361"/>
      <c r="S83" s="354"/>
      <c r="T83" s="91">
        <v>43591</v>
      </c>
      <c r="U83" s="361"/>
      <c r="W83" s="353"/>
      <c r="X83" s="454"/>
      <c r="Y83" s="454"/>
      <c r="Z83" s="454"/>
    </row>
    <row r="84" spans="1:26" s="67" customFormat="1" ht="14.25" hidden="1" customHeight="1">
      <c r="A84" s="354" t="s">
        <v>2624</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2624</v>
      </c>
      <c r="B85" s="167" t="s">
        <v>301</v>
      </c>
      <c r="C85" s="168" t="s">
        <v>2516</v>
      </c>
      <c r="D85" s="352"/>
      <c r="E85" s="163">
        <v>196673</v>
      </c>
      <c r="F85" s="163"/>
      <c r="G85" s="163"/>
      <c r="H85" s="163"/>
      <c r="I85" s="163"/>
      <c r="J85" s="67" t="s">
        <v>2629</v>
      </c>
      <c r="K85" s="67" t="s">
        <v>2597</v>
      </c>
      <c r="L85" s="163" t="s">
        <v>2597</v>
      </c>
      <c r="M85" s="163"/>
      <c r="N85" s="163"/>
      <c r="O85" s="163"/>
      <c r="P85" s="163"/>
      <c r="Q85" s="163"/>
      <c r="R85" s="164"/>
      <c r="S85" s="162"/>
      <c r="T85" s="165"/>
      <c r="U85" s="166"/>
      <c r="V85" s="163"/>
      <c r="W85" s="353"/>
      <c r="X85" s="454"/>
      <c r="Y85" s="454"/>
      <c r="Z85" s="454"/>
    </row>
    <row r="86" spans="1:26" s="67" customFormat="1" ht="14.25" hidden="1" customHeight="1">
      <c r="A86" s="354" t="s">
        <v>2624</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2624</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2624</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2624</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2624</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2624</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2624</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2624</v>
      </c>
      <c r="B93" s="351" t="s">
        <v>301</v>
      </c>
      <c r="C93" s="351" t="s">
        <v>2760</v>
      </c>
      <c r="D93" s="399"/>
      <c r="E93" s="67">
        <v>196923</v>
      </c>
      <c r="J93" s="67" t="s">
        <v>2629</v>
      </c>
      <c r="K93" s="67" t="s">
        <v>2597</v>
      </c>
      <c r="L93" s="67" t="s">
        <v>2597</v>
      </c>
      <c r="N93" s="67">
        <v>20.675489425659201</v>
      </c>
      <c r="O93" s="67">
        <v>92.916961669921903</v>
      </c>
      <c r="R93" s="85"/>
      <c r="S93" s="86"/>
      <c r="T93" s="91"/>
      <c r="U93" s="355"/>
      <c r="X93" s="454"/>
      <c r="Y93" s="454"/>
      <c r="Z93" s="454"/>
    </row>
    <row r="94" spans="1:26" s="67" customFormat="1" ht="14.25" hidden="1" customHeight="1">
      <c r="A94" s="354" t="s">
        <v>2624</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2624</v>
      </c>
      <c r="B95" s="357" t="s">
        <v>301</v>
      </c>
      <c r="C95" s="358" t="s">
        <v>572</v>
      </c>
      <c r="D95" s="399" t="s">
        <v>2686</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2624</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2624</v>
      </c>
      <c r="B97" s="357" t="s">
        <v>301</v>
      </c>
      <c r="C97" s="358" t="s">
        <v>2738</v>
      </c>
      <c r="D97" s="352"/>
      <c r="E97" s="67">
        <v>196981</v>
      </c>
      <c r="J97" s="67" t="s">
        <v>2629</v>
      </c>
      <c r="K97" s="350" t="s">
        <v>2597</v>
      </c>
      <c r="L97" s="350" t="s">
        <v>2597</v>
      </c>
      <c r="N97" s="67">
        <v>20.656810760498001</v>
      </c>
      <c r="O97" s="67">
        <v>93.029953002929702</v>
      </c>
      <c r="R97" s="361"/>
      <c r="S97" s="86"/>
      <c r="T97" s="91">
        <v>43591</v>
      </c>
      <c r="U97" s="361"/>
      <c r="W97" s="353"/>
      <c r="X97" s="454"/>
      <c r="Y97" s="454"/>
      <c r="Z97" s="454"/>
    </row>
    <row r="98" spans="1:26" s="67" customFormat="1" ht="14.25" hidden="1" customHeight="1">
      <c r="A98" s="354" t="s">
        <v>2624</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2624</v>
      </c>
      <c r="B99" s="350" t="s">
        <v>311</v>
      </c>
      <c r="C99" s="350" t="s">
        <v>2576</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2624</v>
      </c>
      <c r="B100" s="350" t="s">
        <v>311</v>
      </c>
      <c r="C100" s="350" t="s">
        <v>2573</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2624</v>
      </c>
      <c r="B101" s="350" t="s">
        <v>311</v>
      </c>
      <c r="C101" s="67" t="s">
        <v>2591</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2624</v>
      </c>
      <c r="B102" s="350" t="s">
        <v>311</v>
      </c>
      <c r="C102" s="67" t="s">
        <v>894</v>
      </c>
      <c r="D102" s="399" t="s">
        <v>2686</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2624</v>
      </c>
      <c r="B103" s="350" t="s">
        <v>311</v>
      </c>
      <c r="C103" s="350" t="s">
        <v>2585</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2624</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2624</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2624</v>
      </c>
      <c r="B106" s="350" t="s">
        <v>311</v>
      </c>
      <c r="C106" s="350" t="s">
        <v>2589</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2624</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2624</v>
      </c>
      <c r="B108" s="350" t="s">
        <v>311</v>
      </c>
      <c r="C108" s="350" t="s">
        <v>2594</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2624</v>
      </c>
      <c r="B109" s="357" t="s">
        <v>311</v>
      </c>
      <c r="C109" s="358" t="s">
        <v>2700</v>
      </c>
      <c r="D109" s="352"/>
      <c r="J109" s="67" t="s">
        <v>2629</v>
      </c>
      <c r="K109" s="67" t="s">
        <v>2597</v>
      </c>
      <c r="L109" s="67" t="s">
        <v>2597</v>
      </c>
      <c r="R109" s="361"/>
      <c r="S109" s="354"/>
      <c r="T109" s="91">
        <v>43591</v>
      </c>
      <c r="U109" s="361"/>
      <c r="W109" s="353"/>
      <c r="X109" s="454"/>
      <c r="Y109" s="454"/>
      <c r="Z109" s="454"/>
    </row>
    <row r="110" spans="1:26" s="67" customFormat="1" ht="14.25" hidden="1" customHeight="1">
      <c r="A110" s="354" t="s">
        <v>2624</v>
      </c>
      <c r="B110" s="350" t="s">
        <v>311</v>
      </c>
      <c r="C110" s="350" t="s">
        <v>2582</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2624</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2624</v>
      </c>
      <c r="B112" s="350" t="s">
        <v>311</v>
      </c>
      <c r="C112" s="350" t="s">
        <v>2583</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2624</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2624</v>
      </c>
      <c r="B114" s="350" t="s">
        <v>311</v>
      </c>
      <c r="C114" s="350" t="s">
        <v>2571</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2624</v>
      </c>
      <c r="B115" s="357" t="s">
        <v>311</v>
      </c>
      <c r="C115" s="358" t="s">
        <v>2695</v>
      </c>
      <c r="D115" s="352"/>
      <c r="E115" s="67">
        <v>197065</v>
      </c>
      <c r="J115" s="67" t="s">
        <v>2629</v>
      </c>
      <c r="K115" s="350" t="s">
        <v>2597</v>
      </c>
      <c r="L115" s="350" t="s">
        <v>2597</v>
      </c>
      <c r="N115" s="67">
        <v>20.593980789184599</v>
      </c>
      <c r="O115" s="67">
        <v>93.261528015136705</v>
      </c>
      <c r="R115" s="361"/>
      <c r="S115" s="86"/>
      <c r="T115" s="91">
        <v>43591</v>
      </c>
      <c r="U115" s="361"/>
      <c r="W115" s="353"/>
      <c r="X115" s="454"/>
      <c r="Y115" s="454"/>
      <c r="Z115" s="454"/>
    </row>
    <row r="116" spans="1:26" s="67" customFormat="1" ht="14.25" hidden="1" customHeight="1">
      <c r="A116" s="354" t="s">
        <v>2624</v>
      </c>
      <c r="B116" s="350" t="s">
        <v>311</v>
      </c>
      <c r="C116" s="350" t="s">
        <v>2581</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2624</v>
      </c>
      <c r="B117" s="357" t="s">
        <v>311</v>
      </c>
      <c r="C117" s="358" t="s">
        <v>2719</v>
      </c>
      <c r="D117" s="352"/>
      <c r="J117" s="67" t="s">
        <v>2629</v>
      </c>
      <c r="K117" s="67" t="s">
        <v>2597</v>
      </c>
      <c r="L117" s="67" t="s">
        <v>2597</v>
      </c>
      <c r="R117" s="361"/>
      <c r="S117" s="354"/>
      <c r="T117" s="91">
        <v>43591</v>
      </c>
      <c r="U117" s="361"/>
      <c r="W117" s="353"/>
      <c r="X117" s="454"/>
      <c r="Y117" s="454"/>
      <c r="Z117" s="454"/>
    </row>
    <row r="118" spans="1:26" s="67" customFormat="1" ht="14.25" hidden="1" customHeight="1">
      <c r="A118" s="354" t="s">
        <v>2624</v>
      </c>
      <c r="B118" s="350" t="s">
        <v>311</v>
      </c>
      <c r="C118" s="350" t="s">
        <v>2592</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2624</v>
      </c>
      <c r="B119" s="350" t="s">
        <v>311</v>
      </c>
      <c r="C119" s="350" t="s">
        <v>2575</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2624</v>
      </c>
      <c r="B120" s="350" t="s">
        <v>311</v>
      </c>
      <c r="C120" s="350" t="s">
        <v>2574</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2624</v>
      </c>
      <c r="B121" s="350" t="s">
        <v>311</v>
      </c>
      <c r="C121" s="350" t="s">
        <v>881</v>
      </c>
      <c r="D121" s="399" t="s">
        <v>2686</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2624</v>
      </c>
      <c r="B122" s="350" t="s">
        <v>311</v>
      </c>
      <c r="C122" s="350" t="s">
        <v>657</v>
      </c>
      <c r="D122" s="399"/>
      <c r="E122" s="67">
        <v>197110</v>
      </c>
      <c r="F122" s="67" t="s">
        <v>2666</v>
      </c>
      <c r="J122" s="67" t="s">
        <v>793</v>
      </c>
      <c r="K122" s="67" t="s">
        <v>793</v>
      </c>
      <c r="L122" s="67" t="s">
        <v>793</v>
      </c>
      <c r="R122" s="85"/>
      <c r="S122" s="354"/>
      <c r="T122" s="91"/>
      <c r="U122" s="87"/>
      <c r="X122" s="454"/>
      <c r="Y122" s="454"/>
      <c r="Z122" s="454"/>
    </row>
    <row r="123" spans="1:26" s="67" customFormat="1" ht="14.25" hidden="1" customHeight="1">
      <c r="A123" s="357" t="s">
        <v>2624</v>
      </c>
      <c r="B123" s="357" t="s">
        <v>311</v>
      </c>
      <c r="C123" s="358" t="s">
        <v>2699</v>
      </c>
      <c r="D123" s="352"/>
      <c r="E123" s="67">
        <v>197051</v>
      </c>
      <c r="J123" s="67" t="s">
        <v>2629</v>
      </c>
      <c r="K123" s="67" t="s">
        <v>2597</v>
      </c>
      <c r="L123" s="67" t="s">
        <v>2597</v>
      </c>
      <c r="N123" s="350">
        <v>20.599809646606399</v>
      </c>
      <c r="O123" s="350">
        <v>93.265541076660199</v>
      </c>
      <c r="R123" s="361"/>
      <c r="S123" s="354"/>
      <c r="T123" s="91">
        <v>43591</v>
      </c>
      <c r="U123" s="361"/>
      <c r="W123" s="353"/>
      <c r="X123" s="454"/>
      <c r="Y123" s="454"/>
      <c r="Z123" s="454"/>
    </row>
    <row r="124" spans="1:26" s="67" customFormat="1" ht="14.25" hidden="1" customHeight="1">
      <c r="A124" s="354" t="s">
        <v>2624</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2624</v>
      </c>
      <c r="B125" s="351" t="s">
        <v>311</v>
      </c>
      <c r="C125" s="351" t="s">
        <v>890</v>
      </c>
      <c r="D125" s="399" t="s">
        <v>2686</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2624</v>
      </c>
      <c r="B126" s="351" t="s">
        <v>311</v>
      </c>
      <c r="C126" s="351" t="s">
        <v>464</v>
      </c>
      <c r="D126" s="399" t="s">
        <v>2686</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2624</v>
      </c>
      <c r="B127" s="351" t="s">
        <v>311</v>
      </c>
      <c r="C127" s="351" t="s">
        <v>2580</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2624</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2624</v>
      </c>
      <c r="B129" s="351" t="s">
        <v>311</v>
      </c>
      <c r="C129" s="351" t="s">
        <v>2572</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2624</v>
      </c>
      <c r="B130" s="351" t="s">
        <v>311</v>
      </c>
      <c r="C130" s="351" t="s">
        <v>2593</v>
      </c>
      <c r="D130" s="399"/>
      <c r="E130" s="67">
        <v>197114</v>
      </c>
      <c r="F130" s="67" t="s">
        <v>2666</v>
      </c>
      <c r="J130" s="67" t="s">
        <v>793</v>
      </c>
      <c r="K130" s="350" t="s">
        <v>793</v>
      </c>
      <c r="L130" s="350" t="s">
        <v>793</v>
      </c>
      <c r="R130" s="353"/>
      <c r="S130" s="86"/>
      <c r="T130" s="91"/>
      <c r="U130" s="87"/>
      <c r="X130" s="454"/>
      <c r="Y130" s="454"/>
      <c r="Z130" s="454"/>
    </row>
    <row r="131" spans="1:26" s="67" customFormat="1" ht="14.25" hidden="1" customHeight="1">
      <c r="A131" s="354" t="s">
        <v>2624</v>
      </c>
      <c r="B131" s="351" t="s">
        <v>311</v>
      </c>
      <c r="C131" s="351" t="s">
        <v>891</v>
      </c>
      <c r="D131" s="399" t="s">
        <v>2686</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2624</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2624</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2624</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2624</v>
      </c>
      <c r="B135" s="351" t="s">
        <v>311</v>
      </c>
      <c r="C135" s="351" t="s">
        <v>2596</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2624</v>
      </c>
      <c r="B136" s="351" t="s">
        <v>311</v>
      </c>
      <c r="C136" s="351" t="s">
        <v>2587</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2624</v>
      </c>
      <c r="B137" s="351" t="s">
        <v>311</v>
      </c>
      <c r="C137" s="351" t="s">
        <v>2588</v>
      </c>
      <c r="D137" s="399"/>
      <c r="E137" s="67">
        <v>197100</v>
      </c>
      <c r="F137" s="350" t="s">
        <v>2667</v>
      </c>
      <c r="J137" s="67" t="s">
        <v>793</v>
      </c>
      <c r="K137" s="67" t="s">
        <v>793</v>
      </c>
      <c r="L137" s="67" t="s">
        <v>793</v>
      </c>
      <c r="Q137" s="350"/>
      <c r="R137" s="353"/>
      <c r="S137" s="354"/>
      <c r="T137" s="373"/>
      <c r="U137" s="87"/>
      <c r="W137" s="350"/>
      <c r="X137" s="454"/>
      <c r="Y137" s="454"/>
      <c r="Z137" s="454"/>
    </row>
    <row r="138" spans="1:26" s="67" customFormat="1" ht="14.25" hidden="1" customHeight="1">
      <c r="A138" s="354" t="s">
        <v>2624</v>
      </c>
      <c r="B138" s="351" t="s">
        <v>311</v>
      </c>
      <c r="C138" s="351" t="s">
        <v>2579</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2624</v>
      </c>
      <c r="B139" s="351" t="s">
        <v>311</v>
      </c>
      <c r="C139" s="351" t="s">
        <v>2595</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2624</v>
      </c>
      <c r="B140" s="351" t="s">
        <v>311</v>
      </c>
      <c r="C140" s="70" t="s">
        <v>2586</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2624</v>
      </c>
      <c r="B141" s="351" t="s">
        <v>311</v>
      </c>
      <c r="C141" s="351" t="s">
        <v>459</v>
      </c>
      <c r="D141" s="399" t="s">
        <v>2686</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2624</v>
      </c>
      <c r="B142" s="351" t="s">
        <v>311</v>
      </c>
      <c r="C142" s="351" t="s">
        <v>504</v>
      </c>
      <c r="D142" s="399" t="s">
        <v>2686</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2624</v>
      </c>
      <c r="B143" s="351" t="s">
        <v>311</v>
      </c>
      <c r="C143" s="351" t="s">
        <v>2578</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2624</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2624</v>
      </c>
      <c r="B145" s="351" t="s">
        <v>311</v>
      </c>
      <c r="C145" s="351" t="s">
        <v>2577</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2624</v>
      </c>
      <c r="B146" s="351" t="s">
        <v>311</v>
      </c>
      <c r="C146" s="351" t="s">
        <v>2584</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2624</v>
      </c>
      <c r="B147" s="351" t="s">
        <v>311</v>
      </c>
      <c r="C147" s="351" t="s">
        <v>2590</v>
      </c>
      <c r="D147" s="399"/>
      <c r="E147" s="67">
        <v>197102</v>
      </c>
      <c r="F147" s="350" t="s">
        <v>2668</v>
      </c>
      <c r="J147" s="67" t="s">
        <v>793</v>
      </c>
      <c r="K147" s="67" t="s">
        <v>793</v>
      </c>
      <c r="L147" s="67" t="s">
        <v>793</v>
      </c>
      <c r="R147" s="85"/>
      <c r="S147" s="354"/>
      <c r="T147" s="91"/>
      <c r="U147" s="87"/>
      <c r="X147" s="454"/>
      <c r="Y147" s="454"/>
      <c r="Z147" s="454"/>
    </row>
    <row r="148" spans="1:26" s="67" customFormat="1" ht="14.25" hidden="1" customHeight="1">
      <c r="A148" s="357" t="s">
        <v>2624</v>
      </c>
      <c r="B148" s="357" t="s">
        <v>311</v>
      </c>
      <c r="C148" s="358" t="s">
        <v>2701</v>
      </c>
      <c r="D148" s="352"/>
      <c r="E148" s="67">
        <v>197047</v>
      </c>
      <c r="J148" s="67" t="s">
        <v>2629</v>
      </c>
      <c r="K148" s="67" t="s">
        <v>2597</v>
      </c>
      <c r="L148" s="67" t="s">
        <v>2597</v>
      </c>
      <c r="N148" s="67">
        <v>20.454280853271499</v>
      </c>
      <c r="O148" s="67">
        <v>93.281562805175795</v>
      </c>
      <c r="R148" s="361"/>
      <c r="S148" s="354"/>
      <c r="T148" s="91">
        <v>43591</v>
      </c>
      <c r="U148" s="361"/>
      <c r="W148" s="353"/>
      <c r="X148" s="454"/>
      <c r="Y148" s="454"/>
      <c r="Z148" s="454"/>
    </row>
    <row r="149" spans="1:26" s="67" customFormat="1" ht="14.25" hidden="1" customHeight="1">
      <c r="A149" s="357" t="s">
        <v>2624</v>
      </c>
      <c r="B149" s="357" t="s">
        <v>311</v>
      </c>
      <c r="C149" s="358" t="s">
        <v>2720</v>
      </c>
      <c r="D149" s="352"/>
      <c r="E149" s="67">
        <v>197051</v>
      </c>
      <c r="J149" s="67" t="s">
        <v>2629</v>
      </c>
      <c r="K149" s="67" t="s">
        <v>2597</v>
      </c>
      <c r="L149" s="67" t="s">
        <v>2597</v>
      </c>
      <c r="N149" s="350">
        <v>20.599809646606399</v>
      </c>
      <c r="O149" s="350">
        <v>93.265541076660199</v>
      </c>
      <c r="R149" s="361"/>
      <c r="S149" s="86"/>
      <c r="T149" s="91">
        <v>43591</v>
      </c>
      <c r="U149" s="361"/>
      <c r="W149" s="353"/>
      <c r="X149" s="454"/>
      <c r="Y149" s="454"/>
      <c r="Z149" s="454"/>
    </row>
    <row r="150" spans="1:26" s="67" customFormat="1" ht="14.25" hidden="1" customHeight="1">
      <c r="A150" s="354" t="s">
        <v>2624</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2624</v>
      </c>
      <c r="B151" s="357" t="s">
        <v>470</v>
      </c>
      <c r="C151" s="358" t="s">
        <v>2763</v>
      </c>
      <c r="D151" s="352"/>
      <c r="E151" s="67">
        <v>196610</v>
      </c>
      <c r="F151" s="350"/>
      <c r="J151" s="67" t="s">
        <v>2629</v>
      </c>
      <c r="K151" s="67" t="s">
        <v>2597</v>
      </c>
      <c r="L151" s="67" t="s">
        <v>2597</v>
      </c>
      <c r="N151" s="67">
        <v>20.710781097412099</v>
      </c>
      <c r="O151" s="67">
        <v>93.127502441406307</v>
      </c>
      <c r="R151" s="361"/>
      <c r="S151" s="354"/>
      <c r="T151" s="91">
        <v>43591</v>
      </c>
      <c r="U151" s="361"/>
      <c r="W151" s="353"/>
      <c r="X151" s="454"/>
      <c r="Y151" s="454"/>
      <c r="Z151" s="454"/>
    </row>
    <row r="152" spans="1:26" s="67" customFormat="1" ht="14.25" hidden="1" customHeight="1">
      <c r="A152" s="357" t="s">
        <v>2624</v>
      </c>
      <c r="B152" s="357" t="s">
        <v>470</v>
      </c>
      <c r="C152" s="358" t="s">
        <v>2710</v>
      </c>
      <c r="D152" s="352"/>
      <c r="E152" s="67" t="s">
        <v>2764</v>
      </c>
      <c r="J152" s="67" t="s">
        <v>2629</v>
      </c>
      <c r="K152" s="67" t="s">
        <v>2597</v>
      </c>
      <c r="L152" s="67" t="s">
        <v>2597</v>
      </c>
      <c r="R152" s="361"/>
      <c r="S152" s="354"/>
      <c r="T152" s="91">
        <v>43591</v>
      </c>
      <c r="U152" s="361"/>
      <c r="W152" s="353"/>
      <c r="X152" s="454"/>
      <c r="Y152" s="454"/>
      <c r="Z152" s="454"/>
    </row>
    <row r="153" spans="1:26" s="67" customFormat="1" ht="14.25" hidden="1" customHeight="1">
      <c r="A153" s="357" t="s">
        <v>2624</v>
      </c>
      <c r="B153" s="357" t="s">
        <v>470</v>
      </c>
      <c r="C153" s="358" t="s">
        <v>2711</v>
      </c>
      <c r="D153" s="352"/>
      <c r="E153" s="67" t="s">
        <v>2764</v>
      </c>
      <c r="J153" s="67" t="s">
        <v>2629</v>
      </c>
      <c r="K153" s="67" t="s">
        <v>2597</v>
      </c>
      <c r="L153" s="67" t="s">
        <v>2597</v>
      </c>
      <c r="R153" s="361"/>
      <c r="S153" s="354"/>
      <c r="T153" s="91">
        <v>43591</v>
      </c>
      <c r="U153" s="361"/>
      <c r="W153" s="353"/>
      <c r="X153" s="454"/>
      <c r="Y153" s="454"/>
      <c r="Z153" s="454"/>
    </row>
    <row r="154" spans="1:26" s="67" customFormat="1" ht="14.25" hidden="1" customHeight="1">
      <c r="A154" s="357" t="s">
        <v>2624</v>
      </c>
      <c r="B154" s="357" t="s">
        <v>470</v>
      </c>
      <c r="C154" s="358" t="s">
        <v>2712</v>
      </c>
      <c r="D154" s="352"/>
      <c r="E154" s="350" t="s">
        <v>2764</v>
      </c>
      <c r="F154" s="350"/>
      <c r="J154" s="67" t="s">
        <v>2629</v>
      </c>
      <c r="K154" s="350" t="s">
        <v>2597</v>
      </c>
      <c r="L154" s="350" t="s">
        <v>2597</v>
      </c>
      <c r="R154" s="361"/>
      <c r="S154" s="354"/>
      <c r="T154" s="91">
        <v>43591</v>
      </c>
      <c r="U154" s="361"/>
      <c r="W154" s="353"/>
      <c r="X154" s="454"/>
      <c r="Y154" s="454"/>
      <c r="Z154" s="454"/>
    </row>
    <row r="155" spans="1:26" s="67" customFormat="1" ht="14.25" hidden="1" customHeight="1">
      <c r="A155" s="357" t="s">
        <v>2624</v>
      </c>
      <c r="B155" s="357" t="s">
        <v>470</v>
      </c>
      <c r="C155" s="358" t="s">
        <v>2713</v>
      </c>
      <c r="D155" s="352"/>
      <c r="E155" s="67" t="s">
        <v>2764</v>
      </c>
      <c r="F155" s="350"/>
      <c r="J155" s="67" t="s">
        <v>2629</v>
      </c>
      <c r="K155" s="350" t="s">
        <v>2597</v>
      </c>
      <c r="L155" s="350" t="s">
        <v>2597</v>
      </c>
      <c r="R155" s="361"/>
      <c r="S155" s="354"/>
      <c r="T155" s="91">
        <v>43591</v>
      </c>
      <c r="U155" s="361"/>
      <c r="W155" s="353"/>
      <c r="X155" s="454"/>
      <c r="Y155" s="454"/>
      <c r="Z155" s="454"/>
    </row>
    <row r="156" spans="1:26" s="67" customFormat="1" ht="14.25" hidden="1" customHeight="1">
      <c r="A156" s="357" t="s">
        <v>2624</v>
      </c>
      <c r="B156" s="357" t="s">
        <v>470</v>
      </c>
      <c r="C156" s="358" t="s">
        <v>2714</v>
      </c>
      <c r="D156" s="352"/>
      <c r="E156" s="350" t="s">
        <v>2764</v>
      </c>
      <c r="J156" s="67" t="s">
        <v>2629</v>
      </c>
      <c r="K156" s="67" t="s">
        <v>2597</v>
      </c>
      <c r="L156" s="67" t="s">
        <v>2597</v>
      </c>
      <c r="R156" s="361"/>
      <c r="S156" s="354"/>
      <c r="T156" s="91">
        <v>43591</v>
      </c>
      <c r="U156" s="361"/>
      <c r="W156" s="353"/>
      <c r="X156" s="454"/>
      <c r="Y156" s="454"/>
      <c r="Z156" s="454"/>
    </row>
    <row r="157" spans="1:26" s="67" customFormat="1" ht="14.25" hidden="1" customHeight="1">
      <c r="A157" s="86" t="s">
        <v>2624</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2624</v>
      </c>
      <c r="B158" s="350" t="s">
        <v>470</v>
      </c>
      <c r="C158" s="350" t="s">
        <v>2549</v>
      </c>
      <c r="D158" s="399"/>
      <c r="F158" s="350"/>
      <c r="J158" s="67" t="s">
        <v>2629</v>
      </c>
      <c r="K158" s="67" t="s">
        <v>2597</v>
      </c>
      <c r="L158" s="67" t="s">
        <v>2597</v>
      </c>
      <c r="R158" s="353"/>
      <c r="S158" s="354"/>
      <c r="T158" s="91"/>
      <c r="U158" s="87"/>
      <c r="X158" s="454"/>
      <c r="Y158" s="454"/>
      <c r="Z158" s="454"/>
    </row>
    <row r="159" spans="1:26" s="67" customFormat="1" ht="14.25" hidden="1" customHeight="1">
      <c r="A159" s="357" t="s">
        <v>2624</v>
      </c>
      <c r="B159" s="357" t="s">
        <v>470</v>
      </c>
      <c r="C159" s="358" t="s">
        <v>550</v>
      </c>
      <c r="D159" s="352"/>
      <c r="J159" s="67" t="s">
        <v>2629</v>
      </c>
      <c r="K159" s="67" t="s">
        <v>2597</v>
      </c>
      <c r="L159" s="67" t="s">
        <v>2597</v>
      </c>
      <c r="R159" s="361"/>
      <c r="S159" s="354"/>
      <c r="T159" s="91">
        <v>43591</v>
      </c>
      <c r="U159" s="361"/>
      <c r="W159" s="353"/>
      <c r="X159" s="454"/>
      <c r="Y159" s="454"/>
      <c r="Z159" s="454"/>
    </row>
    <row r="160" spans="1:26" s="67" customFormat="1" ht="14.25" hidden="1" customHeight="1">
      <c r="A160" s="357" t="s">
        <v>2624</v>
      </c>
      <c r="B160" s="357" t="s">
        <v>470</v>
      </c>
      <c r="C160" s="358" t="s">
        <v>2765</v>
      </c>
      <c r="D160" s="352"/>
      <c r="E160" s="67">
        <v>196475</v>
      </c>
      <c r="J160" s="67" t="s">
        <v>2629</v>
      </c>
      <c r="K160" s="67" t="s">
        <v>2597</v>
      </c>
      <c r="L160" s="67" t="s">
        <v>2597</v>
      </c>
      <c r="R160" s="361"/>
      <c r="S160" s="354"/>
      <c r="T160" s="91">
        <v>43591</v>
      </c>
      <c r="U160" s="361"/>
      <c r="W160" s="353"/>
      <c r="X160" s="454"/>
      <c r="Y160" s="454"/>
      <c r="Z160" s="454"/>
    </row>
    <row r="161" spans="1:26" s="67" customFormat="1" ht="14.25" hidden="1" customHeight="1">
      <c r="A161" s="357" t="s">
        <v>2624</v>
      </c>
      <c r="B161" s="357" t="s">
        <v>470</v>
      </c>
      <c r="C161" s="358" t="s">
        <v>2717</v>
      </c>
      <c r="D161" s="352"/>
      <c r="J161" s="67" t="s">
        <v>2629</v>
      </c>
      <c r="K161" s="67" t="s">
        <v>2597</v>
      </c>
      <c r="L161" s="67" t="s">
        <v>2597</v>
      </c>
      <c r="R161" s="361"/>
      <c r="S161" s="354"/>
      <c r="T161" s="91">
        <v>43591</v>
      </c>
      <c r="U161" s="361"/>
      <c r="W161" s="353"/>
      <c r="X161" s="454"/>
      <c r="Y161" s="454"/>
      <c r="Z161" s="454"/>
    </row>
    <row r="162" spans="1:26" s="67" customFormat="1" ht="14.25" hidden="1" customHeight="1">
      <c r="A162" s="354" t="s">
        <v>2624</v>
      </c>
      <c r="B162" s="350" t="s">
        <v>470</v>
      </c>
      <c r="C162" s="350" t="s">
        <v>2542</v>
      </c>
      <c r="D162" s="399"/>
      <c r="J162" s="67" t="s">
        <v>2629</v>
      </c>
      <c r="K162" s="67" t="s">
        <v>2597</v>
      </c>
      <c r="L162" s="67" t="s">
        <v>2628</v>
      </c>
      <c r="R162" s="353"/>
      <c r="S162" s="354"/>
      <c r="T162" s="91"/>
      <c r="U162" s="87" t="s">
        <v>2538</v>
      </c>
      <c r="X162" s="454"/>
      <c r="Y162" s="454"/>
      <c r="Z162" s="454"/>
    </row>
    <row r="163" spans="1:26" s="67" customFormat="1" ht="14.25" hidden="1" customHeight="1">
      <c r="A163" s="354" t="s">
        <v>2624</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2624</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2624</v>
      </c>
      <c r="B165" s="456" t="s">
        <v>470</v>
      </c>
      <c r="C165" s="456" t="s">
        <v>2766</v>
      </c>
      <c r="D165" s="399"/>
      <c r="E165" s="67">
        <v>196661</v>
      </c>
      <c r="J165" s="67" t="s">
        <v>2629</v>
      </c>
      <c r="K165" s="67" t="s">
        <v>2597</v>
      </c>
      <c r="L165" s="67" t="s">
        <v>2597</v>
      </c>
      <c r="N165" s="67">
        <v>20.829959869384801</v>
      </c>
      <c r="O165" s="67">
        <v>93.073478698730497</v>
      </c>
      <c r="R165" s="353"/>
      <c r="S165" s="354"/>
      <c r="T165" s="91"/>
      <c r="U165" s="87"/>
      <c r="X165" s="454"/>
      <c r="Y165" s="454"/>
      <c r="Z165" s="454"/>
    </row>
    <row r="166" spans="1:26" s="67" customFormat="1" ht="14.25" hidden="1" customHeight="1">
      <c r="A166" s="354" t="s">
        <v>2624</v>
      </c>
      <c r="B166" s="350" t="s">
        <v>470</v>
      </c>
      <c r="C166" s="350" t="s">
        <v>2541</v>
      </c>
      <c r="D166" s="399"/>
      <c r="E166" s="350"/>
      <c r="F166" s="350"/>
      <c r="G166" s="350"/>
      <c r="H166" s="350"/>
      <c r="I166" s="350"/>
      <c r="J166" s="350" t="s">
        <v>2629</v>
      </c>
      <c r="K166" s="350" t="s">
        <v>2597</v>
      </c>
      <c r="L166" s="350" t="s">
        <v>2628</v>
      </c>
      <c r="M166" s="350"/>
      <c r="N166" s="350"/>
      <c r="O166" s="350"/>
      <c r="P166" s="350"/>
      <c r="Q166" s="350"/>
      <c r="R166" s="353"/>
      <c r="S166" s="354"/>
      <c r="T166" s="373"/>
      <c r="U166" s="355" t="s">
        <v>2538</v>
      </c>
      <c r="V166" s="350"/>
      <c r="W166" s="350"/>
      <c r="X166" s="454"/>
      <c r="Y166" s="454"/>
      <c r="Z166" s="454"/>
    </row>
    <row r="167" spans="1:26" s="67" customFormat="1" ht="14.25" hidden="1" customHeight="1">
      <c r="A167" s="459" t="s">
        <v>2624</v>
      </c>
      <c r="B167" s="454" t="s">
        <v>470</v>
      </c>
      <c r="C167" s="454" t="s">
        <v>2548</v>
      </c>
      <c r="D167" s="399"/>
      <c r="E167" s="350"/>
      <c r="F167" s="350"/>
      <c r="J167" s="67" t="s">
        <v>2629</v>
      </c>
      <c r="K167" s="67" t="s">
        <v>2597</v>
      </c>
      <c r="L167" s="67" t="s">
        <v>2597</v>
      </c>
      <c r="P167" s="350"/>
      <c r="R167" s="458"/>
      <c r="S167" s="354"/>
      <c r="T167" s="91"/>
      <c r="U167" s="460"/>
      <c r="W167" s="454"/>
      <c r="X167" s="454"/>
      <c r="Y167" s="454"/>
      <c r="Z167" s="454"/>
    </row>
    <row r="168" spans="1:26" s="67" customFormat="1" ht="14.25" hidden="1" customHeight="1">
      <c r="A168" s="357" t="s">
        <v>2624</v>
      </c>
      <c r="B168" s="357" t="s">
        <v>470</v>
      </c>
      <c r="C168" s="358" t="s">
        <v>2715</v>
      </c>
      <c r="D168" s="352"/>
      <c r="E168" s="350"/>
      <c r="J168" s="67" t="s">
        <v>2629</v>
      </c>
      <c r="K168" s="67" t="s">
        <v>2597</v>
      </c>
      <c r="L168" s="67" t="s">
        <v>2597</v>
      </c>
      <c r="R168" s="361"/>
      <c r="S168" s="354"/>
      <c r="T168" s="91">
        <v>43591</v>
      </c>
      <c r="U168" s="361"/>
      <c r="W168" s="353"/>
      <c r="X168" s="454"/>
      <c r="Y168" s="454"/>
      <c r="Z168" s="454"/>
    </row>
    <row r="169" spans="1:26" s="67" customFormat="1" ht="14.25" hidden="1" customHeight="1">
      <c r="A169" s="462" t="s">
        <v>2624</v>
      </c>
      <c r="B169" s="462" t="s">
        <v>470</v>
      </c>
      <c r="C169" s="463" t="s">
        <v>2718</v>
      </c>
      <c r="D169" s="457"/>
      <c r="E169" s="67">
        <v>196448</v>
      </c>
      <c r="F169" s="350"/>
      <c r="J169" s="67" t="s">
        <v>2629</v>
      </c>
      <c r="K169" s="350" t="s">
        <v>2597</v>
      </c>
      <c r="L169" s="350" t="s">
        <v>2597</v>
      </c>
      <c r="N169" s="67">
        <v>20.6728000640869</v>
      </c>
      <c r="O169" s="67">
        <v>93.243469238281307</v>
      </c>
      <c r="R169" s="466"/>
      <c r="S169" s="354"/>
      <c r="T169" s="91">
        <v>43591</v>
      </c>
      <c r="U169" s="466"/>
      <c r="W169" s="458"/>
      <c r="X169" s="454"/>
      <c r="Y169" s="454"/>
      <c r="Z169" s="454"/>
    </row>
    <row r="170" spans="1:26" s="67" customFormat="1" ht="14.25" hidden="1" customHeight="1">
      <c r="A170" s="354" t="s">
        <v>2624</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2624</v>
      </c>
      <c r="B171" s="454" t="s">
        <v>470</v>
      </c>
      <c r="C171" s="454" t="s">
        <v>2545</v>
      </c>
      <c r="D171" s="399"/>
      <c r="F171" s="454"/>
      <c r="J171" s="67" t="s">
        <v>2629</v>
      </c>
      <c r="K171" s="350" t="s">
        <v>2597</v>
      </c>
      <c r="L171" s="350" t="s">
        <v>2597</v>
      </c>
      <c r="Q171" s="454"/>
      <c r="R171" s="353"/>
      <c r="S171" s="354"/>
      <c r="T171" s="478"/>
      <c r="U171" s="87"/>
      <c r="X171" s="454"/>
      <c r="Y171" s="454"/>
      <c r="Z171" s="454"/>
    </row>
    <row r="172" spans="1:26" s="67" customFormat="1" ht="14.25" hidden="1" customHeight="1">
      <c r="A172" s="354" t="s">
        <v>2624</v>
      </c>
      <c r="B172" s="462" t="s">
        <v>470</v>
      </c>
      <c r="C172" s="456" t="s">
        <v>904</v>
      </c>
      <c r="D172" s="399" t="s">
        <v>2686</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2624</v>
      </c>
      <c r="B173" s="350" t="s">
        <v>470</v>
      </c>
      <c r="C173" s="350" t="s">
        <v>2547</v>
      </c>
      <c r="D173" s="399"/>
      <c r="E173" s="350"/>
      <c r="F173" s="350"/>
      <c r="G173" s="350"/>
      <c r="H173" s="350"/>
      <c r="I173" s="350"/>
      <c r="J173" s="350" t="s">
        <v>2629</v>
      </c>
      <c r="K173" s="350" t="s">
        <v>2597</v>
      </c>
      <c r="L173" s="350" t="s">
        <v>2628</v>
      </c>
      <c r="M173" s="350"/>
      <c r="N173" s="350"/>
      <c r="O173" s="350"/>
      <c r="P173" s="350"/>
      <c r="Q173" s="350"/>
      <c r="R173" s="353"/>
      <c r="S173" s="354"/>
      <c r="T173" s="373"/>
      <c r="U173" s="355" t="s">
        <v>2538</v>
      </c>
      <c r="V173" s="350"/>
      <c r="W173" s="350"/>
      <c r="X173" s="454"/>
      <c r="Y173" s="454"/>
      <c r="Z173" s="454"/>
    </row>
    <row r="174" spans="1:26" s="67" customFormat="1" ht="14.25" hidden="1" customHeight="1">
      <c r="A174" s="459" t="s">
        <v>2624</v>
      </c>
      <c r="B174" s="454" t="s">
        <v>470</v>
      </c>
      <c r="C174" s="454" t="s">
        <v>2543</v>
      </c>
      <c r="D174" s="399"/>
      <c r="J174" s="67" t="s">
        <v>2629</v>
      </c>
      <c r="K174" s="350" t="s">
        <v>2597</v>
      </c>
      <c r="L174" s="350" t="s">
        <v>2628</v>
      </c>
      <c r="R174" s="458"/>
      <c r="S174" s="354"/>
      <c r="T174" s="91"/>
      <c r="U174" s="460" t="s">
        <v>2538</v>
      </c>
      <c r="W174" s="454"/>
      <c r="X174" s="454"/>
      <c r="Y174" s="454"/>
      <c r="Z174" s="454"/>
    </row>
    <row r="175" spans="1:26" s="67" customFormat="1" ht="14.25" hidden="1" customHeight="1">
      <c r="A175" s="462" t="s">
        <v>2624</v>
      </c>
      <c r="B175" s="357" t="s">
        <v>470</v>
      </c>
      <c r="C175" s="463" t="s">
        <v>2709</v>
      </c>
      <c r="D175" s="457"/>
      <c r="E175" s="454"/>
      <c r="F175" s="454"/>
      <c r="G175" s="454"/>
      <c r="H175" s="454"/>
      <c r="I175" s="454"/>
      <c r="J175" s="67" t="s">
        <v>2629</v>
      </c>
      <c r="K175" s="350" t="s">
        <v>2597</v>
      </c>
      <c r="L175" s="350" t="s">
        <v>2597</v>
      </c>
      <c r="M175" s="454"/>
      <c r="N175" s="454"/>
      <c r="O175" s="454"/>
      <c r="Q175" s="454"/>
      <c r="R175" s="466"/>
      <c r="S175" s="459"/>
      <c r="T175" s="478">
        <v>43591</v>
      </c>
      <c r="U175" s="466"/>
      <c r="V175" s="454"/>
      <c r="W175" s="458"/>
      <c r="X175" s="454"/>
      <c r="Y175" s="454"/>
      <c r="Z175" s="454"/>
    </row>
    <row r="176" spans="1:26" s="67" customFormat="1" ht="14.25" hidden="1" customHeight="1">
      <c r="A176" s="354" t="s">
        <v>2624</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2624</v>
      </c>
      <c r="B177" s="351" t="s">
        <v>470</v>
      </c>
      <c r="C177" s="351" t="s">
        <v>912</v>
      </c>
      <c r="D177" s="399" t="s">
        <v>2686</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2624</v>
      </c>
      <c r="B178" s="351" t="s">
        <v>470</v>
      </c>
      <c r="C178" s="351" t="s">
        <v>2540</v>
      </c>
      <c r="D178" s="399"/>
      <c r="E178" s="67">
        <v>196465</v>
      </c>
      <c r="J178" s="67" t="s">
        <v>2629</v>
      </c>
      <c r="K178" s="67" t="s">
        <v>2597</v>
      </c>
      <c r="L178" s="350" t="s">
        <v>2597</v>
      </c>
      <c r="N178" s="67">
        <v>20.7270202636719</v>
      </c>
      <c r="O178" s="67">
        <v>93.249069213867202</v>
      </c>
      <c r="R178" s="353"/>
      <c r="S178" s="354"/>
      <c r="T178" s="91"/>
      <c r="U178" s="87"/>
      <c r="X178" s="454"/>
      <c r="Y178" s="454"/>
      <c r="Z178" s="454"/>
    </row>
    <row r="179" spans="1:26" s="67" customFormat="1" ht="14.25" hidden="1" customHeight="1">
      <c r="A179" s="354" t="s">
        <v>2624</v>
      </c>
      <c r="B179" s="351" t="s">
        <v>470</v>
      </c>
      <c r="C179" s="351" t="s">
        <v>2539</v>
      </c>
      <c r="D179" s="399"/>
      <c r="F179" s="351"/>
      <c r="J179" s="67" t="s">
        <v>2629</v>
      </c>
      <c r="K179" s="350" t="s">
        <v>2597</v>
      </c>
      <c r="L179" s="350" t="s">
        <v>2628</v>
      </c>
      <c r="R179" s="85"/>
      <c r="S179" s="354"/>
      <c r="T179" s="91"/>
      <c r="U179" s="87" t="s">
        <v>2538</v>
      </c>
      <c r="X179" s="454"/>
      <c r="Y179" s="454"/>
      <c r="Z179" s="454"/>
    </row>
    <row r="180" spans="1:26" s="67" customFormat="1" ht="14.25" hidden="1" customHeight="1">
      <c r="A180" s="354" t="s">
        <v>2624</v>
      </c>
      <c r="B180" s="351" t="s">
        <v>470</v>
      </c>
      <c r="C180" s="351" t="s">
        <v>2546</v>
      </c>
      <c r="D180" s="399"/>
      <c r="J180" s="67" t="s">
        <v>2629</v>
      </c>
      <c r="K180" s="350" t="s">
        <v>2597</v>
      </c>
      <c r="L180" s="350" t="s">
        <v>2597</v>
      </c>
      <c r="N180" s="350"/>
      <c r="O180" s="350"/>
      <c r="P180" s="350"/>
      <c r="R180" s="85"/>
      <c r="S180" s="354"/>
      <c r="T180" s="91"/>
      <c r="U180" s="87"/>
      <c r="W180" s="350"/>
      <c r="X180" s="454"/>
      <c r="Y180" s="454"/>
      <c r="Z180" s="454"/>
    </row>
    <row r="181" spans="1:26" s="67" customFormat="1" ht="14.25" hidden="1" customHeight="1">
      <c r="A181" s="354" t="s">
        <v>2624</v>
      </c>
      <c r="B181" s="351" t="s">
        <v>470</v>
      </c>
      <c r="C181" s="351" t="s">
        <v>2767</v>
      </c>
      <c r="D181" s="399"/>
      <c r="E181" s="350">
        <v>196453</v>
      </c>
      <c r="F181" s="456"/>
      <c r="G181" s="350"/>
      <c r="H181" s="350"/>
      <c r="I181" s="350"/>
      <c r="J181" s="350" t="s">
        <v>2629</v>
      </c>
      <c r="K181" s="350" t="s">
        <v>2597</v>
      </c>
      <c r="L181" s="350" t="s">
        <v>2597</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2624</v>
      </c>
      <c r="B182" s="351" t="s">
        <v>470</v>
      </c>
      <c r="C182" s="351" t="s">
        <v>2768</v>
      </c>
      <c r="D182" s="399"/>
      <c r="E182" s="67">
        <v>196453</v>
      </c>
      <c r="J182" s="67" t="s">
        <v>2629</v>
      </c>
      <c r="K182" s="350" t="s">
        <v>2597</v>
      </c>
      <c r="L182" s="350" t="s">
        <v>2597</v>
      </c>
      <c r="N182" s="67">
        <v>20.686229705810501</v>
      </c>
      <c r="O182" s="67">
        <v>93.220001220703097</v>
      </c>
      <c r="R182" s="462"/>
      <c r="S182" s="463"/>
      <c r="T182" s="91"/>
      <c r="U182" s="87"/>
      <c r="X182" s="454"/>
      <c r="Y182" s="454"/>
      <c r="Z182" s="454"/>
    </row>
    <row r="183" spans="1:26" s="67" customFormat="1" ht="14.25" hidden="1" customHeight="1">
      <c r="A183" s="459" t="s">
        <v>2624</v>
      </c>
      <c r="B183" s="456" t="s">
        <v>470</v>
      </c>
      <c r="C183" s="456" t="s">
        <v>2550</v>
      </c>
      <c r="D183" s="399"/>
      <c r="E183" s="67">
        <v>196464</v>
      </c>
      <c r="J183" s="67" t="s">
        <v>2629</v>
      </c>
      <c r="K183" s="350" t="s">
        <v>2597</v>
      </c>
      <c r="L183" s="350" t="s">
        <v>2597</v>
      </c>
      <c r="N183" s="67">
        <v>20.7529296875</v>
      </c>
      <c r="O183" s="67">
        <v>93.267311096191406</v>
      </c>
      <c r="R183" s="458"/>
      <c r="S183" s="354"/>
      <c r="T183" s="91"/>
      <c r="U183" s="460"/>
      <c r="W183" s="454"/>
      <c r="X183" s="454"/>
      <c r="Y183" s="454"/>
      <c r="Z183" s="454"/>
    </row>
    <row r="184" spans="1:26" s="67" customFormat="1" ht="14.25" hidden="1" customHeight="1">
      <c r="A184" s="459" t="s">
        <v>2624</v>
      </c>
      <c r="B184" s="456" t="s">
        <v>470</v>
      </c>
      <c r="C184" s="456" t="s">
        <v>2551</v>
      </c>
      <c r="D184" s="399"/>
      <c r="J184" s="67" t="s">
        <v>2629</v>
      </c>
      <c r="K184" s="67" t="s">
        <v>2597</v>
      </c>
      <c r="L184" s="67" t="s">
        <v>2597</v>
      </c>
      <c r="P184" s="350"/>
      <c r="R184" s="458"/>
      <c r="S184" s="354"/>
      <c r="T184" s="91"/>
      <c r="U184" s="460"/>
      <c r="W184" s="454"/>
      <c r="X184" s="454"/>
      <c r="Y184" s="454"/>
      <c r="Z184" s="454"/>
    </row>
    <row r="185" spans="1:26" s="67" customFormat="1" ht="14.25" hidden="1" customHeight="1">
      <c r="A185" s="462" t="s">
        <v>2624</v>
      </c>
      <c r="B185" s="462" t="s">
        <v>470</v>
      </c>
      <c r="C185" s="463" t="s">
        <v>2708</v>
      </c>
      <c r="D185" s="457"/>
      <c r="E185" s="67">
        <v>196645</v>
      </c>
      <c r="J185" s="67" t="s">
        <v>2629</v>
      </c>
      <c r="K185" s="67" t="s">
        <v>2597</v>
      </c>
      <c r="L185" s="350" t="s">
        <v>2597</v>
      </c>
      <c r="N185" s="67">
        <v>20.718429565429702</v>
      </c>
      <c r="O185" s="67">
        <v>93.059432983398395</v>
      </c>
      <c r="R185" s="466"/>
      <c r="S185" s="354"/>
      <c r="T185" s="91">
        <v>43591</v>
      </c>
      <c r="U185" s="466"/>
      <c r="W185" s="458"/>
      <c r="X185" s="454"/>
      <c r="Y185" s="454"/>
      <c r="Z185" s="454"/>
    </row>
    <row r="186" spans="1:26" s="67" customFormat="1" ht="14.25" hidden="1" customHeight="1">
      <c r="A186" s="357" t="s">
        <v>2624</v>
      </c>
      <c r="B186" s="357" t="s">
        <v>470</v>
      </c>
      <c r="C186" s="358" t="s">
        <v>2716</v>
      </c>
      <c r="D186" s="352"/>
      <c r="J186" s="67" t="s">
        <v>2629</v>
      </c>
      <c r="K186" s="67" t="s">
        <v>2597</v>
      </c>
      <c r="L186" s="350" t="s">
        <v>2597</v>
      </c>
      <c r="R186" s="361"/>
      <c r="S186" s="354"/>
      <c r="T186" s="91">
        <v>43591</v>
      </c>
      <c r="U186" s="361"/>
      <c r="W186" s="353"/>
      <c r="X186" s="454"/>
      <c r="Y186" s="454"/>
      <c r="Z186" s="454"/>
    </row>
    <row r="187" spans="1:26" s="67" customFormat="1" ht="14.25" hidden="1" customHeight="1">
      <c r="A187" s="459" t="s">
        <v>2624</v>
      </c>
      <c r="B187" s="456" t="s">
        <v>470</v>
      </c>
      <c r="C187" s="456" t="s">
        <v>897</v>
      </c>
      <c r="D187" s="399" t="s">
        <v>2686</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2624</v>
      </c>
      <c r="B188" s="357" t="s">
        <v>470</v>
      </c>
      <c r="C188" s="358" t="s">
        <v>2706</v>
      </c>
      <c r="D188" s="352"/>
      <c r="E188" s="350">
        <v>196626</v>
      </c>
      <c r="F188" s="350"/>
      <c r="J188" s="67" t="s">
        <v>2629</v>
      </c>
      <c r="K188" s="350" t="s">
        <v>2597</v>
      </c>
      <c r="L188" s="350" t="s">
        <v>2597</v>
      </c>
      <c r="N188" s="67">
        <v>20.648319244384801</v>
      </c>
      <c r="O188" s="67">
        <v>93.085273742675795</v>
      </c>
      <c r="R188" s="361"/>
      <c r="S188" s="354"/>
      <c r="T188" s="91">
        <v>43591</v>
      </c>
      <c r="U188" s="361"/>
      <c r="W188" s="353"/>
      <c r="X188" s="454"/>
      <c r="Y188" s="454"/>
      <c r="Z188" s="454"/>
    </row>
    <row r="189" spans="1:26" s="67" customFormat="1" ht="14.25" hidden="1" customHeight="1">
      <c r="A189" s="462" t="s">
        <v>2624</v>
      </c>
      <c r="B189" s="462" t="s">
        <v>470</v>
      </c>
      <c r="C189" s="463" t="s">
        <v>2703</v>
      </c>
      <c r="D189" s="457"/>
      <c r="F189" s="350"/>
      <c r="J189" s="67" t="s">
        <v>2629</v>
      </c>
      <c r="K189" s="350" t="s">
        <v>2597</v>
      </c>
      <c r="L189" s="350" t="s">
        <v>2597</v>
      </c>
      <c r="R189" s="466"/>
      <c r="S189" s="354"/>
      <c r="T189" s="91">
        <v>43591</v>
      </c>
      <c r="U189" s="466"/>
      <c r="W189" s="458"/>
      <c r="X189" s="454"/>
      <c r="Y189" s="454"/>
      <c r="Z189" s="454"/>
    </row>
    <row r="190" spans="1:26" s="67" customFormat="1" ht="14.25" hidden="1" customHeight="1">
      <c r="A190" s="357" t="s">
        <v>2624</v>
      </c>
      <c r="B190" s="357" t="s">
        <v>470</v>
      </c>
      <c r="C190" s="358" t="s">
        <v>2705</v>
      </c>
      <c r="D190" s="352"/>
      <c r="E190" s="67">
        <v>196621</v>
      </c>
      <c r="J190" s="67" t="s">
        <v>2629</v>
      </c>
      <c r="K190" s="350" t="s">
        <v>2597</v>
      </c>
      <c r="L190" s="350" t="s">
        <v>2597</v>
      </c>
      <c r="N190" s="67">
        <v>20.675979614257798</v>
      </c>
      <c r="O190" s="350">
        <v>93.098922729492202</v>
      </c>
      <c r="R190" s="361"/>
      <c r="S190" s="354"/>
      <c r="T190" s="91">
        <v>43591</v>
      </c>
      <c r="U190" s="361"/>
      <c r="W190" s="353"/>
      <c r="X190" s="454"/>
      <c r="Y190" s="454"/>
      <c r="Z190" s="454"/>
    </row>
    <row r="191" spans="1:26" s="67" customFormat="1" ht="14.25" hidden="1" customHeight="1">
      <c r="A191" s="459" t="s">
        <v>2624</v>
      </c>
      <c r="B191" s="456" t="s">
        <v>470</v>
      </c>
      <c r="C191" s="456" t="s">
        <v>2544</v>
      </c>
      <c r="D191" s="399"/>
      <c r="E191" s="350"/>
      <c r="F191" s="350"/>
      <c r="J191" s="67" t="s">
        <v>2629</v>
      </c>
      <c r="K191" s="350" t="s">
        <v>2597</v>
      </c>
      <c r="L191" s="350" t="s">
        <v>2597</v>
      </c>
      <c r="R191" s="458"/>
      <c r="S191" s="354"/>
      <c r="T191" s="91"/>
      <c r="U191" s="460"/>
      <c r="W191" s="454"/>
      <c r="X191" s="454"/>
      <c r="Y191" s="454"/>
      <c r="Z191" s="454"/>
    </row>
    <row r="192" spans="1:26" s="67" customFormat="1" ht="14.25" hidden="1" customHeight="1">
      <c r="A192" s="462" t="s">
        <v>2624</v>
      </c>
      <c r="B192" s="462" t="s">
        <v>470</v>
      </c>
      <c r="C192" s="463" t="s">
        <v>2702</v>
      </c>
      <c r="D192" s="457"/>
      <c r="E192" s="350"/>
      <c r="F192" s="350"/>
      <c r="G192" s="350"/>
      <c r="H192" s="350"/>
      <c r="I192" s="350"/>
      <c r="J192" s="67" t="s">
        <v>2629</v>
      </c>
      <c r="K192" s="350" t="s">
        <v>2597</v>
      </c>
      <c r="L192" s="350" t="s">
        <v>2597</v>
      </c>
      <c r="N192" s="350"/>
      <c r="O192" s="350"/>
      <c r="P192" s="350"/>
      <c r="R192" s="466"/>
      <c r="S192" s="354"/>
      <c r="T192" s="91">
        <v>43591</v>
      </c>
      <c r="U192" s="466"/>
      <c r="V192" s="350"/>
      <c r="W192" s="458"/>
      <c r="X192" s="454"/>
      <c r="Y192" s="454"/>
      <c r="Z192" s="454"/>
    </row>
    <row r="193" spans="1:26" s="67" customFormat="1" ht="14.25" hidden="1" customHeight="1">
      <c r="A193" s="357" t="s">
        <v>2624</v>
      </c>
      <c r="B193" s="357" t="s">
        <v>470</v>
      </c>
      <c r="C193" s="358" t="s">
        <v>2707</v>
      </c>
      <c r="D193" s="352"/>
      <c r="E193" s="67">
        <v>196636</v>
      </c>
      <c r="J193" s="67" t="s">
        <v>2629</v>
      </c>
      <c r="K193" s="350" t="s">
        <v>2597</v>
      </c>
      <c r="L193" s="350" t="s">
        <v>2597</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2624</v>
      </c>
      <c r="B194" s="351" t="s">
        <v>470</v>
      </c>
      <c r="C194" s="351" t="s">
        <v>899</v>
      </c>
      <c r="D194" s="399" t="s">
        <v>2686</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2624</v>
      </c>
      <c r="B195" s="462" t="s">
        <v>470</v>
      </c>
      <c r="C195" s="463" t="s">
        <v>2704</v>
      </c>
      <c r="D195" s="457"/>
      <c r="E195" s="350">
        <v>196622</v>
      </c>
      <c r="J195" s="67" t="s">
        <v>2629</v>
      </c>
      <c r="K195" s="67" t="s">
        <v>2597</v>
      </c>
      <c r="L195" s="350" t="s">
        <v>2597</v>
      </c>
      <c r="N195" s="350">
        <v>20.666166305541999</v>
      </c>
      <c r="O195" s="350">
        <v>93.094825744628906</v>
      </c>
      <c r="R195" s="466"/>
      <c r="S195" s="459"/>
      <c r="T195" s="91">
        <v>43591</v>
      </c>
      <c r="U195" s="466"/>
      <c r="W195" s="458"/>
      <c r="X195" s="454"/>
      <c r="Y195" s="454"/>
      <c r="Z195" s="454"/>
    </row>
    <row r="196" spans="1:26" s="67" customFormat="1" ht="14.25" hidden="1" customHeight="1">
      <c r="A196" s="354" t="s">
        <v>2624</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2624</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2624</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2624</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2624</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2624</v>
      </c>
      <c r="B201" s="351" t="s">
        <v>398</v>
      </c>
      <c r="C201" s="351" t="s">
        <v>400</v>
      </c>
      <c r="D201" s="399" t="s">
        <v>2686</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2624</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2624</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2624</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2624</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2624</v>
      </c>
      <c r="B206" s="351" t="s">
        <v>398</v>
      </c>
      <c r="C206" s="351" t="s">
        <v>399</v>
      </c>
      <c r="D206" s="399" t="s">
        <v>3079</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2624</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2624</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2624</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2624</v>
      </c>
      <c r="B210" s="351" t="s">
        <v>401</v>
      </c>
      <c r="C210" s="351" t="s">
        <v>2772</v>
      </c>
      <c r="D210" s="399"/>
      <c r="E210" s="351">
        <v>196310</v>
      </c>
      <c r="J210" s="67" t="s">
        <v>2629</v>
      </c>
      <c r="K210" s="67" t="s">
        <v>2597</v>
      </c>
      <c r="L210" s="350" t="s">
        <v>2597</v>
      </c>
      <c r="M210" s="67" t="s">
        <v>2599</v>
      </c>
      <c r="N210" s="67">
        <v>20.61741065979</v>
      </c>
      <c r="O210" s="67">
        <v>92.932502746582003</v>
      </c>
      <c r="R210" s="353"/>
      <c r="S210" s="354"/>
      <c r="T210" s="91"/>
      <c r="U210" s="87"/>
      <c r="V210" s="67" t="s">
        <v>2515</v>
      </c>
      <c r="W210" s="350"/>
      <c r="X210" s="454"/>
      <c r="Y210" s="454"/>
      <c r="Z210" s="454"/>
    </row>
    <row r="211" spans="1:26" s="67" customFormat="1" ht="14.25" hidden="1" customHeight="1">
      <c r="A211" s="354" t="s">
        <v>2624</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2624</v>
      </c>
      <c r="B212" s="351" t="s">
        <v>401</v>
      </c>
      <c r="C212" s="351" t="s">
        <v>411</v>
      </c>
      <c r="D212" s="399" t="s">
        <v>3079</v>
      </c>
      <c r="E212" s="350" t="s">
        <v>1338</v>
      </c>
      <c r="F212" s="350" t="s">
        <v>830</v>
      </c>
      <c r="G212" s="350" t="s">
        <v>531</v>
      </c>
      <c r="H212" s="350" t="s">
        <v>41</v>
      </c>
      <c r="I212" s="350" t="s">
        <v>2949</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2624</v>
      </c>
      <c r="B213" s="351" t="s">
        <v>401</v>
      </c>
      <c r="C213" s="351" t="s">
        <v>2514</v>
      </c>
      <c r="D213" s="399"/>
      <c r="E213" s="351">
        <v>220611</v>
      </c>
      <c r="F213" s="350"/>
      <c r="H213" s="350"/>
      <c r="I213" s="350"/>
      <c r="J213" s="350" t="s">
        <v>2629</v>
      </c>
      <c r="K213" s="350" t="s">
        <v>2597</v>
      </c>
      <c r="L213" s="350" t="s">
        <v>2597</v>
      </c>
      <c r="M213" s="350" t="s">
        <v>2599</v>
      </c>
      <c r="N213" s="350"/>
      <c r="O213" s="350"/>
      <c r="Q213" s="350"/>
      <c r="R213" s="353"/>
      <c r="S213" s="354"/>
      <c r="T213" s="373"/>
      <c r="U213" s="355"/>
      <c r="W213" s="350"/>
      <c r="X213" s="454"/>
      <c r="Y213" s="454"/>
      <c r="Z213" s="454"/>
    </row>
    <row r="214" spans="1:26" s="67" customFormat="1" ht="14.25" hidden="1" customHeight="1">
      <c r="A214" s="354" t="s">
        <v>2624</v>
      </c>
      <c r="B214" s="351" t="s">
        <v>401</v>
      </c>
      <c r="C214" s="351" t="s">
        <v>854</v>
      </c>
      <c r="D214" s="399" t="s">
        <v>2686</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2624</v>
      </c>
      <c r="B215" s="357" t="s">
        <v>401</v>
      </c>
      <c r="C215" s="358" t="s">
        <v>2749</v>
      </c>
      <c r="D215" s="352"/>
      <c r="E215" s="350" t="s">
        <v>2771</v>
      </c>
      <c r="F215" s="350"/>
      <c r="G215" s="350"/>
      <c r="H215" s="350"/>
      <c r="I215" s="350"/>
      <c r="J215" s="67" t="s">
        <v>2629</v>
      </c>
      <c r="K215" s="350" t="s">
        <v>2597</v>
      </c>
      <c r="L215" s="350" t="s">
        <v>2597</v>
      </c>
      <c r="R215" s="361"/>
      <c r="S215" s="354"/>
      <c r="T215" s="91">
        <v>43591</v>
      </c>
      <c r="U215" s="361"/>
      <c r="W215" s="353"/>
      <c r="X215" s="454"/>
      <c r="Y215" s="454"/>
      <c r="Z215" s="454"/>
    </row>
    <row r="216" spans="1:26" s="67" customFormat="1" ht="14.25" hidden="1" customHeight="1">
      <c r="A216" s="354" t="s">
        <v>2624</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2624</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2624</v>
      </c>
      <c r="B218" s="357" t="s">
        <v>401</v>
      </c>
      <c r="C218" s="358" t="s">
        <v>2748</v>
      </c>
      <c r="D218" s="352"/>
      <c r="E218" s="67">
        <v>197470</v>
      </c>
      <c r="J218" s="67" t="s">
        <v>2629</v>
      </c>
      <c r="K218" s="350" t="s">
        <v>2597</v>
      </c>
      <c r="L218" s="350" t="s">
        <v>2597</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2624</v>
      </c>
      <c r="B219" s="351" t="s">
        <v>401</v>
      </c>
      <c r="C219" s="351" t="s">
        <v>2505</v>
      </c>
      <c r="D219" s="399"/>
      <c r="E219" s="67">
        <v>197561</v>
      </c>
      <c r="F219" s="67" t="s">
        <v>2505</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2624</v>
      </c>
      <c r="B220" s="351" t="s">
        <v>401</v>
      </c>
      <c r="C220" s="351" t="s">
        <v>2536</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2624</v>
      </c>
      <c r="B221" s="351" t="s">
        <v>401</v>
      </c>
      <c r="C221" s="351" t="s">
        <v>2528</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2624</v>
      </c>
      <c r="B222" s="351" t="s">
        <v>401</v>
      </c>
      <c r="C222" s="351" t="s">
        <v>2513</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2624</v>
      </c>
      <c r="B223" s="351" t="s">
        <v>401</v>
      </c>
      <c r="C223" s="351" t="s">
        <v>2510</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2624</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2624</v>
      </c>
      <c r="B225" s="351" t="s">
        <v>401</v>
      </c>
      <c r="C225" s="351" t="s">
        <v>409</v>
      </c>
      <c r="D225" s="399" t="s">
        <v>3079</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2624</v>
      </c>
      <c r="B226" s="351" t="s">
        <v>401</v>
      </c>
      <c r="C226" s="351" t="s">
        <v>2770</v>
      </c>
      <c r="D226" s="399"/>
      <c r="E226" s="67">
        <v>197547</v>
      </c>
      <c r="F226" s="350"/>
      <c r="J226" s="67" t="s">
        <v>793</v>
      </c>
      <c r="K226" s="67" t="s">
        <v>793</v>
      </c>
      <c r="L226" s="67" t="s">
        <v>793</v>
      </c>
      <c r="N226" s="67">
        <v>19.9233303070068</v>
      </c>
      <c r="O226" s="67">
        <v>93.018592834472699</v>
      </c>
      <c r="R226" s="357"/>
      <c r="S226" s="358"/>
      <c r="T226" s="91"/>
      <c r="U226" s="87"/>
      <c r="V226" s="351" t="s">
        <v>2512</v>
      </c>
      <c r="W226" s="350"/>
      <c r="X226" s="454"/>
      <c r="Y226" s="454"/>
      <c r="Z226" s="454"/>
    </row>
    <row r="227" spans="1:26" s="67" customFormat="1" ht="14.25" hidden="1" customHeight="1">
      <c r="A227" s="354" t="s">
        <v>2624</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2624</v>
      </c>
      <c r="B228" s="351" t="s">
        <v>401</v>
      </c>
      <c r="C228" s="351" t="s">
        <v>2527</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2624</v>
      </c>
      <c r="B229" s="351" t="s">
        <v>401</v>
      </c>
      <c r="C229" s="351" t="s">
        <v>2537</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2624</v>
      </c>
      <c r="B230" s="351" t="s">
        <v>401</v>
      </c>
      <c r="C230" s="351" t="s">
        <v>2508</v>
      </c>
      <c r="D230" s="399"/>
      <c r="E230" s="67">
        <v>197565</v>
      </c>
      <c r="F230" s="67" t="s">
        <v>2505</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2624</v>
      </c>
      <c r="B231" s="351" t="s">
        <v>401</v>
      </c>
      <c r="C231" s="351" t="s">
        <v>2531</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2624</v>
      </c>
      <c r="B232" s="351" t="s">
        <v>401</v>
      </c>
      <c r="C232" s="351" t="s">
        <v>2535</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2624</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2624</v>
      </c>
      <c r="B234" s="351" t="s">
        <v>401</v>
      </c>
      <c r="C234" s="351" t="s">
        <v>405</v>
      </c>
      <c r="D234" s="399" t="s">
        <v>3079</v>
      </c>
      <c r="E234" s="67" t="s">
        <v>1336</v>
      </c>
      <c r="F234" s="351" t="s">
        <v>1718</v>
      </c>
      <c r="G234" s="67" t="s">
        <v>1719</v>
      </c>
      <c r="H234" s="67" t="s">
        <v>41</v>
      </c>
      <c r="I234" s="454" t="s">
        <v>2949</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2624</v>
      </c>
      <c r="B235" s="351" t="s">
        <v>401</v>
      </c>
      <c r="C235" s="351" t="s">
        <v>406</v>
      </c>
      <c r="D235" s="399" t="s">
        <v>3079</v>
      </c>
      <c r="E235" s="67" t="s">
        <v>1336</v>
      </c>
      <c r="F235" s="67" t="s">
        <v>1718</v>
      </c>
      <c r="G235" s="67" t="s">
        <v>1719</v>
      </c>
      <c r="H235" s="67" t="s">
        <v>41</v>
      </c>
      <c r="I235" s="454" t="s">
        <v>2949</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2624</v>
      </c>
      <c r="B236" s="351" t="s">
        <v>401</v>
      </c>
      <c r="C236" s="351" t="s">
        <v>2534</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2624</v>
      </c>
      <c r="B237" s="351" t="s">
        <v>401</v>
      </c>
      <c r="C237" s="351" t="s">
        <v>2525</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2624</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2624</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2624</v>
      </c>
      <c r="B240" s="351" t="s">
        <v>401</v>
      </c>
      <c r="C240" s="351" t="s">
        <v>2615</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2624</v>
      </c>
      <c r="B241" s="351" t="s">
        <v>401</v>
      </c>
      <c r="C241" s="351" t="s">
        <v>2529</v>
      </c>
      <c r="D241" s="352" t="s">
        <v>1635</v>
      </c>
      <c r="E241" s="67">
        <v>197442</v>
      </c>
      <c r="J241" s="67" t="s">
        <v>793</v>
      </c>
      <c r="K241" s="67" t="s">
        <v>793</v>
      </c>
      <c r="L241" s="163" t="s">
        <v>793</v>
      </c>
      <c r="M241" s="67" t="s">
        <v>2614</v>
      </c>
      <c r="R241" s="351"/>
      <c r="S241" s="463"/>
      <c r="T241" s="91"/>
      <c r="U241" s="87"/>
      <c r="W241" s="350"/>
      <c r="X241" s="454"/>
      <c r="Y241" s="454"/>
      <c r="Z241" s="454"/>
    </row>
    <row r="242" spans="1:26" s="67" customFormat="1" ht="14.25" hidden="1" customHeight="1">
      <c r="A242" s="354" t="s">
        <v>2624</v>
      </c>
      <c r="B242" s="351" t="s">
        <v>401</v>
      </c>
      <c r="C242" s="351" t="s">
        <v>2530</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2624</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2624</v>
      </c>
      <c r="B244" s="351" t="s">
        <v>401</v>
      </c>
      <c r="C244" s="351" t="s">
        <v>404</v>
      </c>
      <c r="D244" s="399" t="s">
        <v>3079</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2624</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2624</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2624</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2624</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2624</v>
      </c>
      <c r="B249" s="351" t="s">
        <v>401</v>
      </c>
      <c r="C249" s="351" t="s">
        <v>2533</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2624</v>
      </c>
      <c r="B250" s="351" t="s">
        <v>401</v>
      </c>
      <c r="C250" s="351" t="s">
        <v>2532</v>
      </c>
      <c r="D250" s="399" t="s">
        <v>1635</v>
      </c>
      <c r="E250" s="67">
        <v>197401</v>
      </c>
      <c r="F250" s="67" t="s">
        <v>2532</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2624</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2624</v>
      </c>
      <c r="B252" s="351" t="s">
        <v>401</v>
      </c>
      <c r="C252" s="351" t="s">
        <v>2769</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2624</v>
      </c>
      <c r="B253" s="351" t="s">
        <v>401</v>
      </c>
      <c r="C253" s="351" t="s">
        <v>2526</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2624</v>
      </c>
      <c r="B254" s="351" t="s">
        <v>401</v>
      </c>
      <c r="C254" s="351" t="s">
        <v>2506</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2624</v>
      </c>
      <c r="B255" s="351" t="s">
        <v>401</v>
      </c>
      <c r="C255" s="351" t="s">
        <v>2507</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2624</v>
      </c>
      <c r="B256" s="351" t="s">
        <v>401</v>
      </c>
      <c r="C256" s="351" t="s">
        <v>2511</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2624</v>
      </c>
      <c r="B257" s="351" t="s">
        <v>401</v>
      </c>
      <c r="C257" s="351" t="s">
        <v>2509</v>
      </c>
      <c r="D257" s="399"/>
      <c r="E257" s="350">
        <v>197574</v>
      </c>
      <c r="F257" s="67" t="s">
        <v>2669</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2624</v>
      </c>
      <c r="B258" s="351" t="s">
        <v>401</v>
      </c>
      <c r="C258" s="351" t="s">
        <v>2524</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2624</v>
      </c>
      <c r="B259" s="357" t="s">
        <v>451</v>
      </c>
      <c r="C259" s="358" t="s">
        <v>2690</v>
      </c>
      <c r="D259" s="352"/>
      <c r="E259" s="350">
        <v>196217</v>
      </c>
      <c r="F259" s="350"/>
      <c r="J259" s="67" t="s">
        <v>2629</v>
      </c>
      <c r="K259" s="350" t="s">
        <v>2597</v>
      </c>
      <c r="L259" s="350" t="s">
        <v>2597</v>
      </c>
      <c r="N259" s="67">
        <v>20.643140792846701</v>
      </c>
      <c r="O259" s="67">
        <v>92.851875305175795</v>
      </c>
      <c r="R259" s="361"/>
      <c r="S259" s="354"/>
      <c r="T259" s="91">
        <v>43591</v>
      </c>
      <c r="U259" s="361"/>
      <c r="W259" s="353"/>
      <c r="X259" s="454"/>
      <c r="Y259" s="454"/>
      <c r="Z259" s="454"/>
    </row>
    <row r="260" spans="1:26" s="67" customFormat="1" ht="14.25" hidden="1" customHeight="1">
      <c r="A260" s="357" t="s">
        <v>2624</v>
      </c>
      <c r="B260" s="357" t="s">
        <v>451</v>
      </c>
      <c r="C260" s="358" t="s">
        <v>2773</v>
      </c>
      <c r="D260" s="352"/>
      <c r="E260" s="350">
        <v>196309</v>
      </c>
      <c r="J260" s="67" t="s">
        <v>2629</v>
      </c>
      <c r="K260" s="350" t="s">
        <v>2597</v>
      </c>
      <c r="L260" s="350" t="s">
        <v>2597</v>
      </c>
      <c r="N260" s="350">
        <v>20.623949050903299</v>
      </c>
      <c r="O260" s="350">
        <v>92.950813293457003</v>
      </c>
      <c r="R260" s="361"/>
      <c r="S260" s="86"/>
      <c r="T260" s="91">
        <v>43591</v>
      </c>
      <c r="U260" s="361"/>
      <c r="V260" s="67" t="s">
        <v>2725</v>
      </c>
      <c r="W260" s="353"/>
      <c r="X260" s="454"/>
      <c r="Y260" s="454"/>
      <c r="Z260" s="454"/>
    </row>
    <row r="261" spans="1:26" s="67" customFormat="1" ht="14.25" hidden="1" customHeight="1">
      <c r="A261" s="357" t="s">
        <v>2624</v>
      </c>
      <c r="B261" s="357" t="s">
        <v>451</v>
      </c>
      <c r="C261" s="358" t="s">
        <v>2724</v>
      </c>
      <c r="D261" s="352"/>
      <c r="J261" s="67" t="s">
        <v>2629</v>
      </c>
      <c r="K261" s="350" t="s">
        <v>2597</v>
      </c>
      <c r="L261" s="350" t="s">
        <v>2597</v>
      </c>
      <c r="O261" s="350"/>
      <c r="R261" s="361"/>
      <c r="S261" s="354"/>
      <c r="T261" s="91">
        <v>43591</v>
      </c>
      <c r="U261" s="361"/>
      <c r="W261" s="353"/>
      <c r="X261" s="454"/>
      <c r="Y261" s="454"/>
      <c r="Z261" s="454"/>
    </row>
    <row r="262" spans="1:26" s="67" customFormat="1" ht="14.25" hidden="1" customHeight="1">
      <c r="A262" s="357" t="s">
        <v>2624</v>
      </c>
      <c r="B262" s="357" t="s">
        <v>451</v>
      </c>
      <c r="C262" s="358" t="s">
        <v>2728</v>
      </c>
      <c r="D262" s="352"/>
      <c r="E262" s="67">
        <v>196329</v>
      </c>
      <c r="J262" s="67" t="s">
        <v>2629</v>
      </c>
      <c r="K262" s="67" t="s">
        <v>2597</v>
      </c>
      <c r="L262" s="67" t="s">
        <v>2597</v>
      </c>
      <c r="N262" s="67">
        <v>20.5511798858643</v>
      </c>
      <c r="O262" s="67">
        <v>93.065322875976605</v>
      </c>
      <c r="R262" s="361"/>
      <c r="S262" s="354"/>
      <c r="T262" s="91">
        <v>43591</v>
      </c>
      <c r="U262" s="361"/>
      <c r="W262" s="353"/>
      <c r="X262" s="454"/>
      <c r="Y262" s="454"/>
      <c r="Z262" s="454"/>
    </row>
    <row r="263" spans="1:26" s="67" customFormat="1" ht="14.25" hidden="1" customHeight="1">
      <c r="A263" s="354" t="s">
        <v>2624</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2624</v>
      </c>
      <c r="B264" s="357" t="s">
        <v>451</v>
      </c>
      <c r="C264" s="358" t="s">
        <v>2721</v>
      </c>
      <c r="D264" s="352"/>
      <c r="E264" s="67">
        <v>196218</v>
      </c>
      <c r="J264" s="67" t="s">
        <v>2629</v>
      </c>
      <c r="K264" s="350" t="s">
        <v>2597</v>
      </c>
      <c r="L264" s="350" t="s">
        <v>2597</v>
      </c>
      <c r="N264" s="67">
        <v>20.709392547607401</v>
      </c>
      <c r="O264" s="350">
        <v>92.815086364746094</v>
      </c>
      <c r="R264" s="361"/>
      <c r="S264" s="86"/>
      <c r="T264" s="91">
        <v>43591</v>
      </c>
      <c r="U264" s="361"/>
      <c r="W264" s="353"/>
      <c r="X264" s="454"/>
      <c r="Y264" s="454"/>
      <c r="Z264" s="454"/>
    </row>
    <row r="265" spans="1:26" s="67" customFormat="1" ht="14.25" hidden="1" customHeight="1">
      <c r="A265" s="354" t="s">
        <v>2624</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2624</v>
      </c>
      <c r="B266" s="357" t="s">
        <v>451</v>
      </c>
      <c r="C266" s="358" t="s">
        <v>2722</v>
      </c>
      <c r="D266" s="352"/>
      <c r="E266" s="67">
        <v>196403</v>
      </c>
      <c r="J266" s="67" t="s">
        <v>2629</v>
      </c>
      <c r="K266" s="350" t="s">
        <v>2597</v>
      </c>
      <c r="L266" s="350" t="s">
        <v>2597</v>
      </c>
      <c r="N266" s="67">
        <v>20.303350448608398</v>
      </c>
      <c r="O266" s="67">
        <v>92.927062988281307</v>
      </c>
      <c r="R266" s="361"/>
      <c r="S266" s="354"/>
      <c r="T266" s="91">
        <v>43591</v>
      </c>
      <c r="U266" s="361"/>
      <c r="W266" s="353"/>
      <c r="X266" s="454"/>
      <c r="Y266" s="454"/>
      <c r="Z266" s="454"/>
    </row>
    <row r="267" spans="1:26" s="67" customFormat="1" ht="14.25" hidden="1" customHeight="1">
      <c r="A267" s="354" t="s">
        <v>2624</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2624</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2624</v>
      </c>
      <c r="B269" s="357" t="s">
        <v>451</v>
      </c>
      <c r="C269" s="358" t="s">
        <v>2726</v>
      </c>
      <c r="D269" s="352"/>
      <c r="E269" s="67">
        <v>196317</v>
      </c>
      <c r="F269" s="350"/>
      <c r="J269" s="67" t="s">
        <v>2629</v>
      </c>
      <c r="K269" s="350" t="s">
        <v>2597</v>
      </c>
      <c r="L269" s="350" t="s">
        <v>2597</v>
      </c>
      <c r="N269" s="67">
        <v>20.616569519043001</v>
      </c>
      <c r="O269" s="67">
        <v>92.991638183593807</v>
      </c>
      <c r="R269" s="361"/>
      <c r="S269" s="86"/>
      <c r="T269" s="91">
        <v>43591</v>
      </c>
      <c r="U269" s="361"/>
      <c r="W269" s="353"/>
      <c r="X269" s="454"/>
      <c r="Y269" s="454"/>
      <c r="Z269" s="454"/>
    </row>
    <row r="270" spans="1:26" s="67" customFormat="1" ht="14.25" hidden="1" customHeight="1">
      <c r="A270" s="354" t="s">
        <v>2624</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2624</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2624</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2624</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2624</v>
      </c>
      <c r="B274" s="357" t="s">
        <v>451</v>
      </c>
      <c r="C274" s="358" t="s">
        <v>2727</v>
      </c>
      <c r="D274" s="352"/>
      <c r="E274" s="67">
        <v>196315</v>
      </c>
      <c r="J274" s="67" t="s">
        <v>2629</v>
      </c>
      <c r="K274" s="350" t="s">
        <v>2597</v>
      </c>
      <c r="L274" s="67" t="s">
        <v>2597</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2624</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2624</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2624</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2624</v>
      </c>
      <c r="B278" s="357" t="s">
        <v>451</v>
      </c>
      <c r="C278" s="358" t="s">
        <v>2775</v>
      </c>
      <c r="D278" s="352"/>
      <c r="E278" s="67">
        <v>196234</v>
      </c>
      <c r="J278" s="67" t="s">
        <v>2629</v>
      </c>
      <c r="K278" s="67" t="s">
        <v>2597</v>
      </c>
      <c r="L278" s="67" t="s">
        <v>2597</v>
      </c>
      <c r="N278" s="67">
        <v>20.580810546875</v>
      </c>
      <c r="O278" s="67">
        <v>92.869346618652301</v>
      </c>
      <c r="R278" s="361"/>
      <c r="S278" s="86"/>
      <c r="T278" s="91">
        <v>43591</v>
      </c>
      <c r="U278" s="361"/>
      <c r="V278" s="67" t="s">
        <v>2692</v>
      </c>
      <c r="W278" s="353"/>
      <c r="X278" s="454"/>
      <c r="Y278" s="454"/>
      <c r="Z278" s="454"/>
    </row>
    <row r="279" spans="1:26" s="67" customFormat="1" ht="14.25" hidden="1" customHeight="1">
      <c r="A279" s="354" t="s">
        <v>2624</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2624</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2624</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2624</v>
      </c>
      <c r="B282" s="357" t="s">
        <v>451</v>
      </c>
      <c r="C282" s="358" t="s">
        <v>1714</v>
      </c>
      <c r="D282" s="352"/>
      <c r="E282" s="67">
        <v>196369</v>
      </c>
      <c r="J282" s="67" t="s">
        <v>2629</v>
      </c>
      <c r="K282" s="67" t="s">
        <v>2597</v>
      </c>
      <c r="L282" s="67" t="s">
        <v>2597</v>
      </c>
      <c r="N282" s="350">
        <v>20.337610244751001</v>
      </c>
      <c r="O282" s="350">
        <v>92.969711303710895</v>
      </c>
      <c r="R282" s="361"/>
      <c r="S282" s="86"/>
      <c r="T282" s="91">
        <v>43591</v>
      </c>
      <c r="U282" s="361"/>
      <c r="W282" s="353"/>
      <c r="X282" s="454"/>
      <c r="Y282" s="454"/>
      <c r="Z282" s="454"/>
    </row>
    <row r="283" spans="1:26" s="67" customFormat="1" ht="14.25" hidden="1" customHeight="1">
      <c r="A283" s="357" t="s">
        <v>2624</v>
      </c>
      <c r="B283" s="357" t="s">
        <v>451</v>
      </c>
      <c r="C283" s="358" t="s">
        <v>2723</v>
      </c>
      <c r="D283" s="352"/>
      <c r="E283" s="350">
        <v>196369</v>
      </c>
      <c r="J283" s="67" t="s">
        <v>2629</v>
      </c>
      <c r="K283" s="67" t="s">
        <v>2597</v>
      </c>
      <c r="L283" s="67" t="s">
        <v>2597</v>
      </c>
      <c r="N283" s="350">
        <v>20.337610244751001</v>
      </c>
      <c r="O283" s="350">
        <v>92.969711303710895</v>
      </c>
      <c r="R283" s="361"/>
      <c r="S283" s="86"/>
      <c r="T283" s="91">
        <v>43591</v>
      </c>
      <c r="U283" s="361"/>
      <c r="W283" s="353"/>
      <c r="X283" s="454"/>
      <c r="Y283" s="454"/>
      <c r="Z283" s="454"/>
    </row>
    <row r="284" spans="1:26" s="67" customFormat="1" ht="14.25" hidden="1" customHeight="1">
      <c r="A284" s="354" t="s">
        <v>2624</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2624</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2624</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2624</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2624</v>
      </c>
      <c r="B288" s="357" t="s">
        <v>451</v>
      </c>
      <c r="C288" s="358" t="s">
        <v>2774</v>
      </c>
      <c r="D288" s="352"/>
      <c r="E288" s="67">
        <v>196302</v>
      </c>
      <c r="F288" s="350"/>
      <c r="J288" s="67" t="s">
        <v>2629</v>
      </c>
      <c r="K288" s="350" t="s">
        <v>2597</v>
      </c>
      <c r="L288" s="350" t="s">
        <v>2597</v>
      </c>
      <c r="N288" s="67">
        <v>20.5702304840088</v>
      </c>
      <c r="O288" s="67">
        <v>92.977378845214801</v>
      </c>
      <c r="R288" s="361"/>
      <c r="S288" s="354"/>
      <c r="T288" s="91">
        <v>43591</v>
      </c>
      <c r="U288" s="361"/>
      <c r="V288" s="434" t="s">
        <v>2691</v>
      </c>
      <c r="W288" s="353"/>
      <c r="X288" s="454"/>
      <c r="Y288" s="454"/>
      <c r="Z288" s="454"/>
    </row>
    <row r="289" spans="1:26" s="67" customFormat="1" ht="14.25" hidden="1" customHeight="1">
      <c r="A289" s="354" t="s">
        <v>2624</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2624</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2624</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2624</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2624</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2624</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2624</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2624</v>
      </c>
      <c r="B296" s="357" t="s">
        <v>294</v>
      </c>
      <c r="C296" s="358" t="s">
        <v>413</v>
      </c>
      <c r="D296" s="399" t="s">
        <v>3079</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2624</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2624</v>
      </c>
      <c r="B298" s="357" t="s">
        <v>294</v>
      </c>
      <c r="C298" s="358" t="s">
        <v>424</v>
      </c>
      <c r="D298" s="399" t="s">
        <v>3079</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2624</v>
      </c>
      <c r="B299" s="357" t="s">
        <v>294</v>
      </c>
      <c r="C299" s="358" t="s">
        <v>426</v>
      </c>
      <c r="D299" s="399" t="s">
        <v>3079</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2624</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2624</v>
      </c>
      <c r="B301" s="357" t="s">
        <v>294</v>
      </c>
      <c r="C301" s="358" t="s">
        <v>2619</v>
      </c>
      <c r="D301" s="399" t="s">
        <v>3079</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2624</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2624</v>
      </c>
      <c r="B303" s="351" t="s">
        <v>294</v>
      </c>
      <c r="C303" s="351" t="s">
        <v>2565</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2624</v>
      </c>
      <c r="B304" s="351" t="s">
        <v>294</v>
      </c>
      <c r="C304" s="351" t="s">
        <v>2552</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2624</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2624</v>
      </c>
      <c r="B306" s="357" t="s">
        <v>294</v>
      </c>
      <c r="C306" s="358" t="s">
        <v>423</v>
      </c>
      <c r="D306" s="399" t="s">
        <v>3079</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2624</v>
      </c>
      <c r="B307" s="357" t="s">
        <v>294</v>
      </c>
      <c r="C307" s="358" t="s">
        <v>422</v>
      </c>
      <c r="D307" s="399" t="s">
        <v>3079</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2624</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2624</v>
      </c>
      <c r="B309" s="351" t="s">
        <v>294</v>
      </c>
      <c r="C309" s="358" t="s">
        <v>2566</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2624</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2624</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2624</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2624</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2624</v>
      </c>
      <c r="B314" s="351" t="s">
        <v>294</v>
      </c>
      <c r="C314" s="351" t="s">
        <v>2559</v>
      </c>
      <c r="D314" s="399"/>
      <c r="E314" s="351">
        <v>196126</v>
      </c>
      <c r="F314" s="67" t="s">
        <v>2561</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2624</v>
      </c>
      <c r="B315" s="351" t="s">
        <v>294</v>
      </c>
      <c r="C315" s="351" t="s">
        <v>2560</v>
      </c>
      <c r="D315" s="399"/>
      <c r="E315" s="67">
        <v>196128</v>
      </c>
      <c r="F315" s="350" t="s">
        <v>2561</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2624</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2624</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2624</v>
      </c>
      <c r="B318" s="351" t="s">
        <v>294</v>
      </c>
      <c r="C318" s="351" t="s">
        <v>2553</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2624</v>
      </c>
      <c r="B319" s="351" t="s">
        <v>294</v>
      </c>
      <c r="C319" s="351" t="s">
        <v>2554</v>
      </c>
      <c r="D319" s="399"/>
      <c r="E319" s="67">
        <v>196134</v>
      </c>
      <c r="F319" s="67" t="s">
        <v>2673</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2624</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2680</v>
      </c>
      <c r="W320" s="353"/>
      <c r="X320" s="454"/>
      <c r="Y320" s="454"/>
      <c r="Z320" s="454"/>
    </row>
    <row r="321" spans="1:26" s="67" customFormat="1" ht="14.25" customHeight="1">
      <c r="A321" s="354" t="s">
        <v>2624</v>
      </c>
      <c r="B321" s="357" t="s">
        <v>294</v>
      </c>
      <c r="C321" s="358" t="s">
        <v>2271</v>
      </c>
      <c r="D321" s="399" t="s">
        <v>3079</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2624</v>
      </c>
      <c r="B322" s="357" t="s">
        <v>294</v>
      </c>
      <c r="C322" s="358" t="s">
        <v>2272</v>
      </c>
      <c r="D322" s="399" t="s">
        <v>3079</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2624</v>
      </c>
      <c r="B323" s="357" t="s">
        <v>294</v>
      </c>
      <c r="C323" s="358" t="s">
        <v>2568</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2624</v>
      </c>
      <c r="B324" s="357" t="s">
        <v>294</v>
      </c>
      <c r="C324" s="358" t="s">
        <v>2569</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2624</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2624</v>
      </c>
      <c r="B326" s="351" t="s">
        <v>294</v>
      </c>
      <c r="C326" s="351" t="s">
        <v>2558</v>
      </c>
      <c r="D326" s="399"/>
      <c r="E326" s="67">
        <v>196169</v>
      </c>
      <c r="F326" s="67" t="s">
        <v>2558</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2624</v>
      </c>
      <c r="B327" s="351" t="s">
        <v>294</v>
      </c>
      <c r="C327" s="351" t="s">
        <v>2557</v>
      </c>
      <c r="D327" s="399"/>
      <c r="E327" s="350">
        <v>196170</v>
      </c>
      <c r="F327" s="350" t="s">
        <v>2558</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2624</v>
      </c>
      <c r="B328" s="351" t="s">
        <v>294</v>
      </c>
      <c r="C328" s="351" t="s">
        <v>2556</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2624</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2624</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2624</v>
      </c>
      <c r="B331" s="351" t="s">
        <v>294</v>
      </c>
      <c r="C331" s="351" t="s">
        <v>2561</v>
      </c>
      <c r="D331" s="399"/>
      <c r="E331" s="350">
        <v>196125</v>
      </c>
      <c r="F331" s="350" t="s">
        <v>2561</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2624</v>
      </c>
      <c r="B332" s="357" t="s">
        <v>294</v>
      </c>
      <c r="C332" s="358" t="s">
        <v>430</v>
      </c>
      <c r="D332" s="399" t="s">
        <v>3079</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2624</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2624</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2624</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2624</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2624</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2624</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2624</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2624</v>
      </c>
      <c r="B340" s="357" t="s">
        <v>294</v>
      </c>
      <c r="C340" s="358" t="s">
        <v>440</v>
      </c>
      <c r="D340" s="399" t="s">
        <v>3079</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2624</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2624</v>
      </c>
      <c r="B342" s="357" t="s">
        <v>294</v>
      </c>
      <c r="C342" s="358" t="s">
        <v>431</v>
      </c>
      <c r="D342" s="399" t="s">
        <v>3079</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2624</v>
      </c>
      <c r="B343" s="357" t="s">
        <v>294</v>
      </c>
      <c r="C343" s="358" t="s">
        <v>429</v>
      </c>
      <c r="D343" s="399" t="s">
        <v>3079</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2624</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2624</v>
      </c>
      <c r="B345" s="351" t="s">
        <v>294</v>
      </c>
      <c r="C345" s="351" t="s">
        <v>2563</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2624</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2624</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2624</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2624</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2624</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2624</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2624</v>
      </c>
      <c r="B352" s="351" t="s">
        <v>294</v>
      </c>
      <c r="C352" s="351" t="s">
        <v>2562</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2624</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2624</v>
      </c>
      <c r="B354" s="351" t="s">
        <v>294</v>
      </c>
      <c r="C354" s="351" t="s">
        <v>2564</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2624</v>
      </c>
      <c r="B355" s="351" t="s">
        <v>294</v>
      </c>
      <c r="C355" s="351" t="s">
        <v>2567</v>
      </c>
      <c r="D355" s="352"/>
      <c r="J355" s="67" t="s">
        <v>793</v>
      </c>
      <c r="K355" s="351" t="s">
        <v>793</v>
      </c>
      <c r="L355" s="351" t="s">
        <v>793</v>
      </c>
      <c r="R355" s="351"/>
      <c r="S355" s="463"/>
      <c r="T355" s="91"/>
      <c r="U355" s="87"/>
      <c r="W355" s="353"/>
      <c r="X355" s="454"/>
      <c r="Y355" s="454"/>
      <c r="Z355" s="454"/>
    </row>
    <row r="356" spans="1:26" s="67" customFormat="1" ht="14.25" hidden="1" customHeight="1">
      <c r="A356" s="354" t="s">
        <v>2624</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2624</v>
      </c>
      <c r="B357" s="357" t="s">
        <v>294</v>
      </c>
      <c r="C357" s="358" t="s">
        <v>417</v>
      </c>
      <c r="D357" s="399" t="s">
        <v>2686</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2624</v>
      </c>
      <c r="B358" s="357" t="s">
        <v>294</v>
      </c>
      <c r="C358" s="358" t="s">
        <v>418</v>
      </c>
      <c r="D358" s="399" t="s">
        <v>2686</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2624</v>
      </c>
      <c r="B359" s="462" t="s">
        <v>294</v>
      </c>
      <c r="C359" s="358" t="s">
        <v>438</v>
      </c>
      <c r="D359" s="399" t="s">
        <v>3079</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2624</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2624</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2624</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2624</v>
      </c>
      <c r="B363" s="357" t="s">
        <v>294</v>
      </c>
      <c r="C363" s="358" t="s">
        <v>415</v>
      </c>
      <c r="D363" s="399" t="s">
        <v>2686</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2624</v>
      </c>
      <c r="B364" s="357" t="s">
        <v>294</v>
      </c>
      <c r="C364" s="358" t="s">
        <v>1877</v>
      </c>
      <c r="D364" s="399" t="s">
        <v>2686</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2624</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2624</v>
      </c>
      <c r="B366" s="357" t="s">
        <v>294</v>
      </c>
      <c r="C366" s="358" t="s">
        <v>421</v>
      </c>
      <c r="D366" s="399" t="s">
        <v>3079</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2624</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2624</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2624</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2624</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2624</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2624</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2624</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2624</v>
      </c>
      <c r="B374" s="357" t="s">
        <v>294</v>
      </c>
      <c r="C374" s="358" t="s">
        <v>425</v>
      </c>
      <c r="D374" s="399" t="s">
        <v>3079</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2624</v>
      </c>
      <c r="B375" s="357" t="s">
        <v>294</v>
      </c>
      <c r="C375" s="358" t="s">
        <v>427</v>
      </c>
      <c r="D375" s="399" t="s">
        <v>3079</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2624</v>
      </c>
      <c r="B376" s="357" t="s">
        <v>294</v>
      </c>
      <c r="C376" s="358" t="s">
        <v>2570</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2624</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2624</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2624</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2624</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2624</v>
      </c>
      <c r="B381" s="351" t="s">
        <v>294</v>
      </c>
      <c r="C381" s="351" t="s">
        <v>2555</v>
      </c>
      <c r="D381" s="399"/>
      <c r="E381" s="350">
        <v>196136</v>
      </c>
      <c r="F381" s="350" t="s">
        <v>2673</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2624</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2624</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2624</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2624</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2624</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2624</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2796</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2796</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2796</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2796</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2796</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2796</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2796</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2796</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2796</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2634</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2796</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2796</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2796</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2796</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2796</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2796</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2796</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2796</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2796</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2796</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2796</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2796</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2796</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2796</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2796</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2796</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2796</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2600</v>
      </c>
      <c r="X432" s="454"/>
      <c r="Y432" s="454"/>
      <c r="Z432" s="454"/>
    </row>
    <row r="433" spans="1:26" s="67" customFormat="1" ht="14.25" hidden="1" customHeight="1">
      <c r="A433" s="350" t="s">
        <v>37</v>
      </c>
      <c r="B433" s="350" t="s">
        <v>137</v>
      </c>
      <c r="C433" s="350" t="s">
        <v>244</v>
      </c>
      <c r="D433" s="399" t="s">
        <v>2796</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2796</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2796</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2796</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2796</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2796</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2796</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2601</v>
      </c>
      <c r="X442" s="454"/>
      <c r="Y442" s="454"/>
      <c r="Z442" s="454"/>
    </row>
    <row r="443" spans="1:26" s="67" customFormat="1" ht="14.25" hidden="1" customHeight="1">
      <c r="A443" s="350" t="s">
        <v>37</v>
      </c>
      <c r="B443" s="351" t="s">
        <v>137</v>
      </c>
      <c r="C443" s="351" t="s">
        <v>177</v>
      </c>
      <c r="D443" s="399" t="s">
        <v>2796</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2796</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2685</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2796</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2796</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2796</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2796</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2796</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2796</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2796</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2796</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2796</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2796</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2796</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2796</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2796</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2796</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2796</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2796</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2796</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2641</v>
      </c>
      <c r="V493" s="67" t="s">
        <v>229</v>
      </c>
      <c r="W493" s="345" t="s">
        <v>2132</v>
      </c>
      <c r="X493" s="454"/>
      <c r="Y493" s="454"/>
      <c r="Z493" s="454"/>
    </row>
    <row r="494" spans="1:26" s="67" customFormat="1" ht="14.25" hidden="1" customHeight="1">
      <c r="A494" s="358" t="s">
        <v>37</v>
      </c>
      <c r="B494" s="357" t="s">
        <v>141</v>
      </c>
      <c r="C494" s="351" t="s">
        <v>1935</v>
      </c>
      <c r="D494" s="399" t="s">
        <v>2796</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2796</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2796</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2796</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2796</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2796</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2796</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2796</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2796</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2796</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2796</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2796</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2796</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2796</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2796</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2796</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2796</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2796</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2796</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2796</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2796</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2796</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2796</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2796</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2796</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2796</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2796</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2796</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2634</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2796</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2796</v>
      </c>
      <c r="E563" s="67" t="s">
        <v>1530</v>
      </c>
      <c r="F563" s="67" t="s">
        <v>1696</v>
      </c>
      <c r="G563" s="67" t="s">
        <v>1790</v>
      </c>
      <c r="H563" s="67" t="s">
        <v>41</v>
      </c>
      <c r="I563" s="350" t="s">
        <v>2638</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2796</v>
      </c>
      <c r="E564" s="67" t="s">
        <v>1522</v>
      </c>
      <c r="F564" s="67" t="s">
        <v>1696</v>
      </c>
      <c r="G564" s="67" t="s">
        <v>1790</v>
      </c>
      <c r="H564" s="67" t="s">
        <v>41</v>
      </c>
      <c r="I564" s="350" t="s">
        <v>2638</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2796</v>
      </c>
      <c r="E565" s="67" t="s">
        <v>1529</v>
      </c>
      <c r="F565" s="67" t="s">
        <v>1696</v>
      </c>
      <c r="G565" s="67" t="s">
        <v>1795</v>
      </c>
      <c r="H565" s="350" t="s">
        <v>41</v>
      </c>
      <c r="I565" s="67" t="s">
        <v>2638</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2796</v>
      </c>
      <c r="E566" s="350" t="s">
        <v>1555</v>
      </c>
      <c r="F566" s="350" t="s">
        <v>1696</v>
      </c>
      <c r="G566" s="350" t="s">
        <v>1807</v>
      </c>
      <c r="H566" s="350" t="s">
        <v>41</v>
      </c>
      <c r="I566" s="350" t="s">
        <v>2638</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2796</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2796</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2796</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2796</v>
      </c>
      <c r="E571" s="67" t="s">
        <v>1551</v>
      </c>
      <c r="F571" s="67" t="s">
        <v>1696</v>
      </c>
      <c r="G571" s="67" t="s">
        <v>1806</v>
      </c>
      <c r="H571" s="350" t="s">
        <v>41</v>
      </c>
      <c r="I571" s="350" t="s">
        <v>2638</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2796</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2796</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2796</v>
      </c>
      <c r="E574" s="67" t="s">
        <v>1546</v>
      </c>
      <c r="F574" s="67" t="s">
        <v>1696</v>
      </c>
      <c r="G574" s="67" t="s">
        <v>1803</v>
      </c>
      <c r="H574" s="350" t="s">
        <v>41</v>
      </c>
      <c r="I574" s="67" t="s">
        <v>2638</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2796</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2796</v>
      </c>
      <c r="E576" s="67" t="s">
        <v>1556</v>
      </c>
      <c r="F576" s="67" t="s">
        <v>1696</v>
      </c>
      <c r="G576" s="67" t="s">
        <v>1808</v>
      </c>
      <c r="H576" s="350" t="s">
        <v>41</v>
      </c>
      <c r="I576" s="350" t="s">
        <v>2638</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2634</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2796</v>
      </c>
      <c r="E579" s="350" t="s">
        <v>1547</v>
      </c>
      <c r="F579" s="350" t="s">
        <v>1696</v>
      </c>
      <c r="G579" s="350" t="s">
        <v>1800</v>
      </c>
      <c r="H579" s="350" t="s">
        <v>41</v>
      </c>
      <c r="I579" s="350" t="s">
        <v>2638</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2796</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2796</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2796</v>
      </c>
      <c r="E582" s="350" t="s">
        <v>1542</v>
      </c>
      <c r="F582" s="67" t="s">
        <v>1696</v>
      </c>
      <c r="G582" s="67" t="s">
        <v>1800</v>
      </c>
      <c r="H582" s="350" t="s">
        <v>41</v>
      </c>
      <c r="I582" s="350" t="s">
        <v>2638</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2796</v>
      </c>
      <c r="E583" s="350" t="s">
        <v>1541</v>
      </c>
      <c r="F583" s="350" t="s">
        <v>1696</v>
      </c>
      <c r="G583" s="350" t="s">
        <v>1800</v>
      </c>
      <c r="H583" s="350" t="s">
        <v>41</v>
      </c>
      <c r="I583" s="350" t="s">
        <v>2638</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2796</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2796</v>
      </c>
      <c r="E586" s="350" t="s">
        <v>1944</v>
      </c>
      <c r="F586" s="350"/>
      <c r="G586" s="350"/>
      <c r="H586" s="350" t="s">
        <v>41</v>
      </c>
      <c r="I586" s="350" t="s">
        <v>2638</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2796</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2796</v>
      </c>
      <c r="E591" s="67" t="s">
        <v>1602</v>
      </c>
      <c r="F591" s="350" t="s">
        <v>1825</v>
      </c>
      <c r="G591" s="67" t="s">
        <v>1826</v>
      </c>
      <c r="H591" s="67" t="s">
        <v>41</v>
      </c>
      <c r="I591" s="67" t="s">
        <v>2638</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2796</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2796</v>
      </c>
      <c r="E596" s="350" t="s">
        <v>2797</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2798</v>
      </c>
      <c r="X596" s="454"/>
      <c r="Y596" s="454"/>
      <c r="Z596" s="454"/>
    </row>
    <row r="597" spans="1:26" s="67" customFormat="1" ht="14.25" hidden="1" customHeight="1">
      <c r="A597" s="350" t="s">
        <v>37</v>
      </c>
      <c r="B597" s="351" t="s">
        <v>203</v>
      </c>
      <c r="C597" s="351" t="s">
        <v>204</v>
      </c>
      <c r="D597" s="399" t="s">
        <v>2796</v>
      </c>
      <c r="E597" s="67" t="s">
        <v>1456</v>
      </c>
      <c r="F597" s="67" t="s">
        <v>1754</v>
      </c>
      <c r="G597" s="67" t="s">
        <v>1754</v>
      </c>
      <c r="H597" s="67" t="s">
        <v>41</v>
      </c>
      <c r="I597" s="67" t="s">
        <v>2637</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2796</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2635</v>
      </c>
      <c r="D603" s="399" t="s">
        <v>2796</v>
      </c>
      <c r="E603" s="67" t="s">
        <v>2636</v>
      </c>
      <c r="F603" s="67">
        <v>0</v>
      </c>
      <c r="G603" s="67">
        <v>0</v>
      </c>
      <c r="I603" s="351" t="s">
        <v>2104</v>
      </c>
      <c r="J603" s="67" t="s">
        <v>43</v>
      </c>
      <c r="K603" s="67" t="s">
        <v>43</v>
      </c>
      <c r="L603" s="397" t="s">
        <v>771</v>
      </c>
      <c r="M603" s="67" t="s">
        <v>44</v>
      </c>
      <c r="N603" s="350">
        <v>25.415667500000001</v>
      </c>
      <c r="O603" s="350">
        <v>97.437782499999997</v>
      </c>
      <c r="P603" s="17" t="s">
        <v>756</v>
      </c>
      <c r="Q603" s="67" t="s">
        <v>2602</v>
      </c>
      <c r="R603" s="353"/>
      <c r="S603" s="459"/>
      <c r="T603" s="91">
        <v>43579</v>
      </c>
      <c r="U603" s="87"/>
      <c r="X603" s="454"/>
      <c r="Y603" s="454"/>
      <c r="Z603" s="454"/>
    </row>
    <row r="604" spans="1:26" s="67" customFormat="1" ht="14.25" hidden="1" customHeight="1">
      <c r="A604" s="350" t="s">
        <v>37</v>
      </c>
      <c r="B604" s="350" t="s">
        <v>173</v>
      </c>
      <c r="C604" s="350" t="s">
        <v>174</v>
      </c>
      <c r="D604" s="399" t="s">
        <v>2796</v>
      </c>
      <c r="E604" s="67" t="s">
        <v>1596</v>
      </c>
      <c r="F604" s="67">
        <v>0</v>
      </c>
      <c r="G604" s="67">
        <v>0</v>
      </c>
      <c r="H604" s="67" t="s">
        <v>41</v>
      </c>
      <c r="I604" s="67" t="s">
        <v>2638</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2796</v>
      </c>
      <c r="E606" s="67" t="s">
        <v>1595</v>
      </c>
      <c r="F606" s="67">
        <v>0</v>
      </c>
      <c r="G606" s="67">
        <v>0</v>
      </c>
      <c r="H606" s="67" t="s">
        <v>41</v>
      </c>
      <c r="I606" s="67" t="s">
        <v>2638</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2796</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2796</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2640</v>
      </c>
      <c r="W612" s="350" t="s">
        <v>2218</v>
      </c>
      <c r="X612" s="454"/>
      <c r="Y612" s="454"/>
      <c r="Z612" s="454"/>
    </row>
    <row r="613" spans="1:26" s="67" customFormat="1" ht="14.25" hidden="1" customHeight="1">
      <c r="A613" s="350" t="s">
        <v>37</v>
      </c>
      <c r="B613" s="351" t="s">
        <v>1134</v>
      </c>
      <c r="C613" s="351" t="s">
        <v>1136</v>
      </c>
      <c r="D613" s="399" t="s">
        <v>2796</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2796</v>
      </c>
      <c r="E614" s="67" t="s">
        <v>1609</v>
      </c>
      <c r="F614" s="67" t="s">
        <v>1134</v>
      </c>
      <c r="G614" s="67">
        <v>0</v>
      </c>
      <c r="H614" s="67" t="s">
        <v>41</v>
      </c>
      <c r="I614" s="67" t="s">
        <v>2638</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2796</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2796</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2796</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2796</v>
      </c>
      <c r="E621" s="67" t="s">
        <v>1508</v>
      </c>
      <c r="F621" s="67" t="s">
        <v>1781</v>
      </c>
      <c r="G621" s="67" t="s">
        <v>1782</v>
      </c>
      <c r="H621" s="67" t="s">
        <v>41</v>
      </c>
      <c r="I621" s="67" t="s">
        <v>2638</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2796</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2796</v>
      </c>
      <c r="E625" s="350" t="s">
        <v>1528</v>
      </c>
      <c r="F625" s="350" t="s">
        <v>1793</v>
      </c>
      <c r="G625" s="350" t="s">
        <v>1794</v>
      </c>
      <c r="H625" s="350" t="s">
        <v>41</v>
      </c>
      <c r="I625" s="350" t="s">
        <v>2638</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2796</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2796</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2796</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2796</v>
      </c>
      <c r="E629" s="67" t="s">
        <v>1545</v>
      </c>
      <c r="F629" s="67" t="s">
        <v>1801</v>
      </c>
      <c r="G629" s="67" t="s">
        <v>1801</v>
      </c>
      <c r="H629" s="67" t="s">
        <v>41</v>
      </c>
      <c r="I629" s="67" t="s">
        <v>2638</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2796</v>
      </c>
      <c r="E630" s="67" t="s">
        <v>1543</v>
      </c>
      <c r="F630" s="67" t="s">
        <v>1801</v>
      </c>
      <c r="G630" s="67" t="s">
        <v>1801</v>
      </c>
      <c r="H630" s="67" t="s">
        <v>41</v>
      </c>
      <c r="I630" s="67" t="s">
        <v>2638</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2796</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2796</v>
      </c>
      <c r="E632" s="67" t="s">
        <v>1501</v>
      </c>
      <c r="F632" s="67" t="s">
        <v>1778</v>
      </c>
      <c r="G632" s="67" t="s">
        <v>1779</v>
      </c>
      <c r="H632" s="67" t="s">
        <v>41</v>
      </c>
      <c r="I632" s="67" t="s">
        <v>2638</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2796</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2796</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2796</v>
      </c>
      <c r="E635" s="67" t="s">
        <v>1524</v>
      </c>
      <c r="F635" s="67" t="s">
        <v>1695</v>
      </c>
      <c r="G635" s="67" t="s">
        <v>1685</v>
      </c>
      <c r="H635" s="67" t="s">
        <v>41</v>
      </c>
      <c r="I635" s="67" t="s">
        <v>2638</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2796</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2796</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2796</v>
      </c>
      <c r="E639" s="350" t="s">
        <v>1606</v>
      </c>
      <c r="F639" s="67" t="s">
        <v>1778</v>
      </c>
      <c r="G639" s="67" t="s">
        <v>1779</v>
      </c>
      <c r="H639" s="67" t="s">
        <v>41</v>
      </c>
      <c r="I639" s="67" t="s">
        <v>2638</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2796</v>
      </c>
      <c r="E640" s="350" t="s">
        <v>1550</v>
      </c>
      <c r="F640" s="351" t="s">
        <v>1804</v>
      </c>
      <c r="G640" s="350" t="s">
        <v>1805</v>
      </c>
      <c r="H640" s="350" t="s">
        <v>41</v>
      </c>
      <c r="I640" s="350" t="s">
        <v>2638</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2796</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2796</v>
      </c>
      <c r="E642" s="351" t="s">
        <v>1948</v>
      </c>
      <c r="F642" s="351"/>
      <c r="G642" s="351"/>
      <c r="H642" s="67" t="s">
        <v>41</v>
      </c>
      <c r="I642" s="67" t="s">
        <v>2638</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2796</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2796</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2623</v>
      </c>
      <c r="B650" s="350" t="s">
        <v>318</v>
      </c>
      <c r="C650" s="350" t="s">
        <v>2517</v>
      </c>
      <c r="D650" s="399"/>
      <c r="E650" s="350"/>
      <c r="F650" s="350"/>
      <c r="G650" s="350"/>
      <c r="H650" s="350"/>
      <c r="I650" s="350"/>
      <c r="J650" s="350" t="s">
        <v>2629</v>
      </c>
      <c r="K650" s="350" t="s">
        <v>2597</v>
      </c>
      <c r="L650" s="350" t="s">
        <v>2597</v>
      </c>
      <c r="M650" s="350"/>
      <c r="N650" s="350"/>
      <c r="O650" s="350"/>
      <c r="P650" s="350"/>
      <c r="Q650" s="350"/>
      <c r="R650" s="353"/>
      <c r="S650" s="354"/>
      <c r="T650" s="373"/>
      <c r="U650" s="355"/>
      <c r="V650" s="350"/>
      <c r="W650" s="350"/>
      <c r="X650" s="454"/>
      <c r="Y650" s="454"/>
      <c r="Z650" s="454"/>
    </row>
    <row r="651" spans="1:26" s="67" customFormat="1" ht="14.25" hidden="1" customHeight="1">
      <c r="A651" s="406" t="s">
        <v>2623</v>
      </c>
      <c r="B651" s="414" t="s">
        <v>318</v>
      </c>
      <c r="C651" s="418" t="s">
        <v>2651</v>
      </c>
      <c r="D651" s="352"/>
      <c r="E651" s="408">
        <v>198334</v>
      </c>
      <c r="F651" s="408" t="s">
        <v>2651</v>
      </c>
      <c r="G651" s="408"/>
      <c r="H651" s="408"/>
      <c r="I651" s="408"/>
      <c r="J651" s="350" t="s">
        <v>793</v>
      </c>
      <c r="K651" s="350" t="s">
        <v>793</v>
      </c>
      <c r="L651" s="350" t="s">
        <v>793</v>
      </c>
      <c r="M651" s="408"/>
      <c r="N651" s="408">
        <v>20.825700759887699</v>
      </c>
      <c r="O651" s="408">
        <v>92.542686462402301</v>
      </c>
      <c r="P651" s="408"/>
      <c r="Q651" s="408" t="s">
        <v>2602</v>
      </c>
      <c r="R651" s="409"/>
      <c r="S651" s="406"/>
      <c r="T651" s="410">
        <v>43580</v>
      </c>
      <c r="U651" s="411" t="s">
        <v>2648</v>
      </c>
      <c r="V651" s="412"/>
      <c r="W651" s="353"/>
      <c r="X651" s="454"/>
      <c r="Y651" s="454"/>
      <c r="Z651" s="454"/>
    </row>
    <row r="652" spans="1:26" s="67" customFormat="1" ht="14.25" hidden="1" customHeight="1">
      <c r="A652" s="350" t="s">
        <v>2623</v>
      </c>
      <c r="B652" s="351" t="s">
        <v>318</v>
      </c>
      <c r="C652" s="351" t="s">
        <v>626</v>
      </c>
      <c r="D652" s="399" t="s">
        <v>1635</v>
      </c>
      <c r="E652" s="67">
        <v>198334</v>
      </c>
      <c r="J652" s="67" t="s">
        <v>2629</v>
      </c>
      <c r="K652" s="67" t="s">
        <v>2597</v>
      </c>
      <c r="L652" s="67" t="s">
        <v>2597</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2623</v>
      </c>
      <c r="B653" s="414" t="s">
        <v>318</v>
      </c>
      <c r="C653" s="418" t="s">
        <v>2484</v>
      </c>
      <c r="D653" s="352"/>
      <c r="E653" s="408">
        <v>198349</v>
      </c>
      <c r="F653" s="408" t="s">
        <v>2484</v>
      </c>
      <c r="G653" s="408"/>
      <c r="H653" s="408"/>
      <c r="I653" s="408"/>
      <c r="J653" s="67" t="s">
        <v>793</v>
      </c>
      <c r="K653" s="67" t="s">
        <v>793</v>
      </c>
      <c r="L653" s="67" t="s">
        <v>793</v>
      </c>
      <c r="M653" s="171" t="s">
        <v>790</v>
      </c>
      <c r="N653" s="408">
        <v>20.819919586181602</v>
      </c>
      <c r="O653" s="408">
        <v>92.589729309082003</v>
      </c>
      <c r="P653" s="408"/>
      <c r="Q653" s="408" t="s">
        <v>2602</v>
      </c>
      <c r="R653" s="409"/>
      <c r="S653" s="406"/>
      <c r="T653" s="410">
        <v>43580</v>
      </c>
      <c r="U653" s="411" t="s">
        <v>2648</v>
      </c>
      <c r="V653" s="412"/>
      <c r="W653" s="353"/>
      <c r="X653" s="454"/>
      <c r="Y653" s="454"/>
      <c r="Z653" s="454"/>
    </row>
    <row r="654" spans="1:26" s="67" customFormat="1" ht="14.25" hidden="1" customHeight="1">
      <c r="A654" s="350" t="s">
        <v>2623</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2623</v>
      </c>
      <c r="B655" s="350" t="s">
        <v>318</v>
      </c>
      <c r="C655" s="350" t="s">
        <v>2663</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2623</v>
      </c>
      <c r="B656" s="462" t="s">
        <v>318</v>
      </c>
      <c r="C656" s="463" t="s">
        <v>2790</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2623</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2623</v>
      </c>
      <c r="B658" s="456" t="s">
        <v>318</v>
      </c>
      <c r="C658" s="456" t="s">
        <v>2491</v>
      </c>
      <c r="D658" s="399"/>
      <c r="E658" s="67">
        <v>198427</v>
      </c>
      <c r="F658" s="67" t="s">
        <v>2605</v>
      </c>
      <c r="J658" s="67" t="s">
        <v>793</v>
      </c>
      <c r="K658" s="350" t="s">
        <v>793</v>
      </c>
      <c r="L658" s="350" t="s">
        <v>793</v>
      </c>
      <c r="M658" s="67" t="s">
        <v>790</v>
      </c>
      <c r="Q658" s="67" t="s">
        <v>2602</v>
      </c>
      <c r="R658" s="85"/>
      <c r="S658" s="86"/>
      <c r="T658" s="91"/>
      <c r="U658" s="87"/>
      <c r="X658" s="454"/>
      <c r="Y658" s="454"/>
      <c r="Z658" s="454"/>
    </row>
    <row r="659" spans="1:26" s="67" customFormat="1" ht="14.25" hidden="1" customHeight="1">
      <c r="A659" s="454" t="s">
        <v>2623</v>
      </c>
      <c r="B659" s="454" t="s">
        <v>318</v>
      </c>
      <c r="C659" s="454" t="s">
        <v>2490</v>
      </c>
      <c r="D659" s="399"/>
      <c r="E659" s="67">
        <v>198426</v>
      </c>
      <c r="F659" s="350" t="s">
        <v>2605</v>
      </c>
      <c r="J659" s="67" t="s">
        <v>793</v>
      </c>
      <c r="K659" s="67" t="s">
        <v>793</v>
      </c>
      <c r="L659" s="67" t="s">
        <v>793</v>
      </c>
      <c r="M659" s="67" t="s">
        <v>293</v>
      </c>
      <c r="O659" s="350"/>
      <c r="Q659" s="67" t="s">
        <v>2602</v>
      </c>
      <c r="R659" s="458"/>
      <c r="S659" s="354"/>
      <c r="T659" s="91"/>
      <c r="U659" s="460"/>
      <c r="W659" s="454"/>
      <c r="X659" s="454"/>
      <c r="Y659" s="454"/>
      <c r="Z659" s="454"/>
    </row>
    <row r="660" spans="1:26" s="67" customFormat="1" ht="14.25" hidden="1" customHeight="1">
      <c r="A660" s="462" t="s">
        <v>2623</v>
      </c>
      <c r="B660" s="462" t="s">
        <v>318</v>
      </c>
      <c r="C660" s="463" t="s">
        <v>2759</v>
      </c>
      <c r="D660" s="457"/>
      <c r="E660" s="67">
        <v>198415</v>
      </c>
      <c r="J660" s="67" t="s">
        <v>2629</v>
      </c>
      <c r="K660" s="67" t="s">
        <v>2597</v>
      </c>
      <c r="L660" s="67" t="s">
        <v>2597</v>
      </c>
      <c r="N660" s="67">
        <v>20.734859466552699</v>
      </c>
      <c r="O660" s="67">
        <v>92.657089233398395</v>
      </c>
      <c r="R660" s="466"/>
      <c r="S660" s="354"/>
      <c r="T660" s="91">
        <v>43591</v>
      </c>
      <c r="U660" s="466"/>
      <c r="W660" s="458"/>
      <c r="X660" s="454"/>
      <c r="Y660" s="454"/>
      <c r="Z660" s="454"/>
    </row>
    <row r="661" spans="1:26" s="67" customFormat="1" ht="14.25" hidden="1" customHeight="1">
      <c r="A661" s="350" t="s">
        <v>2623</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2623</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2623</v>
      </c>
      <c r="B663" s="462" t="s">
        <v>318</v>
      </c>
      <c r="C663" s="463" t="s">
        <v>616</v>
      </c>
      <c r="D663" s="457"/>
      <c r="E663" s="67">
        <v>217876</v>
      </c>
      <c r="J663" s="67" t="s">
        <v>2629</v>
      </c>
      <c r="K663" s="67" t="s">
        <v>2597</v>
      </c>
      <c r="L663" s="67" t="s">
        <v>2597</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2623</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2623</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2623</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2623</v>
      </c>
      <c r="B667" s="350" t="s">
        <v>318</v>
      </c>
      <c r="C667" s="350" t="s">
        <v>646</v>
      </c>
      <c r="D667" s="399"/>
      <c r="E667" s="67">
        <v>198435</v>
      </c>
      <c r="F667" s="67" t="s">
        <v>2607</v>
      </c>
      <c r="J667" s="67" t="s">
        <v>793</v>
      </c>
      <c r="K667" s="67" t="s">
        <v>793</v>
      </c>
      <c r="L667" s="67" t="s">
        <v>793</v>
      </c>
      <c r="M667" s="67" t="s">
        <v>790</v>
      </c>
      <c r="Q667" s="67" t="s">
        <v>2602</v>
      </c>
      <c r="R667" s="353"/>
      <c r="S667" s="86"/>
      <c r="T667" s="91"/>
      <c r="U667" s="87"/>
      <c r="X667" s="454"/>
      <c r="Y667" s="454"/>
      <c r="Z667" s="454"/>
    </row>
    <row r="668" spans="1:26" s="67" customFormat="1" ht="14.25" hidden="1" customHeight="1">
      <c r="A668" s="350" t="s">
        <v>2623</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2623</v>
      </c>
      <c r="B669" s="351" t="s">
        <v>318</v>
      </c>
      <c r="C669" s="351" t="s">
        <v>2492</v>
      </c>
      <c r="D669" s="399" t="s">
        <v>1635</v>
      </c>
      <c r="E669" s="67">
        <v>198431</v>
      </c>
      <c r="F669" s="67" t="s">
        <v>2606</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2623</v>
      </c>
      <c r="B670" s="456" t="s">
        <v>318</v>
      </c>
      <c r="C670" s="456" t="s">
        <v>2493</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2623</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2623</v>
      </c>
      <c r="B672" s="454" t="s">
        <v>318</v>
      </c>
      <c r="C672" s="454" t="s">
        <v>2650</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2792</v>
      </c>
      <c r="W672" s="454"/>
      <c r="X672" s="454"/>
      <c r="Y672" s="454"/>
      <c r="Z672" s="454"/>
    </row>
    <row r="673" spans="1:26" s="67" customFormat="1" ht="14.25" hidden="1" customHeight="1">
      <c r="A673" s="406" t="s">
        <v>2623</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2623</v>
      </c>
      <c r="B674" s="350" t="s">
        <v>318</v>
      </c>
      <c r="C674" s="350" t="s">
        <v>2603</v>
      </c>
      <c r="D674" s="399"/>
      <c r="E674" s="67">
        <v>198370</v>
      </c>
      <c r="F674" s="67" t="s">
        <v>2603</v>
      </c>
      <c r="J674" s="67" t="s">
        <v>793</v>
      </c>
      <c r="K674" s="67" t="s">
        <v>793</v>
      </c>
      <c r="L674" s="67" t="s">
        <v>793</v>
      </c>
      <c r="N674" s="67">
        <v>20.793779373168899</v>
      </c>
      <c r="O674" s="67">
        <v>92.597961425781307</v>
      </c>
      <c r="Q674" s="67" t="s">
        <v>2602</v>
      </c>
      <c r="R674" s="353"/>
      <c r="S674" s="86"/>
      <c r="T674" s="91">
        <v>43580</v>
      </c>
      <c r="U674" s="87" t="s">
        <v>2648</v>
      </c>
      <c r="X674" s="454"/>
      <c r="Y674" s="454"/>
      <c r="Z674" s="454"/>
    </row>
    <row r="675" spans="1:26" s="67" customFormat="1" ht="14.25" hidden="1" customHeight="1">
      <c r="A675" s="350" t="s">
        <v>2623</v>
      </c>
      <c r="B675" s="350" t="s">
        <v>318</v>
      </c>
      <c r="C675" s="350" t="s">
        <v>2483</v>
      </c>
      <c r="D675" s="399"/>
      <c r="E675" s="67">
        <v>198350</v>
      </c>
      <c r="F675" s="67" t="s">
        <v>2484</v>
      </c>
      <c r="J675" s="67" t="s">
        <v>793</v>
      </c>
      <c r="K675" s="67" t="s">
        <v>793</v>
      </c>
      <c r="L675" s="67" t="s">
        <v>793</v>
      </c>
      <c r="M675" s="67" t="s">
        <v>790</v>
      </c>
      <c r="Q675" s="67" t="s">
        <v>2602</v>
      </c>
      <c r="R675" s="85"/>
      <c r="S675" s="86"/>
      <c r="T675" s="91"/>
      <c r="U675" s="87"/>
      <c r="X675" s="454"/>
      <c r="Y675" s="454"/>
      <c r="Z675" s="454"/>
    </row>
    <row r="676" spans="1:26" s="67" customFormat="1" ht="14.25" hidden="1" customHeight="1">
      <c r="A676" s="350" t="s">
        <v>2623</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2623</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2623</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2623</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2623</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2623</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2623</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2623</v>
      </c>
      <c r="B683" s="351" t="s">
        <v>318</v>
      </c>
      <c r="C683" s="351" t="s">
        <v>2646</v>
      </c>
      <c r="D683" s="399"/>
      <c r="E683" s="350">
        <v>198356</v>
      </c>
      <c r="F683" s="350" t="s">
        <v>2654</v>
      </c>
      <c r="G683" s="350"/>
      <c r="H683" s="350"/>
      <c r="I683" s="350"/>
      <c r="J683" s="350" t="s">
        <v>793</v>
      </c>
      <c r="K683" s="350" t="s">
        <v>793</v>
      </c>
      <c r="L683" s="350" t="s">
        <v>793</v>
      </c>
      <c r="M683" s="350"/>
      <c r="N683" s="350">
        <v>20.821479797363299</v>
      </c>
      <c r="O683" s="350">
        <v>92.603950500488295</v>
      </c>
      <c r="P683" s="350"/>
      <c r="Q683" s="350" t="s">
        <v>2602</v>
      </c>
      <c r="R683" s="353"/>
      <c r="S683" s="354"/>
      <c r="T683" s="373">
        <v>43580</v>
      </c>
      <c r="U683" s="355" t="s">
        <v>2648</v>
      </c>
      <c r="V683" s="350"/>
      <c r="W683" s="350"/>
      <c r="X683" s="454"/>
      <c r="Y683" s="454"/>
      <c r="Z683" s="454"/>
    </row>
    <row r="684" spans="1:26" s="67" customFormat="1" ht="14.25" hidden="1" customHeight="1">
      <c r="A684" s="350" t="s">
        <v>2623</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2623</v>
      </c>
      <c r="B685" s="456" t="s">
        <v>318</v>
      </c>
      <c r="C685" s="456" t="s">
        <v>2598</v>
      </c>
      <c r="D685" s="399"/>
      <c r="E685" s="456">
        <v>198369</v>
      </c>
      <c r="H685" s="350"/>
      <c r="J685" s="67" t="s">
        <v>2629</v>
      </c>
      <c r="K685" s="67" t="s">
        <v>2597</v>
      </c>
      <c r="L685" s="67" t="s">
        <v>2597</v>
      </c>
      <c r="Q685" s="350"/>
      <c r="R685" s="353"/>
      <c r="S685" s="354"/>
      <c r="T685" s="373"/>
      <c r="U685" s="87"/>
      <c r="V685" s="454"/>
      <c r="X685" s="454"/>
      <c r="Y685" s="454"/>
      <c r="Z685" s="454"/>
    </row>
    <row r="686" spans="1:26" s="67" customFormat="1" ht="14.25" hidden="1" customHeight="1">
      <c r="A686" s="350" t="s">
        <v>2623</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2623</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2623</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2623</v>
      </c>
      <c r="B689" s="351" t="s">
        <v>318</v>
      </c>
      <c r="C689" s="351" t="s">
        <v>2497</v>
      </c>
      <c r="D689" s="399"/>
      <c r="E689" s="67">
        <v>198404</v>
      </c>
      <c r="F689" s="350" t="s">
        <v>2608</v>
      </c>
      <c r="J689" s="350" t="s">
        <v>2629</v>
      </c>
      <c r="K689" s="350" t="s">
        <v>2597</v>
      </c>
      <c r="L689" s="67" t="s">
        <v>2597</v>
      </c>
      <c r="M689" s="67" t="s">
        <v>293</v>
      </c>
      <c r="N689" s="67">
        <v>20.769779209999999</v>
      </c>
      <c r="O689" s="67">
        <v>92.604240419999996</v>
      </c>
      <c r="P689" s="67" t="s">
        <v>794</v>
      </c>
      <c r="Q689" s="67" t="s">
        <v>2602</v>
      </c>
      <c r="R689" s="85"/>
      <c r="S689" s="86"/>
      <c r="T689" s="91"/>
      <c r="U689" s="87"/>
      <c r="W689" s="350"/>
      <c r="X689" s="454"/>
      <c r="Y689" s="454"/>
      <c r="Z689" s="454"/>
    </row>
    <row r="690" spans="1:26" s="67" customFormat="1" ht="14.25" hidden="1" customHeight="1">
      <c r="A690" s="350" t="s">
        <v>2623</v>
      </c>
      <c r="B690" s="456" t="s">
        <v>318</v>
      </c>
      <c r="C690" s="456" t="s">
        <v>2499</v>
      </c>
      <c r="D690" s="399"/>
      <c r="E690" s="67">
        <v>198303</v>
      </c>
      <c r="F690" s="67" t="s">
        <v>2609</v>
      </c>
      <c r="J690" s="350" t="s">
        <v>793</v>
      </c>
      <c r="K690" s="350" t="s">
        <v>793</v>
      </c>
      <c r="L690" s="350" t="s">
        <v>793</v>
      </c>
      <c r="M690" s="67" t="s">
        <v>293</v>
      </c>
      <c r="N690" s="67">
        <v>20.892290119999998</v>
      </c>
      <c r="O690" s="67">
        <v>92.550079350000004</v>
      </c>
      <c r="Q690" s="67" t="s">
        <v>2602</v>
      </c>
      <c r="R690" s="353"/>
      <c r="S690" s="86"/>
      <c r="T690" s="91"/>
      <c r="U690" s="87"/>
      <c r="X690" s="454"/>
      <c r="Y690" s="454"/>
      <c r="Z690" s="454"/>
    </row>
    <row r="691" spans="1:26" s="67" customFormat="1" ht="14.25" hidden="1" customHeight="1">
      <c r="A691" s="350" t="s">
        <v>2623</v>
      </c>
      <c r="B691" s="454" t="s">
        <v>318</v>
      </c>
      <c r="C691" s="454" t="s">
        <v>648</v>
      </c>
      <c r="D691" s="399" t="s">
        <v>1635</v>
      </c>
      <c r="E691" s="67">
        <v>198303</v>
      </c>
      <c r="F691" s="67" t="s">
        <v>2609</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2623</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2623</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2623</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2623</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2623</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2623</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2623</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2623</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2623</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2623</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2623</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2623</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2623</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2623</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2623</v>
      </c>
      <c r="B706" s="350" t="s">
        <v>318</v>
      </c>
      <c r="C706" s="350" t="s">
        <v>2739</v>
      </c>
      <c r="D706" s="399"/>
      <c r="E706" s="350">
        <v>198289</v>
      </c>
      <c r="F706" s="350"/>
      <c r="G706" s="350"/>
      <c r="H706" s="350"/>
      <c r="I706" s="350"/>
      <c r="J706" s="350" t="s">
        <v>2629</v>
      </c>
      <c r="K706" s="350" t="s">
        <v>2597</v>
      </c>
      <c r="L706" s="350" t="s">
        <v>2597</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2623</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2623</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2623</v>
      </c>
      <c r="B709" s="472" t="s">
        <v>318</v>
      </c>
      <c r="C709" s="471" t="s">
        <v>2496</v>
      </c>
      <c r="D709" s="399"/>
      <c r="E709" s="350">
        <v>198405</v>
      </c>
      <c r="F709" s="472" t="s">
        <v>2608</v>
      </c>
      <c r="G709" s="350"/>
      <c r="H709" s="350"/>
      <c r="I709" s="350"/>
      <c r="J709" s="350" t="s">
        <v>793</v>
      </c>
      <c r="K709" s="350" t="s">
        <v>793</v>
      </c>
      <c r="L709" s="350" t="s">
        <v>793</v>
      </c>
      <c r="M709" s="67" t="s">
        <v>790</v>
      </c>
      <c r="Q709" s="350" t="s">
        <v>2602</v>
      </c>
      <c r="R709" s="473"/>
      <c r="S709" s="474"/>
      <c r="T709" s="373"/>
      <c r="U709" s="355"/>
      <c r="W709" s="350"/>
      <c r="X709" s="454"/>
      <c r="Y709" s="454"/>
      <c r="Z709" s="454"/>
    </row>
    <row r="710" spans="1:26" s="67" customFormat="1" ht="14.25" hidden="1" customHeight="1">
      <c r="A710" s="350" t="s">
        <v>2623</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2623</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2623</v>
      </c>
      <c r="B712" s="368" t="s">
        <v>318</v>
      </c>
      <c r="C712" s="367" t="s">
        <v>2518</v>
      </c>
      <c r="D712" s="399"/>
      <c r="F712" s="350"/>
      <c r="J712" s="67" t="s">
        <v>2629</v>
      </c>
      <c r="K712" s="67" t="s">
        <v>2597</v>
      </c>
      <c r="L712" s="67" t="s">
        <v>2597</v>
      </c>
      <c r="N712" s="350"/>
      <c r="O712" s="350"/>
      <c r="Q712" s="350"/>
      <c r="R712" s="369"/>
      <c r="S712" s="370"/>
      <c r="T712" s="373"/>
      <c r="U712" s="87"/>
      <c r="W712" s="350"/>
      <c r="X712" s="454"/>
      <c r="Y712" s="454"/>
      <c r="Z712" s="454"/>
    </row>
    <row r="713" spans="1:26" s="67" customFormat="1" ht="14.25" hidden="1" customHeight="1">
      <c r="A713" s="350" t="s">
        <v>2623</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2623</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2623</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2623</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2623</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2623</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2623</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2623</v>
      </c>
      <c r="B720" s="372" t="s">
        <v>318</v>
      </c>
      <c r="C720" s="471" t="s">
        <v>2485</v>
      </c>
      <c r="D720" s="399"/>
      <c r="E720" s="67">
        <v>198351</v>
      </c>
      <c r="F720" s="350" t="s">
        <v>2484</v>
      </c>
      <c r="J720" s="67" t="s">
        <v>793</v>
      </c>
      <c r="K720" s="67" t="s">
        <v>793</v>
      </c>
      <c r="L720" s="67" t="s">
        <v>793</v>
      </c>
      <c r="M720" s="67" t="s">
        <v>790</v>
      </c>
      <c r="Q720" s="67" t="s">
        <v>2602</v>
      </c>
      <c r="R720" s="353"/>
      <c r="S720" s="354"/>
      <c r="T720" s="91"/>
      <c r="U720" s="87"/>
      <c r="X720" s="454"/>
      <c r="Y720" s="454"/>
      <c r="Z720" s="454"/>
    </row>
    <row r="721" spans="1:26" s="67" customFormat="1" ht="14.25" hidden="1" customHeight="1">
      <c r="A721" s="454" t="s">
        <v>2623</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2623</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2623</v>
      </c>
      <c r="B723" s="415" t="s">
        <v>318</v>
      </c>
      <c r="C723" s="419" t="s">
        <v>2696</v>
      </c>
      <c r="D723" s="457"/>
      <c r="E723" s="408">
        <v>198401</v>
      </c>
      <c r="F723" s="408"/>
      <c r="G723" s="408"/>
      <c r="H723" s="408"/>
      <c r="I723" s="408"/>
      <c r="J723" s="67" t="s">
        <v>2629</v>
      </c>
      <c r="K723" s="67" t="s">
        <v>2597</v>
      </c>
      <c r="L723" s="67" t="s">
        <v>2597</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2623</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2602</v>
      </c>
      <c r="R724" s="353"/>
      <c r="S724" s="354"/>
      <c r="T724" s="91">
        <v>43580</v>
      </c>
      <c r="U724" s="87" t="s">
        <v>2648</v>
      </c>
      <c r="V724" s="67" t="s">
        <v>571</v>
      </c>
      <c r="X724" s="454"/>
      <c r="Y724" s="454"/>
      <c r="Z724" s="454"/>
    </row>
    <row r="725" spans="1:26" s="67" customFormat="1" ht="14.25" hidden="1" customHeight="1">
      <c r="A725" s="350" t="s">
        <v>2623</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2623</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2623</v>
      </c>
      <c r="B727" s="472" t="s">
        <v>318</v>
      </c>
      <c r="C727" s="471" t="s">
        <v>2487</v>
      </c>
      <c r="D727" s="399"/>
      <c r="F727" s="67" t="s">
        <v>2604</v>
      </c>
      <c r="J727" s="67" t="s">
        <v>793</v>
      </c>
      <c r="K727" s="350" t="s">
        <v>793</v>
      </c>
      <c r="L727" s="350" t="s">
        <v>793</v>
      </c>
      <c r="M727" s="67" t="s">
        <v>790</v>
      </c>
      <c r="Q727" s="67" t="s">
        <v>2602</v>
      </c>
      <c r="R727" s="353"/>
      <c r="S727" s="354"/>
      <c r="T727" s="91"/>
      <c r="U727" s="87"/>
      <c r="X727" s="454"/>
      <c r="Y727" s="454"/>
      <c r="Z727" s="454"/>
    </row>
    <row r="728" spans="1:26" s="67" customFormat="1" ht="14.25" hidden="1" customHeight="1">
      <c r="A728" s="350" t="s">
        <v>2623</v>
      </c>
      <c r="B728" s="368" t="s">
        <v>318</v>
      </c>
      <c r="C728" s="367" t="s">
        <v>585</v>
      </c>
      <c r="D728" s="399" t="s">
        <v>1635</v>
      </c>
      <c r="E728" s="67">
        <v>198409</v>
      </c>
      <c r="F728" s="67" t="s">
        <v>2610</v>
      </c>
      <c r="J728" s="67" t="s">
        <v>793</v>
      </c>
      <c r="K728" s="67" t="s">
        <v>793</v>
      </c>
      <c r="L728" s="67" t="s">
        <v>793</v>
      </c>
      <c r="M728" s="67" t="s">
        <v>293</v>
      </c>
      <c r="N728" s="67">
        <v>20.767719270000001</v>
      </c>
      <c r="O728" s="67">
        <v>92.631736759999995</v>
      </c>
      <c r="P728" s="67" t="s">
        <v>794</v>
      </c>
      <c r="Q728" s="67" t="s">
        <v>2602</v>
      </c>
      <c r="R728" s="353"/>
      <c r="S728" s="354"/>
      <c r="T728" s="91"/>
      <c r="U728" s="87"/>
      <c r="V728" s="67" t="s">
        <v>585</v>
      </c>
      <c r="X728" s="454"/>
      <c r="Y728" s="454"/>
      <c r="Z728" s="454"/>
    </row>
    <row r="729" spans="1:26" s="67" customFormat="1" ht="14.25" hidden="1" customHeight="1">
      <c r="A729" s="350" t="s">
        <v>2623</v>
      </c>
      <c r="B729" s="368" t="s">
        <v>318</v>
      </c>
      <c r="C729" s="367" t="s">
        <v>2758</v>
      </c>
      <c r="D729" s="399"/>
      <c r="E729" s="67">
        <v>198362</v>
      </c>
      <c r="J729" s="67" t="s">
        <v>2629</v>
      </c>
      <c r="K729" s="67" t="s">
        <v>2597</v>
      </c>
      <c r="L729" s="67" t="s">
        <v>2597</v>
      </c>
      <c r="R729" s="353"/>
      <c r="S729" s="354"/>
      <c r="T729" s="91"/>
      <c r="U729" s="87"/>
      <c r="W729" s="350"/>
      <c r="X729" s="454"/>
      <c r="Y729" s="454"/>
      <c r="Z729" s="454"/>
    </row>
    <row r="730" spans="1:26" s="67" customFormat="1" ht="14.25" hidden="1" customHeight="1">
      <c r="A730" s="350" t="s">
        <v>2623</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2623</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2623</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2623</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2623</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2623</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2623</v>
      </c>
      <c r="B736" s="368" t="s">
        <v>318</v>
      </c>
      <c r="C736" s="367" t="s">
        <v>2784</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2623</v>
      </c>
      <c r="B737" s="368" t="s">
        <v>318</v>
      </c>
      <c r="C737" s="367" t="s">
        <v>2489</v>
      </c>
      <c r="D737" s="399"/>
      <c r="E737" s="67">
        <v>198337</v>
      </c>
      <c r="F737" s="67" t="s">
        <v>608</v>
      </c>
      <c r="J737" s="67" t="s">
        <v>793</v>
      </c>
      <c r="K737" s="67" t="s">
        <v>793</v>
      </c>
      <c r="L737" s="67" t="s">
        <v>793</v>
      </c>
      <c r="M737" s="67" t="s">
        <v>293</v>
      </c>
      <c r="Q737" s="67" t="s">
        <v>2602</v>
      </c>
      <c r="R737" s="353"/>
      <c r="S737" s="354"/>
      <c r="T737" s="91"/>
      <c r="U737" s="87"/>
      <c r="X737" s="454"/>
      <c r="Y737" s="454"/>
      <c r="Z737" s="454"/>
    </row>
    <row r="738" spans="1:26" s="67" customFormat="1" ht="14.25" hidden="1" customHeight="1">
      <c r="A738" s="350" t="s">
        <v>2623</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2623</v>
      </c>
      <c r="B739" s="476" t="s">
        <v>318</v>
      </c>
      <c r="C739" s="475" t="s">
        <v>2488</v>
      </c>
      <c r="D739" s="399"/>
      <c r="E739" s="67">
        <v>198363</v>
      </c>
      <c r="F739" s="67" t="s">
        <v>2604</v>
      </c>
      <c r="J739" s="67" t="s">
        <v>793</v>
      </c>
      <c r="K739" s="67" t="s">
        <v>793</v>
      </c>
      <c r="L739" s="67" t="s">
        <v>793</v>
      </c>
      <c r="M739" s="67" t="s">
        <v>293</v>
      </c>
      <c r="Q739" s="67" t="s">
        <v>2602</v>
      </c>
      <c r="R739" s="353"/>
      <c r="S739" s="354"/>
      <c r="T739" s="91"/>
      <c r="U739" s="87"/>
      <c r="X739" s="454"/>
      <c r="Y739" s="454"/>
      <c r="Z739" s="454"/>
    </row>
    <row r="740" spans="1:26" s="67" customFormat="1" ht="14.25" hidden="1" customHeight="1">
      <c r="A740" s="350" t="s">
        <v>2623</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2623</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2623</v>
      </c>
      <c r="B742" s="472" t="s">
        <v>318</v>
      </c>
      <c r="C742" s="471" t="s">
        <v>2498</v>
      </c>
      <c r="D742" s="399" t="s">
        <v>1635</v>
      </c>
      <c r="E742" s="67">
        <v>198300</v>
      </c>
      <c r="F742" s="350" t="s">
        <v>2609</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2623</v>
      </c>
      <c r="B743" s="431" t="s">
        <v>318</v>
      </c>
      <c r="C743" s="433" t="s">
        <v>2494</v>
      </c>
      <c r="D743" s="457"/>
      <c r="E743" s="171">
        <v>198434</v>
      </c>
      <c r="F743" s="171" t="s">
        <v>2607</v>
      </c>
      <c r="G743" s="171"/>
      <c r="H743" s="171"/>
      <c r="I743" s="171"/>
      <c r="J743" s="171" t="s">
        <v>793</v>
      </c>
      <c r="K743" s="171" t="s">
        <v>793</v>
      </c>
      <c r="L743" s="171" t="s">
        <v>793</v>
      </c>
      <c r="M743" s="171" t="s">
        <v>790</v>
      </c>
      <c r="N743" s="171"/>
      <c r="O743" s="171"/>
      <c r="P743" s="171"/>
      <c r="Q743" s="171" t="s">
        <v>2602</v>
      </c>
      <c r="R743" s="172"/>
      <c r="S743" s="170"/>
      <c r="T743" s="173"/>
      <c r="U743" s="174"/>
      <c r="V743" s="171"/>
      <c r="W743" s="458"/>
      <c r="X743" s="454"/>
      <c r="Y743" s="454"/>
      <c r="Z743" s="454"/>
    </row>
    <row r="744" spans="1:26" s="67" customFormat="1" ht="14.25" hidden="1" customHeight="1">
      <c r="A744" s="462" t="s">
        <v>2623</v>
      </c>
      <c r="B744" s="473" t="s">
        <v>318</v>
      </c>
      <c r="C744" s="382" t="s">
        <v>2495</v>
      </c>
      <c r="D744" s="457"/>
      <c r="E744" s="67">
        <v>198433</v>
      </c>
      <c r="F744" s="67" t="s">
        <v>2607</v>
      </c>
      <c r="J744" s="67" t="s">
        <v>793</v>
      </c>
      <c r="K744" s="350" t="s">
        <v>793</v>
      </c>
      <c r="L744" s="350" t="s">
        <v>793</v>
      </c>
      <c r="M744" s="67" t="s">
        <v>293</v>
      </c>
      <c r="O744" s="350"/>
      <c r="Q744" s="67" t="s">
        <v>2602</v>
      </c>
      <c r="R744" s="466"/>
      <c r="S744" s="354"/>
      <c r="T744" s="91"/>
      <c r="U744" s="466"/>
      <c r="W744" s="458"/>
      <c r="X744" s="454"/>
      <c r="Y744" s="454"/>
      <c r="Z744" s="454"/>
    </row>
    <row r="745" spans="1:26" s="67" customFormat="1" ht="14.25" hidden="1" customHeight="1">
      <c r="A745" s="350" t="s">
        <v>2623</v>
      </c>
      <c r="B745" s="368" t="s">
        <v>318</v>
      </c>
      <c r="C745" s="419" t="s">
        <v>2697</v>
      </c>
      <c r="D745" s="399"/>
      <c r="F745" s="408"/>
      <c r="J745" s="67" t="s">
        <v>2629</v>
      </c>
      <c r="K745" s="67" t="s">
        <v>2597</v>
      </c>
      <c r="L745" s="67" t="s">
        <v>2597</v>
      </c>
      <c r="R745" s="353"/>
      <c r="S745" s="86"/>
      <c r="T745" s="410">
        <v>43591</v>
      </c>
      <c r="U745" s="411"/>
      <c r="X745" s="454"/>
      <c r="Y745" s="454"/>
      <c r="Z745" s="454"/>
    </row>
    <row r="746" spans="1:26" s="454" customFormat="1" ht="14.25" hidden="1" customHeight="1">
      <c r="A746" s="454" t="s">
        <v>2623</v>
      </c>
      <c r="B746" s="472" t="s">
        <v>318</v>
      </c>
      <c r="C746" s="417" t="s">
        <v>2649</v>
      </c>
      <c r="D746" s="457" t="s">
        <v>1635</v>
      </c>
      <c r="E746" s="454">
        <v>198398</v>
      </c>
      <c r="F746" s="454" t="s">
        <v>2650</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2648</v>
      </c>
      <c r="V746" s="454" t="s">
        <v>576</v>
      </c>
      <c r="W746" s="458"/>
    </row>
    <row r="747" spans="1:26" s="67" customFormat="1" ht="14.25" hidden="1" customHeight="1">
      <c r="A747" s="350" t="s">
        <v>2623</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2623</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2623</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2623</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2623</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2623</v>
      </c>
      <c r="B752" s="372" t="s">
        <v>318</v>
      </c>
      <c r="C752" s="371" t="s">
        <v>2519</v>
      </c>
      <c r="D752" s="399"/>
      <c r="J752" s="67" t="s">
        <v>2629</v>
      </c>
      <c r="K752" s="350" t="s">
        <v>2597</v>
      </c>
      <c r="L752" s="350" t="s">
        <v>2597</v>
      </c>
      <c r="R752" s="353"/>
      <c r="S752" s="354"/>
      <c r="T752" s="91"/>
      <c r="U752" s="87"/>
      <c r="X752" s="454"/>
      <c r="Y752" s="454"/>
      <c r="Z752" s="454"/>
    </row>
    <row r="753" spans="1:26" ht="14.25" hidden="1" customHeight="1">
      <c r="A753" s="350" t="s">
        <v>2623</v>
      </c>
      <c r="B753" s="372" t="s">
        <v>318</v>
      </c>
      <c r="C753" s="371" t="s">
        <v>2486</v>
      </c>
      <c r="D753" s="399"/>
      <c r="E753" s="350">
        <v>198370</v>
      </c>
      <c r="F753" s="350" t="s">
        <v>2603</v>
      </c>
      <c r="G753" s="350"/>
      <c r="H753" s="350"/>
      <c r="I753" s="350"/>
      <c r="J753" s="67" t="s">
        <v>793</v>
      </c>
      <c r="K753" s="472" t="s">
        <v>793</v>
      </c>
      <c r="L753" s="472" t="s">
        <v>793</v>
      </c>
      <c r="M753" s="67" t="s">
        <v>790</v>
      </c>
      <c r="N753" s="67"/>
      <c r="O753" s="67"/>
      <c r="P753" s="350"/>
      <c r="Q753" s="67" t="s">
        <v>2602</v>
      </c>
      <c r="R753" s="353"/>
      <c r="S753" s="354"/>
      <c r="T753" s="91"/>
      <c r="U753" s="87"/>
      <c r="V753" s="67"/>
      <c r="W753" s="350"/>
      <c r="X753" s="454"/>
      <c r="Y753" s="454"/>
      <c r="Z753" s="454"/>
    </row>
    <row r="754" spans="1:26" ht="14.25" hidden="1" customHeight="1">
      <c r="A754" s="350" t="s">
        <v>2623</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2623</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2623</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2623</v>
      </c>
      <c r="B757" s="462" t="s">
        <v>318</v>
      </c>
      <c r="C757" s="498" t="s">
        <v>2783</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2623</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2623</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2602</v>
      </c>
      <c r="R759" s="409"/>
      <c r="S759" s="406"/>
      <c r="T759" s="410">
        <v>43580</v>
      </c>
      <c r="U759" s="411" t="s">
        <v>2648</v>
      </c>
      <c r="V759" s="412"/>
      <c r="W759" s="458"/>
      <c r="X759" s="454"/>
      <c r="Y759" s="454"/>
      <c r="Z759" s="454"/>
    </row>
    <row r="760" spans="1:26" ht="14.25" hidden="1" customHeight="1">
      <c r="A760" s="406" t="s">
        <v>2623</v>
      </c>
      <c r="B760" s="414" t="s">
        <v>318</v>
      </c>
      <c r="C760" s="432" t="s">
        <v>2652</v>
      </c>
      <c r="D760" s="457"/>
      <c r="E760" s="408">
        <v>198326</v>
      </c>
      <c r="F760" s="408" t="s">
        <v>2653</v>
      </c>
      <c r="G760" s="408"/>
      <c r="H760" s="408"/>
      <c r="I760" s="408"/>
      <c r="J760" s="67" t="s">
        <v>793</v>
      </c>
      <c r="K760" s="456" t="s">
        <v>793</v>
      </c>
      <c r="L760" s="456" t="s">
        <v>793</v>
      </c>
      <c r="M760" s="408"/>
      <c r="N760" s="408">
        <v>20.8608493804932</v>
      </c>
      <c r="O760" s="408">
        <v>92.539390563964801</v>
      </c>
      <c r="P760" s="408"/>
      <c r="Q760" s="408" t="s">
        <v>2602</v>
      </c>
      <c r="R760" s="409"/>
      <c r="S760" s="406"/>
      <c r="T760" s="410">
        <v>43580</v>
      </c>
      <c r="U760" s="411" t="s">
        <v>2648</v>
      </c>
      <c r="V760" s="412"/>
      <c r="W760" s="458"/>
      <c r="X760" s="454"/>
      <c r="Y760" s="454"/>
      <c r="Z760" s="454"/>
    </row>
    <row r="761" spans="1:26" ht="14.25" hidden="1" customHeight="1">
      <c r="A761" s="462" t="s">
        <v>2623</v>
      </c>
      <c r="B761" s="462" t="s">
        <v>318</v>
      </c>
      <c r="C761" s="487" t="s">
        <v>2698</v>
      </c>
      <c r="D761" s="457"/>
      <c r="E761" s="67">
        <v>198326</v>
      </c>
      <c r="F761" s="350"/>
      <c r="G761" s="67"/>
      <c r="H761" s="67"/>
      <c r="I761" s="67"/>
      <c r="J761" s="67" t="s">
        <v>2629</v>
      </c>
      <c r="K761" s="456" t="s">
        <v>2597</v>
      </c>
      <c r="L761" s="456" t="s">
        <v>2597</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2623</v>
      </c>
      <c r="B762" s="377" t="s">
        <v>318</v>
      </c>
      <c r="C762" s="487" t="s">
        <v>2789</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2623</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2623</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2623</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2623</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2623</v>
      </c>
      <c r="B767" s="486" t="s">
        <v>304</v>
      </c>
      <c r="C767" s="417" t="s">
        <v>2675</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2623</v>
      </c>
      <c r="B768" s="476" t="s">
        <v>304</v>
      </c>
      <c r="C768" s="475" t="s">
        <v>2674</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2623</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2623</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2623</v>
      </c>
      <c r="B771" s="414" t="s">
        <v>304</v>
      </c>
      <c r="C771" s="416" t="s">
        <v>2660</v>
      </c>
      <c r="D771" s="457"/>
      <c r="E771" s="408"/>
      <c r="F771" s="408"/>
      <c r="G771" s="408"/>
      <c r="H771" s="408"/>
      <c r="I771" s="408"/>
      <c r="J771" s="408" t="s">
        <v>2629</v>
      </c>
      <c r="K771" s="408" t="s">
        <v>2597</v>
      </c>
      <c r="L771" s="408" t="s">
        <v>2597</v>
      </c>
      <c r="M771" s="408"/>
      <c r="N771" s="408"/>
      <c r="O771" s="408"/>
      <c r="P771" s="408"/>
      <c r="Q771" s="408" t="s">
        <v>2602</v>
      </c>
      <c r="R771" s="409"/>
      <c r="S771" s="406"/>
      <c r="T771" s="410">
        <v>43580</v>
      </c>
      <c r="U771" s="411" t="s">
        <v>2648</v>
      </c>
      <c r="V771" s="412"/>
      <c r="W771" s="458"/>
      <c r="X771" s="454"/>
      <c r="Y771" s="454"/>
      <c r="Z771" s="454"/>
    </row>
    <row r="772" spans="1:26" ht="14.25" hidden="1" customHeight="1">
      <c r="A772" s="350" t="s">
        <v>2623</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2623</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2623</v>
      </c>
      <c r="B774" s="407" t="s">
        <v>304</v>
      </c>
      <c r="C774" s="416" t="s">
        <v>956</v>
      </c>
      <c r="D774" s="352" t="s">
        <v>1635</v>
      </c>
      <c r="E774" s="408">
        <v>197817</v>
      </c>
      <c r="F774" s="420" t="s">
        <v>2658</v>
      </c>
      <c r="G774" s="408"/>
      <c r="H774" s="408"/>
      <c r="I774" s="408"/>
      <c r="J774" s="408" t="s">
        <v>2629</v>
      </c>
      <c r="K774" s="408" t="s">
        <v>2597</v>
      </c>
      <c r="L774" s="408" t="s">
        <v>2597</v>
      </c>
      <c r="M774" s="67" t="s">
        <v>790</v>
      </c>
      <c r="N774" s="67">
        <v>21.2688694</v>
      </c>
      <c r="O774" s="350">
        <v>92.274917599999995</v>
      </c>
      <c r="P774" s="67" t="s">
        <v>794</v>
      </c>
      <c r="Q774" s="408" t="s">
        <v>2602</v>
      </c>
      <c r="R774" s="421"/>
      <c r="S774" s="418"/>
      <c r="T774" s="410">
        <v>43580</v>
      </c>
      <c r="U774" s="411" t="s">
        <v>2648</v>
      </c>
      <c r="V774" s="67" t="s">
        <v>955</v>
      </c>
      <c r="W774" s="458"/>
      <c r="X774" s="454"/>
      <c r="Y774" s="454"/>
      <c r="Z774" s="454"/>
    </row>
    <row r="775" spans="1:26" ht="14.25" hidden="1" customHeight="1">
      <c r="A775" s="350" t="s">
        <v>2623</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2623</v>
      </c>
      <c r="B776" s="476" t="s">
        <v>304</v>
      </c>
      <c r="C776" s="475" t="s">
        <v>2502</v>
      </c>
      <c r="D776" s="399"/>
      <c r="E776" s="67">
        <v>197968</v>
      </c>
      <c r="F776" s="456" t="s">
        <v>2504</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2623</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2623</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2623</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2623</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2623</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2623</v>
      </c>
      <c r="B782" s="407" t="s">
        <v>304</v>
      </c>
      <c r="C782" s="416" t="s">
        <v>2655</v>
      </c>
      <c r="D782" s="457"/>
      <c r="E782" s="408">
        <v>197800</v>
      </c>
      <c r="F782" s="408" t="s">
        <v>2656</v>
      </c>
      <c r="G782" s="408"/>
      <c r="H782" s="408"/>
      <c r="I782" s="408"/>
      <c r="J782" s="350" t="s">
        <v>793</v>
      </c>
      <c r="K782" s="350" t="s">
        <v>793</v>
      </c>
      <c r="L782" s="350" t="s">
        <v>793</v>
      </c>
      <c r="M782" s="408"/>
      <c r="N782" s="408">
        <v>21.363349914550799</v>
      </c>
      <c r="O782" s="408">
        <v>92.280487060546903</v>
      </c>
      <c r="P782" s="408"/>
      <c r="Q782" s="408" t="s">
        <v>2602</v>
      </c>
      <c r="R782" s="421"/>
      <c r="S782" s="418"/>
      <c r="T782" s="410">
        <v>43580</v>
      </c>
      <c r="U782" s="411" t="s">
        <v>2648</v>
      </c>
      <c r="V782" s="412"/>
      <c r="W782" s="458"/>
      <c r="X782" s="454"/>
      <c r="Y782" s="454"/>
      <c r="Z782" s="454"/>
    </row>
    <row r="783" spans="1:26" ht="14.25" hidden="1" customHeight="1">
      <c r="A783" s="350" t="s">
        <v>2623</v>
      </c>
      <c r="B783" s="476" t="s">
        <v>304</v>
      </c>
      <c r="C783" s="475" t="s">
        <v>656</v>
      </c>
      <c r="D783" s="399" t="s">
        <v>1635</v>
      </c>
      <c r="E783" s="67">
        <v>220734</v>
      </c>
      <c r="F783" s="67" t="s">
        <v>2611</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2623</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2623</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2623</v>
      </c>
      <c r="B786" s="372" t="s">
        <v>304</v>
      </c>
      <c r="C786" s="371" t="s">
        <v>2263</v>
      </c>
      <c r="D786" s="399"/>
      <c r="E786" s="499">
        <v>196937</v>
      </c>
      <c r="F786" s="456" t="s">
        <v>2611</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2623</v>
      </c>
      <c r="B787" s="372" t="s">
        <v>304</v>
      </c>
      <c r="C787" s="371" t="s">
        <v>2018</v>
      </c>
      <c r="D787" s="399"/>
      <c r="E787" s="67">
        <v>197947</v>
      </c>
      <c r="F787" s="350" t="s">
        <v>2611</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2623</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2623</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2623</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2623</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2623</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2623</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2623</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2623</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2623</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2623</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2623</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2623</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2623</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2623</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2623</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2623</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2623</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2623</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2623</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2623</v>
      </c>
      <c r="B807" s="476" t="s">
        <v>304</v>
      </c>
      <c r="C807" s="475" t="s">
        <v>1879</v>
      </c>
      <c r="D807" s="399"/>
      <c r="E807" s="67">
        <v>197969</v>
      </c>
      <c r="F807" s="350" t="s">
        <v>2504</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2623</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2623</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2623</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2623</v>
      </c>
      <c r="B811" s="476" t="s">
        <v>304</v>
      </c>
      <c r="C811" s="475" t="s">
        <v>2503</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2623</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2623</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2623</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2623</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2623</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2623</v>
      </c>
      <c r="B817" s="486" t="s">
        <v>304</v>
      </c>
      <c r="C817" s="487" t="s">
        <v>2785</v>
      </c>
      <c r="D817" s="457"/>
      <c r="E817" s="67">
        <v>217895</v>
      </c>
      <c r="F817" s="484" t="s">
        <v>2791</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2623</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2623</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2623</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2623</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2623</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2623</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2623</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2623</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2623</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2623</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2623</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2623</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2623</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2623</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2623</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2623</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2623</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2623</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2623</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2623</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2623</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2623</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2623</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2623</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2623</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2623</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2623</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2623</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2623</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2623</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2623</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2623</v>
      </c>
      <c r="B849" s="377" t="s">
        <v>304</v>
      </c>
      <c r="C849" s="378" t="s">
        <v>2677</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2623</v>
      </c>
      <c r="B850" s="476" t="s">
        <v>304</v>
      </c>
      <c r="C850" s="475" t="s">
        <v>2676</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2623</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2623</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2623</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2623</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2623</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2623</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2623</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2623</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2623</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2623</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2623</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2623</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2623</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2623</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2623</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2623</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2623</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2623</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2623</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2623</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2623</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2623</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2623</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2623</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2623</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2623</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2623</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2623</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2623</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2623</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2623</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2623</v>
      </c>
      <c r="B882" s="372" t="s">
        <v>304</v>
      </c>
      <c r="C882" s="371" t="s">
        <v>2500</v>
      </c>
      <c r="D882" s="399"/>
      <c r="E882" s="340"/>
      <c r="F882" s="340" t="s">
        <v>2612</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2623</v>
      </c>
      <c r="B883" s="486" t="s">
        <v>304</v>
      </c>
      <c r="C883" s="487" t="s">
        <v>2786</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2623</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2623</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2623</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2623</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2623</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2623</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2623</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2623</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2623</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2623</v>
      </c>
      <c r="B893" s="377" t="s">
        <v>304</v>
      </c>
      <c r="C893" s="487" t="s">
        <v>2787</v>
      </c>
      <c r="D893" s="352"/>
      <c r="E893" s="340">
        <v>198002</v>
      </c>
      <c r="F893" s="350" t="s">
        <v>2791</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2623</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2623</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2623</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2623</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2623</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2623</v>
      </c>
      <c r="B899" s="407" t="s">
        <v>304</v>
      </c>
      <c r="C899" s="416" t="s">
        <v>2661</v>
      </c>
      <c r="D899" s="352"/>
      <c r="E899" s="408">
        <v>198085</v>
      </c>
      <c r="F899" s="408" t="s">
        <v>2647</v>
      </c>
      <c r="G899" s="408"/>
      <c r="H899" s="408"/>
      <c r="I899" s="408"/>
      <c r="J899" s="408" t="s">
        <v>2629</v>
      </c>
      <c r="K899" s="408" t="s">
        <v>2597</v>
      </c>
      <c r="L899" s="408" t="s">
        <v>2597</v>
      </c>
      <c r="M899" s="408"/>
      <c r="N899" s="408">
        <v>20.4804992675781</v>
      </c>
      <c r="O899" s="482">
        <v>92.611358642578097</v>
      </c>
      <c r="P899" s="408"/>
      <c r="Q899" s="408" t="s">
        <v>2602</v>
      </c>
      <c r="R899" s="409"/>
      <c r="S899" s="406"/>
      <c r="T899" s="410">
        <v>43580</v>
      </c>
      <c r="U899" s="411" t="s">
        <v>2648</v>
      </c>
      <c r="V899" s="412"/>
      <c r="W899" s="458"/>
      <c r="X899" s="454"/>
      <c r="Y899" s="454"/>
      <c r="Z899" s="454"/>
    </row>
    <row r="900" spans="1:26" ht="14.25" hidden="1" customHeight="1">
      <c r="A900" s="350" t="s">
        <v>2623</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2623</v>
      </c>
      <c r="B901" s="486" t="s">
        <v>304</v>
      </c>
      <c r="C901" s="487" t="s">
        <v>2665</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2623</v>
      </c>
      <c r="B902" s="372" t="s">
        <v>304</v>
      </c>
      <c r="C902" s="371" t="s">
        <v>2664</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2623</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2623</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2623</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2623</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2623</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2623</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2623</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2623</v>
      </c>
      <c r="B910" s="372" t="s">
        <v>304</v>
      </c>
      <c r="C910" s="371" t="s">
        <v>2678</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2623</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2623</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2623</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2623</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2623</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2623</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2623</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2623</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2623</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2623</v>
      </c>
      <c r="B920" s="372" t="s">
        <v>304</v>
      </c>
      <c r="C920" s="371" t="s">
        <v>2501</v>
      </c>
      <c r="D920" s="399"/>
      <c r="E920" s="454">
        <v>220736</v>
      </c>
      <c r="F920" s="340" t="s">
        <v>2613</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2623</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2623</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2623</v>
      </c>
      <c r="B923" s="407" t="s">
        <v>304</v>
      </c>
      <c r="C923" s="416" t="s">
        <v>2659</v>
      </c>
      <c r="D923" s="457"/>
      <c r="E923" s="408">
        <v>197860</v>
      </c>
      <c r="F923" s="408" t="s">
        <v>2659</v>
      </c>
      <c r="G923" s="408"/>
      <c r="H923" s="408"/>
      <c r="I923" s="408"/>
      <c r="J923" s="408" t="s">
        <v>2629</v>
      </c>
      <c r="K923" s="408" t="s">
        <v>2597</v>
      </c>
      <c r="L923" s="408" t="s">
        <v>2597</v>
      </c>
      <c r="M923" s="408"/>
      <c r="N923" s="408">
        <v>21.1420993804932</v>
      </c>
      <c r="O923" s="408">
        <v>92.338172912597699</v>
      </c>
      <c r="P923" s="408"/>
      <c r="Q923" s="408" t="s">
        <v>2602</v>
      </c>
      <c r="R923" s="409"/>
      <c r="S923" s="406"/>
      <c r="T923" s="410">
        <v>43580</v>
      </c>
      <c r="U923" s="411" t="s">
        <v>2648</v>
      </c>
      <c r="V923" s="412"/>
      <c r="W923" s="458"/>
      <c r="X923" s="454"/>
      <c r="Y923" s="454"/>
      <c r="Z923" s="454"/>
    </row>
    <row r="924" spans="1:26" ht="14.25" hidden="1" customHeight="1">
      <c r="A924" s="350" t="s">
        <v>2623</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2623</v>
      </c>
      <c r="B925" s="407" t="s">
        <v>304</v>
      </c>
      <c r="C925" s="416" t="s">
        <v>2657</v>
      </c>
      <c r="D925" s="457"/>
      <c r="E925" s="408">
        <v>197841</v>
      </c>
      <c r="F925" s="408" t="s">
        <v>2657</v>
      </c>
      <c r="G925" s="408"/>
      <c r="H925" s="408"/>
      <c r="I925" s="408"/>
      <c r="J925" s="340" t="s">
        <v>793</v>
      </c>
      <c r="K925" s="340" t="s">
        <v>793</v>
      </c>
      <c r="L925" s="340" t="s">
        <v>793</v>
      </c>
      <c r="M925" s="408"/>
      <c r="N925" s="408">
        <v>21.2080974578857</v>
      </c>
      <c r="O925" s="408">
        <v>92.308609008789105</v>
      </c>
      <c r="P925" s="408"/>
      <c r="Q925" s="408" t="s">
        <v>2602</v>
      </c>
      <c r="R925" s="409"/>
      <c r="S925" s="406"/>
      <c r="T925" s="410">
        <v>43580</v>
      </c>
      <c r="U925" s="411" t="s">
        <v>2648</v>
      </c>
      <c r="V925" s="412"/>
      <c r="W925" s="458"/>
      <c r="X925" s="454"/>
      <c r="Y925" s="454"/>
      <c r="Z925" s="454"/>
    </row>
    <row r="926" spans="1:26" ht="14.25" hidden="1" customHeight="1">
      <c r="A926" s="350" t="s">
        <v>2623</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2623</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2623</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2623</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2623</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2623</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2623</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2623</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2623</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2623</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2623</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2602</v>
      </c>
      <c r="R936" s="409"/>
      <c r="S936" s="406"/>
      <c r="T936" s="410">
        <v>43580</v>
      </c>
      <c r="U936" s="411" t="s">
        <v>2648</v>
      </c>
      <c r="V936" s="340" t="s">
        <v>562</v>
      </c>
      <c r="W936" s="353"/>
      <c r="X936" s="454"/>
      <c r="Y936" s="454"/>
      <c r="Z936" s="454"/>
    </row>
    <row r="937" spans="1:26" ht="14.25" hidden="1" customHeight="1">
      <c r="A937" s="350" t="s">
        <v>2623</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2623</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2623</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2623</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2623</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2623</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2623</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2623</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2623</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2623</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2623</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2623</v>
      </c>
      <c r="B948" s="486" t="s">
        <v>336</v>
      </c>
      <c r="C948" s="487" t="s">
        <v>2779</v>
      </c>
      <c r="D948" s="457"/>
      <c r="E948" s="340" t="s">
        <v>2780</v>
      </c>
      <c r="F948" s="340"/>
      <c r="G948" s="340"/>
      <c r="H948" s="340"/>
      <c r="I948" s="350"/>
      <c r="J948" s="340" t="s">
        <v>2629</v>
      </c>
      <c r="K948" s="340" t="s">
        <v>2597</v>
      </c>
      <c r="L948" s="340" t="s">
        <v>2597</v>
      </c>
      <c r="M948" s="340"/>
      <c r="N948" s="350"/>
      <c r="O948" s="350"/>
      <c r="P948" s="340"/>
      <c r="Q948" s="340"/>
      <c r="R948" s="466"/>
      <c r="S948" s="354"/>
      <c r="T948" s="343">
        <v>43591</v>
      </c>
      <c r="U948" s="466"/>
      <c r="V948" s="463" t="s">
        <v>2744</v>
      </c>
      <c r="W948" s="353"/>
      <c r="X948" s="454"/>
      <c r="Y948" s="454"/>
      <c r="Z948" s="454"/>
    </row>
    <row r="949" spans="1:26" ht="14.25" hidden="1" customHeight="1">
      <c r="A949" s="350" t="s">
        <v>2623</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2623</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2623</v>
      </c>
      <c r="B951" s="476" t="s">
        <v>336</v>
      </c>
      <c r="C951" s="475" t="s">
        <v>369</v>
      </c>
      <c r="D951" s="399" t="s">
        <v>1635</v>
      </c>
      <c r="E951" s="340">
        <v>220977</v>
      </c>
      <c r="F951" s="340" t="s">
        <v>2670</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2623</v>
      </c>
      <c r="B952" s="377" t="s">
        <v>336</v>
      </c>
      <c r="C952" s="378" t="s">
        <v>2778</v>
      </c>
      <c r="D952" s="352"/>
      <c r="E952" s="340">
        <v>220693</v>
      </c>
      <c r="F952" s="340"/>
      <c r="G952" s="340"/>
      <c r="H952" s="350"/>
      <c r="I952" s="350"/>
      <c r="J952" s="340" t="s">
        <v>2629</v>
      </c>
      <c r="K952" s="340" t="s">
        <v>2597</v>
      </c>
      <c r="L952" s="340" t="s">
        <v>2597</v>
      </c>
      <c r="M952" s="340"/>
      <c r="N952" s="350">
        <v>20.586620330810501</v>
      </c>
      <c r="O952" s="350">
        <v>92.689620971679702</v>
      </c>
      <c r="P952" s="340"/>
      <c r="Q952" s="340"/>
      <c r="R952" s="361"/>
      <c r="S952" s="354"/>
      <c r="T952" s="343">
        <v>43591</v>
      </c>
      <c r="U952" s="466"/>
      <c r="V952" s="340" t="s">
        <v>2743</v>
      </c>
      <c r="W952" s="353"/>
      <c r="X952" s="454"/>
      <c r="Y952" s="454"/>
      <c r="Z952" s="454"/>
    </row>
    <row r="953" spans="1:26" ht="14.25" hidden="1" customHeight="1">
      <c r="A953" s="350" t="s">
        <v>2623</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2623</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2623</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2623</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2623</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2623</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2623</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2623</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2623</v>
      </c>
      <c r="B961" s="486" t="s">
        <v>336</v>
      </c>
      <c r="C961" s="487" t="s">
        <v>2777</v>
      </c>
      <c r="D961" s="457"/>
      <c r="E961" s="340">
        <v>197581</v>
      </c>
      <c r="F961" s="340"/>
      <c r="G961" s="340"/>
      <c r="H961" s="350"/>
      <c r="I961" s="350"/>
      <c r="J961" s="340" t="s">
        <v>2629</v>
      </c>
      <c r="K961" s="340" t="s">
        <v>2597</v>
      </c>
      <c r="L961" s="340" t="s">
        <v>2597</v>
      </c>
      <c r="M961" s="340"/>
      <c r="N961" s="350">
        <v>20.631229400634801</v>
      </c>
      <c r="O961" s="350">
        <v>92.641532897949205</v>
      </c>
      <c r="P961" s="340"/>
      <c r="Q961" s="340"/>
      <c r="R961" s="466"/>
      <c r="S961" s="459"/>
      <c r="T961" s="343">
        <v>43591</v>
      </c>
      <c r="U961" s="466"/>
      <c r="V961" s="340" t="s">
        <v>2742</v>
      </c>
      <c r="W961" s="353"/>
      <c r="X961" s="454"/>
      <c r="Y961" s="454"/>
      <c r="Z961" s="454"/>
    </row>
    <row r="962" spans="1:26" ht="14.25" hidden="1" customHeight="1">
      <c r="A962" s="350" t="s">
        <v>2623</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2623</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2623</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2623</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2623</v>
      </c>
      <c r="B966" s="372" t="s">
        <v>336</v>
      </c>
      <c r="C966" s="371" t="s">
        <v>517</v>
      </c>
      <c r="D966" s="399" t="s">
        <v>1635</v>
      </c>
      <c r="E966" s="340">
        <v>197695</v>
      </c>
      <c r="F966" s="340" t="s">
        <v>2671</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2623</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2623</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2623</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2623</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2623</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2623</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2623</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2623</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2623</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2623</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2623</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2623</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2623</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2623</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2623</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2623</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2623</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2623</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2623</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2623</v>
      </c>
      <c r="B986" s="372" t="s">
        <v>336</v>
      </c>
      <c r="C986" s="371" t="s">
        <v>542</v>
      </c>
      <c r="D986" s="399" t="s">
        <v>1635</v>
      </c>
      <c r="E986" s="340">
        <v>197669</v>
      </c>
      <c r="F986" s="456"/>
      <c r="G986" s="340"/>
      <c r="H986" s="340"/>
      <c r="I986" s="340"/>
      <c r="J986" s="340" t="s">
        <v>2629</v>
      </c>
      <c r="K986" s="340" t="s">
        <v>2597</v>
      </c>
      <c r="L986" s="340" t="s">
        <v>2597</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2623</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2623</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2623</v>
      </c>
      <c r="B989" s="372" t="s">
        <v>336</v>
      </c>
      <c r="C989" s="371" t="s">
        <v>533</v>
      </c>
      <c r="D989" s="457" t="s">
        <v>1635</v>
      </c>
      <c r="E989" s="340">
        <v>197683</v>
      </c>
      <c r="F989" s="456"/>
      <c r="G989" s="340"/>
      <c r="H989" s="340"/>
      <c r="I989" s="340"/>
      <c r="J989" s="340" t="s">
        <v>2629</v>
      </c>
      <c r="K989" s="340" t="s">
        <v>2597</v>
      </c>
      <c r="L989" s="340" t="s">
        <v>2597</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2623</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2623</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2623</v>
      </c>
      <c r="B992" s="372" t="s">
        <v>336</v>
      </c>
      <c r="C992" s="371" t="s">
        <v>2672</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2623</v>
      </c>
      <c r="B993" s="372" t="s">
        <v>336</v>
      </c>
      <c r="C993" s="371" t="s">
        <v>2776</v>
      </c>
      <c r="D993" s="399" t="s">
        <v>1635</v>
      </c>
      <c r="E993" s="340">
        <v>197589</v>
      </c>
      <c r="F993" s="340" t="s">
        <v>903</v>
      </c>
      <c r="G993" s="340"/>
      <c r="H993" s="350"/>
      <c r="I993" s="350"/>
      <c r="J993" s="340" t="s">
        <v>2629</v>
      </c>
      <c r="K993" s="340" t="s">
        <v>2597</v>
      </c>
      <c r="L993" s="340" t="s">
        <v>2597</v>
      </c>
      <c r="M993" s="340"/>
      <c r="N993" s="350">
        <v>20.575780868530298</v>
      </c>
      <c r="O993" s="350">
        <v>92.670402526855497</v>
      </c>
      <c r="P993" s="340"/>
      <c r="Q993" s="340"/>
      <c r="R993" s="353"/>
      <c r="S993" s="459"/>
      <c r="T993" s="343"/>
      <c r="U993" s="342"/>
      <c r="V993" s="340" t="s">
        <v>2740</v>
      </c>
      <c r="W993" s="353"/>
      <c r="X993" s="454"/>
      <c r="Y993" s="454"/>
      <c r="Z993" s="454"/>
    </row>
    <row r="994" spans="1:26" ht="14.25" hidden="1" customHeight="1">
      <c r="A994" s="462" t="s">
        <v>2623</v>
      </c>
      <c r="B994" s="486" t="s">
        <v>336</v>
      </c>
      <c r="C994" s="487" t="s">
        <v>2746</v>
      </c>
      <c r="D994" s="457"/>
      <c r="E994" s="340"/>
      <c r="F994" s="454"/>
      <c r="G994" s="340"/>
      <c r="H994" s="350"/>
      <c r="I994" s="350"/>
      <c r="J994" s="340" t="s">
        <v>2629</v>
      </c>
      <c r="K994" s="340" t="s">
        <v>2597</v>
      </c>
      <c r="L994" s="340" t="s">
        <v>2597</v>
      </c>
      <c r="M994" s="340"/>
      <c r="N994" s="350"/>
      <c r="O994" s="350"/>
      <c r="P994" s="340"/>
      <c r="Q994" s="340"/>
      <c r="R994" s="466"/>
      <c r="S994" s="354"/>
      <c r="T994" s="343">
        <v>43591</v>
      </c>
      <c r="U994" s="466"/>
      <c r="V994" s="463" t="s">
        <v>2746</v>
      </c>
      <c r="W994" s="353"/>
      <c r="X994" s="454"/>
      <c r="Y994" s="454"/>
      <c r="Z994" s="454"/>
    </row>
    <row r="995" spans="1:26" ht="14.25" hidden="1" customHeight="1">
      <c r="A995" s="454" t="s">
        <v>2623</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2623</v>
      </c>
      <c r="B996" s="486" t="s">
        <v>336</v>
      </c>
      <c r="C996" s="487" t="s">
        <v>2747</v>
      </c>
      <c r="D996" s="457"/>
      <c r="E996" s="340"/>
      <c r="F996" s="340"/>
      <c r="G996" s="340"/>
      <c r="H996" s="340"/>
      <c r="I996" s="340"/>
      <c r="J996" s="350" t="s">
        <v>2629</v>
      </c>
      <c r="K996" s="350" t="s">
        <v>2597</v>
      </c>
      <c r="L996" s="350" t="s">
        <v>2597</v>
      </c>
      <c r="M996" s="340"/>
      <c r="N996" s="340"/>
      <c r="O996" s="340"/>
      <c r="P996" s="340"/>
      <c r="Q996" s="340"/>
      <c r="R996" s="466"/>
      <c r="S996" s="341"/>
      <c r="T996" s="343">
        <v>43591</v>
      </c>
      <c r="U996" s="466"/>
      <c r="V996" s="340"/>
      <c r="W996" s="353"/>
      <c r="X996" s="454"/>
      <c r="Y996" s="454"/>
      <c r="Z996" s="454"/>
    </row>
    <row r="997" spans="1:26" ht="14.25" hidden="1" customHeight="1">
      <c r="A997" s="350" t="s">
        <v>2623</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2623</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2623</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2623</v>
      </c>
      <c r="B1000" s="486" t="s">
        <v>336</v>
      </c>
      <c r="C1000" s="487" t="s">
        <v>2745</v>
      </c>
      <c r="D1000" s="457"/>
      <c r="E1000" s="340">
        <v>197677</v>
      </c>
      <c r="F1000" s="340"/>
      <c r="G1000" s="340"/>
      <c r="H1000" s="340"/>
      <c r="I1000" s="350"/>
      <c r="J1000" s="340" t="s">
        <v>2629</v>
      </c>
      <c r="K1000" s="340" t="s">
        <v>2597</v>
      </c>
      <c r="L1000" s="350" t="s">
        <v>2597</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2623</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2623</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2623</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2623</v>
      </c>
      <c r="B1004" s="486" t="s">
        <v>336</v>
      </c>
      <c r="C1004" s="487" t="s">
        <v>2741</v>
      </c>
      <c r="D1004" s="457"/>
      <c r="E1004" s="340"/>
      <c r="F1004" s="340"/>
      <c r="G1004" s="340"/>
      <c r="H1004" s="340"/>
      <c r="I1004" s="340"/>
      <c r="J1004" s="340" t="s">
        <v>2629</v>
      </c>
      <c r="K1004" s="340" t="s">
        <v>2597</v>
      </c>
      <c r="L1004" s="340" t="s">
        <v>2597</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2623</v>
      </c>
      <c r="B1005" s="372" t="s">
        <v>336</v>
      </c>
      <c r="C1005" s="371" t="s">
        <v>522</v>
      </c>
      <c r="D1005" s="399" t="s">
        <v>1635</v>
      </c>
      <c r="E1005" s="340">
        <v>197673</v>
      </c>
      <c r="F1005" s="340"/>
      <c r="G1005" s="340"/>
      <c r="H1005" s="340"/>
      <c r="I1005" s="340"/>
      <c r="J1005" s="340" t="s">
        <v>2629</v>
      </c>
      <c r="K1005" s="340" t="s">
        <v>2597</v>
      </c>
      <c r="L1005" s="340" t="s">
        <v>2597</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2623</v>
      </c>
      <c r="B1006" s="486" t="s">
        <v>336</v>
      </c>
      <c r="C1006" s="487" t="s">
        <v>526</v>
      </c>
      <c r="D1006" s="457"/>
      <c r="E1006" s="340">
        <v>197675</v>
      </c>
      <c r="F1006" s="350"/>
      <c r="G1006" s="340"/>
      <c r="H1006" s="340"/>
      <c r="I1006" s="350"/>
      <c r="J1006" s="350" t="s">
        <v>2629</v>
      </c>
      <c r="K1006" s="350" t="s">
        <v>2597</v>
      </c>
      <c r="L1006" s="350" t="s">
        <v>2597</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2623</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2796</v>
      </c>
      <c r="E1036" s="350" t="s">
        <v>1408</v>
      </c>
      <c r="F1036" s="350" t="s">
        <v>717</v>
      </c>
      <c r="G1036" s="350" t="s">
        <v>717</v>
      </c>
      <c r="H1036" s="350" t="s">
        <v>41</v>
      </c>
      <c r="I1036" s="350" t="s">
        <v>2639</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2616</v>
      </c>
      <c r="D1039" s="457"/>
      <c r="E1039" s="350"/>
      <c r="F1039" s="350"/>
      <c r="G1039" s="350"/>
      <c r="H1039" s="350"/>
      <c r="I1039" s="350"/>
      <c r="J1039" s="350" t="s">
        <v>2629</v>
      </c>
      <c r="K1039" s="350" t="s">
        <v>2597</v>
      </c>
      <c r="L1039" s="350" t="s">
        <v>2597</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2796</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2617</v>
      </c>
      <c r="D1041" s="457"/>
      <c r="E1041" s="350"/>
      <c r="F1041" s="350"/>
      <c r="G1041" s="350"/>
      <c r="H1041" s="350"/>
      <c r="I1041" s="350"/>
      <c r="J1041" s="350" t="s">
        <v>2629</v>
      </c>
      <c r="K1041" s="350" t="s">
        <v>2597</v>
      </c>
      <c r="L1041" s="350" t="s">
        <v>2597</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2618</v>
      </c>
      <c r="D1042" s="352"/>
      <c r="E1042" s="350"/>
      <c r="F1042" s="350"/>
      <c r="G1042" s="350"/>
      <c r="H1042" s="350"/>
      <c r="I1042" s="350"/>
      <c r="J1042" s="350" t="s">
        <v>2629</v>
      </c>
      <c r="K1042" s="350" t="s">
        <v>2597</v>
      </c>
      <c r="L1042" s="350" t="s">
        <v>2597</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2796</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2796</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2796</v>
      </c>
      <c r="E1047" s="350" t="s">
        <v>1414</v>
      </c>
      <c r="F1047" s="350" t="s">
        <v>1741</v>
      </c>
      <c r="G1047" s="350" t="s">
        <v>1742</v>
      </c>
      <c r="H1047" s="350" t="s">
        <v>41</v>
      </c>
      <c r="I1047" s="454" t="s">
        <v>2639</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2796</v>
      </c>
      <c r="E1048" s="350" t="s">
        <v>1415</v>
      </c>
      <c r="F1048" s="350" t="s">
        <v>1741</v>
      </c>
      <c r="G1048" s="350" t="s">
        <v>1640</v>
      </c>
      <c r="H1048" s="350" t="s">
        <v>41</v>
      </c>
      <c r="I1048" s="350" t="s">
        <v>2639</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2796</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2796</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2796</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2796</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2796</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2796</v>
      </c>
      <c r="E1056" s="350" t="s">
        <v>1411</v>
      </c>
      <c r="F1056" s="350"/>
      <c r="G1056" s="350"/>
      <c r="H1056" s="350" t="s">
        <v>41</v>
      </c>
      <c r="I1056" s="350" t="s">
        <v>2639</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2796</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2796</v>
      </c>
      <c r="E1059" s="350" t="s">
        <v>1423</v>
      </c>
      <c r="F1059" s="350" t="s">
        <v>1747</v>
      </c>
      <c r="G1059" s="350" t="s">
        <v>1748</v>
      </c>
      <c r="H1059" s="350" t="s">
        <v>41</v>
      </c>
      <c r="I1059" s="350" t="s">
        <v>2639</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2796</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2796</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2796</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2796</v>
      </c>
      <c r="E1063" s="350" t="s">
        <v>1410</v>
      </c>
      <c r="F1063" s="350" t="s">
        <v>1648</v>
      </c>
      <c r="G1063" s="350" t="s">
        <v>1649</v>
      </c>
      <c r="H1063" s="350" t="s">
        <v>41</v>
      </c>
      <c r="I1063" s="350" t="s">
        <v>2639</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2799</v>
      </c>
      <c r="D1064" s="352"/>
      <c r="E1064" s="350"/>
      <c r="F1064" s="350"/>
      <c r="G1064" s="350"/>
      <c r="H1064" s="350"/>
      <c r="I1064" s="350"/>
      <c r="J1064" s="350" t="s">
        <v>1443</v>
      </c>
      <c r="K1064" s="350" t="s">
        <v>43</v>
      </c>
      <c r="L1064" s="350" t="s">
        <v>771</v>
      </c>
      <c r="M1064" s="350" t="s">
        <v>44</v>
      </c>
      <c r="N1064" s="350"/>
      <c r="O1064" s="350"/>
      <c r="P1064" s="350" t="s">
        <v>756</v>
      </c>
      <c r="Q1064" s="350" t="s">
        <v>2800</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2801</v>
      </c>
      <c r="D1066" s="457"/>
      <c r="E1066" s="350"/>
      <c r="F1066" s="350"/>
      <c r="G1066" s="350"/>
      <c r="H1066" s="350"/>
      <c r="I1066" s="350"/>
      <c r="J1066" s="350" t="s">
        <v>1443</v>
      </c>
      <c r="K1066" s="350" t="s">
        <v>43</v>
      </c>
      <c r="L1066" s="350" t="s">
        <v>771</v>
      </c>
      <c r="M1066" s="350" t="s">
        <v>44</v>
      </c>
      <c r="N1066" s="350"/>
      <c r="O1066" s="350"/>
      <c r="P1066" s="350" t="s">
        <v>756</v>
      </c>
      <c r="Q1066" s="350" t="s">
        <v>2800</v>
      </c>
      <c r="R1066" s="466"/>
      <c r="S1066" s="459"/>
      <c r="T1066" s="373">
        <v>43633</v>
      </c>
      <c r="U1066" s="355"/>
      <c r="V1066" s="350"/>
      <c r="W1066" s="458"/>
      <c r="X1066" s="460"/>
      <c r="Y1066" s="454"/>
      <c r="Z1066" s="458"/>
    </row>
    <row r="1067" spans="1:26" ht="14.25" hidden="1" customHeight="1">
      <c r="A1067" s="417" t="s">
        <v>697</v>
      </c>
      <c r="B1067" s="377" t="s">
        <v>1236</v>
      </c>
      <c r="C1067" s="417" t="s">
        <v>2409</v>
      </c>
      <c r="D1067" s="352"/>
      <c r="E1067" s="350"/>
      <c r="F1067" s="350"/>
      <c r="G1067" s="350"/>
      <c r="H1067" s="350"/>
      <c r="I1067" s="350"/>
      <c r="J1067" s="350" t="s">
        <v>2629</v>
      </c>
      <c r="K1067" s="350" t="s">
        <v>2597</v>
      </c>
      <c r="L1067" s="350" t="s">
        <v>2597</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2642</v>
      </c>
      <c r="V1069" s="350"/>
      <c r="W1069" s="346" t="s">
        <v>2231</v>
      </c>
      <c r="X1069" s="460"/>
      <c r="Y1069" s="454"/>
      <c r="Z1069" s="458"/>
    </row>
    <row r="1070" spans="1:26" ht="14.25" hidden="1" customHeight="1">
      <c r="A1070" s="417" t="s">
        <v>697</v>
      </c>
      <c r="B1070" s="377" t="s">
        <v>704</v>
      </c>
      <c r="C1070" s="417" t="s">
        <v>730</v>
      </c>
      <c r="D1070" s="352" t="s">
        <v>2796</v>
      </c>
      <c r="E1070" s="350" t="s">
        <v>1406</v>
      </c>
      <c r="F1070" s="350" t="s">
        <v>1665</v>
      </c>
      <c r="G1070" s="350" t="s">
        <v>1685</v>
      </c>
      <c r="H1070" s="350" t="s">
        <v>41</v>
      </c>
      <c r="I1070" s="350" t="s">
        <v>2639</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2796</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2796</v>
      </c>
      <c r="E1076" s="350" t="s">
        <v>1603</v>
      </c>
      <c r="F1076" s="350" t="s">
        <v>1827</v>
      </c>
      <c r="G1076" s="350" t="s">
        <v>737</v>
      </c>
      <c r="H1076" s="350" t="s">
        <v>41</v>
      </c>
      <c r="I1076" s="350" t="s">
        <v>2639</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2796</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2796</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2796</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2796</v>
      </c>
      <c r="E1091" s="350" t="s">
        <v>1426</v>
      </c>
      <c r="F1091" s="454" t="s">
        <v>1658</v>
      </c>
      <c r="G1091" s="350" t="s">
        <v>1658</v>
      </c>
      <c r="H1091" s="350" t="s">
        <v>41</v>
      </c>
      <c r="I1091" s="350" t="s">
        <v>2639</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2796</v>
      </c>
      <c r="E1092" s="350" t="s">
        <v>1429</v>
      </c>
      <c r="F1092" s="350" t="s">
        <v>1658</v>
      </c>
      <c r="G1092" s="350" t="s">
        <v>1658</v>
      </c>
      <c r="H1092" s="350" t="s">
        <v>41</v>
      </c>
      <c r="I1092" s="350" t="s">
        <v>2639</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2796</v>
      </c>
      <c r="E1093" s="350" t="s">
        <v>1435</v>
      </c>
      <c r="F1093" s="350" t="s">
        <v>1658</v>
      </c>
      <c r="G1093" s="350" t="s">
        <v>1658</v>
      </c>
      <c r="H1093" s="350" t="s">
        <v>41</v>
      </c>
      <c r="I1093" s="350" t="s">
        <v>2639</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2796</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2796</v>
      </c>
      <c r="E1096" s="350" t="s">
        <v>1434</v>
      </c>
      <c r="F1096" s="350" t="s">
        <v>1749</v>
      </c>
      <c r="G1096" s="350" t="s">
        <v>1738</v>
      </c>
      <c r="H1096" s="350" t="s">
        <v>41</v>
      </c>
      <c r="I1096" s="454" t="s">
        <v>2639</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2796</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2796</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2796</v>
      </c>
      <c r="E1101" s="350" t="s">
        <v>1402</v>
      </c>
      <c r="F1101" s="350" t="s">
        <v>1662</v>
      </c>
      <c r="G1101" s="350" t="s">
        <v>1663</v>
      </c>
      <c r="H1101" s="350" t="s">
        <v>41</v>
      </c>
      <c r="I1101" s="350" t="s">
        <v>2639</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2796</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2629</v>
      </c>
      <c r="K1109" s="454" t="s">
        <v>2597</v>
      </c>
      <c r="L1109" s="454" t="s">
        <v>2597</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24" priority="4"/>
  </conditionalFormatting>
  <conditionalFormatting sqref="V940">
    <cfRule type="duplicateValues" dxfId="623" priority="3"/>
  </conditionalFormatting>
  <conditionalFormatting sqref="V985">
    <cfRule type="duplicateValues" dxfId="622" priority="2"/>
  </conditionalFormatting>
  <conditionalFormatting sqref="V1109">
    <cfRule type="duplicateValues" dxfId="621" priority="1"/>
  </conditionalFormatting>
  <conditionalFormatting sqref="C3:C1111">
    <cfRule type="duplicateValues" dxfId="620" priority="12140"/>
  </conditionalFormatting>
  <conditionalFormatting sqref="E3:E1111">
    <cfRule type="duplicateValues" dxfId="619"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zoomScale="83" zoomScaleNormal="85" zoomScaleSheetLayoutView="83" workbookViewId="0">
      <selection activeCell="L7" sqref="L7"/>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6">
      <c r="B1" s="206" t="s">
        <v>3193</v>
      </c>
      <c r="C1" s="206"/>
      <c r="D1" s="206"/>
    </row>
    <row r="2" spans="1:6" ht="37">
      <c r="A2" s="208" t="s">
        <v>70</v>
      </c>
      <c r="B2" s="208" t="s">
        <v>3194</v>
      </c>
      <c r="C2" s="208" t="s">
        <v>71</v>
      </c>
      <c r="D2" s="208" t="s">
        <v>72</v>
      </c>
      <c r="E2" s="208" t="s">
        <v>1283</v>
      </c>
      <c r="F2" s="208" t="s">
        <v>73</v>
      </c>
    </row>
    <row r="3" spans="1:6" ht="179" customHeight="1">
      <c r="A3" s="209" t="s">
        <v>1294</v>
      </c>
      <c r="B3" s="209" t="s">
        <v>2959</v>
      </c>
      <c r="C3" s="209" t="s">
        <v>3103</v>
      </c>
      <c r="D3" s="210" t="s">
        <v>3101</v>
      </c>
      <c r="E3" s="209" t="s">
        <v>3102</v>
      </c>
      <c r="F3" s="209" t="s">
        <v>2330</v>
      </c>
    </row>
    <row r="4" spans="1:6" ht="92.5">
      <c r="A4" s="211" t="s">
        <v>1295</v>
      </c>
      <c r="B4" s="211" t="s">
        <v>2960</v>
      </c>
      <c r="C4" s="211" t="s">
        <v>3104</v>
      </c>
      <c r="D4" s="211" t="s">
        <v>2982</v>
      </c>
      <c r="E4" s="211" t="s">
        <v>2865</v>
      </c>
      <c r="F4" s="211" t="s">
        <v>2687</v>
      </c>
    </row>
    <row r="5" spans="1:6" ht="242.25" customHeight="1">
      <c r="A5" s="212" t="s">
        <v>1611</v>
      </c>
      <c r="B5" s="212" t="s">
        <v>2961</v>
      </c>
      <c r="C5" s="212" t="s">
        <v>3105</v>
      </c>
      <c r="D5" s="212" t="s">
        <v>2866</v>
      </c>
      <c r="E5" s="212"/>
      <c r="F5" s="212"/>
    </row>
    <row r="6" spans="1:6" ht="148">
      <c r="A6" s="692" t="s">
        <v>2962</v>
      </c>
      <c r="B6" s="692" t="s">
        <v>2963</v>
      </c>
      <c r="C6" s="692" t="s">
        <v>3107</v>
      </c>
      <c r="D6" s="692" t="s">
        <v>3106</v>
      </c>
      <c r="E6" s="692"/>
      <c r="F6" s="692" t="s">
        <v>2964</v>
      </c>
    </row>
    <row r="7" spans="1:6" ht="99" customHeight="1">
      <c r="A7" s="693" t="s">
        <v>2965</v>
      </c>
      <c r="B7" s="693" t="s">
        <v>3196</v>
      </c>
      <c r="C7" s="693" t="s">
        <v>3197</v>
      </c>
      <c r="D7" s="693" t="s">
        <v>3198</v>
      </c>
      <c r="E7" s="693"/>
      <c r="F7" s="693" t="s">
        <v>2964</v>
      </c>
    </row>
    <row r="8" spans="1:6" ht="92.5">
      <c r="A8" s="693" t="s">
        <v>3195</v>
      </c>
      <c r="B8" s="693" t="s">
        <v>3148</v>
      </c>
      <c r="C8" s="693" t="s">
        <v>3199</v>
      </c>
      <c r="D8" s="693" t="s">
        <v>3200</v>
      </c>
      <c r="E8" s="693"/>
      <c r="F8" s="693" t="s">
        <v>2964</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45C5-7751-407E-8BBB-A9BBCE5BFDAC}">
  <sheetPr>
    <tabColor rgb="FF92D050"/>
  </sheetPr>
  <dimension ref="A1:F64"/>
  <sheetViews>
    <sheetView zoomScaleNormal="100" zoomScaleSheetLayoutView="98" workbookViewId="0">
      <pane xSplit="5" ySplit="2" topLeftCell="F46" activePane="bottomRight" state="frozen"/>
      <selection pane="topRight" activeCell="F1" sqref="F1"/>
      <selection pane="bottomLeft" activeCell="A3" sqref="A3"/>
      <selection pane="bottomRight" activeCell="C58" sqref="C58"/>
    </sheetView>
  </sheetViews>
  <sheetFormatPr defaultColWidth="8" defaultRowHeight="45" customHeight="1"/>
  <cols>
    <col min="1" max="1" width="7.58203125" style="708" bestFit="1" customWidth="1"/>
    <col min="2" max="2" width="7.58203125" style="268" bestFit="1" customWidth="1"/>
    <col min="3" max="3" width="42.6640625" style="289" bestFit="1" customWidth="1"/>
    <col min="4" max="4" width="11.58203125" style="289" customWidth="1"/>
    <col min="5" max="5" width="11.6640625" style="289" customWidth="1"/>
    <col min="6" max="6" width="61.5" style="289" bestFit="1" customWidth="1"/>
    <col min="7" max="16372" width="8" style="267"/>
    <col min="16373" max="16384" width="21.1640625" style="267" customWidth="1"/>
  </cols>
  <sheetData>
    <row r="1" spans="1:6" ht="45" customHeight="1">
      <c r="A1" s="694"/>
      <c r="B1" s="1038"/>
      <c r="C1" s="1038"/>
      <c r="D1" s="1038"/>
      <c r="E1" s="1038"/>
      <c r="F1" s="1038"/>
    </row>
    <row r="2" spans="1:6" s="271" customFormat="1" ht="45" customHeight="1">
      <c r="A2" s="695"/>
      <c r="B2" s="269" t="s">
        <v>46</v>
      </c>
      <c r="C2" s="270" t="s">
        <v>3137</v>
      </c>
      <c r="D2" s="270" t="s">
        <v>2276</v>
      </c>
      <c r="E2" s="270" t="s">
        <v>2802</v>
      </c>
      <c r="F2" s="270" t="s">
        <v>47</v>
      </c>
    </row>
    <row r="3" spans="1:6" ht="45" customHeight="1">
      <c r="A3" s="1039" t="s">
        <v>2966</v>
      </c>
      <c r="B3" s="696" t="s">
        <v>0</v>
      </c>
      <c r="C3" s="273" t="s">
        <v>2279</v>
      </c>
      <c r="D3" s="273" t="s">
        <v>16</v>
      </c>
      <c r="E3" s="273"/>
      <c r="F3" s="697"/>
    </row>
    <row r="4" spans="1:6" ht="62.5" customHeight="1">
      <c r="A4" s="1040"/>
      <c r="B4" s="696" t="s">
        <v>1</v>
      </c>
      <c r="C4" s="273" t="s">
        <v>2281</v>
      </c>
      <c r="D4" s="273" t="s">
        <v>16</v>
      </c>
      <c r="E4" s="273"/>
      <c r="F4" s="697" t="s">
        <v>2282</v>
      </c>
    </row>
    <row r="5" spans="1:6" ht="45" customHeight="1">
      <c r="A5" s="1040"/>
      <c r="B5" s="696" t="s">
        <v>2</v>
      </c>
      <c r="C5" s="273" t="s">
        <v>2283</v>
      </c>
      <c r="D5" s="273" t="s">
        <v>16</v>
      </c>
      <c r="E5" s="273"/>
      <c r="F5" s="697" t="s">
        <v>2284</v>
      </c>
    </row>
    <row r="6" spans="1:6" ht="45" customHeight="1">
      <c r="A6" s="1040"/>
      <c r="B6" s="696" t="s">
        <v>3</v>
      </c>
      <c r="C6" s="273" t="s">
        <v>2285</v>
      </c>
      <c r="D6" s="273" t="s">
        <v>18</v>
      </c>
      <c r="E6" s="273"/>
      <c r="F6" s="697" t="s">
        <v>2416</v>
      </c>
    </row>
    <row r="7" spans="1:6" ht="45" customHeight="1">
      <c r="A7" s="1040"/>
      <c r="B7" s="696" t="s">
        <v>4</v>
      </c>
      <c r="C7" s="273" t="s">
        <v>21</v>
      </c>
      <c r="D7" s="273" t="s">
        <v>16</v>
      </c>
      <c r="E7" s="273"/>
      <c r="F7" s="697" t="s">
        <v>2286</v>
      </c>
    </row>
    <row r="8" spans="1:6" ht="45" customHeight="1">
      <c r="A8" s="1040"/>
      <c r="B8" s="696" t="s">
        <v>1149</v>
      </c>
      <c r="C8" s="273" t="s">
        <v>22</v>
      </c>
      <c r="D8" s="273" t="s">
        <v>16</v>
      </c>
      <c r="E8" s="273"/>
      <c r="F8" s="697" t="s">
        <v>2286</v>
      </c>
    </row>
    <row r="9" spans="1:6" ht="45" customHeight="1">
      <c r="A9" s="1040"/>
      <c r="B9" s="696" t="s">
        <v>5</v>
      </c>
      <c r="C9" s="273" t="s">
        <v>3083</v>
      </c>
      <c r="D9" s="273" t="s">
        <v>2410</v>
      </c>
      <c r="E9" s="273"/>
      <c r="F9" s="697" t="s">
        <v>3084</v>
      </c>
    </row>
    <row r="10" spans="1:6" ht="45" customHeight="1">
      <c r="A10" s="1040"/>
      <c r="B10" s="696" t="s">
        <v>6</v>
      </c>
      <c r="C10" s="273" t="s">
        <v>2288</v>
      </c>
      <c r="D10" s="273" t="s">
        <v>16</v>
      </c>
      <c r="E10" s="273"/>
      <c r="F10" s="697" t="s">
        <v>2289</v>
      </c>
    </row>
    <row r="11" spans="1:6" ht="75" customHeight="1">
      <c r="A11" s="1040"/>
      <c r="B11" s="696" t="s">
        <v>50</v>
      </c>
      <c r="C11" s="273" t="s">
        <v>24</v>
      </c>
      <c r="D11" s="273" t="s">
        <v>17</v>
      </c>
      <c r="E11" s="273"/>
      <c r="F11" s="697" t="s">
        <v>2331</v>
      </c>
    </row>
    <row r="12" spans="1:6" ht="85.25" customHeight="1">
      <c r="A12" s="1040"/>
      <c r="B12" s="696" t="s">
        <v>51</v>
      </c>
      <c r="C12" s="273" t="s">
        <v>1871</v>
      </c>
      <c r="D12" s="273" t="s">
        <v>17</v>
      </c>
      <c r="E12" s="273"/>
      <c r="F12" s="697" t="s">
        <v>2331</v>
      </c>
    </row>
    <row r="13" spans="1:6" ht="45" customHeight="1">
      <c r="A13" s="1040"/>
      <c r="B13" s="696" t="s">
        <v>53</v>
      </c>
      <c r="C13" s="273" t="s">
        <v>2290</v>
      </c>
      <c r="D13" s="273" t="s">
        <v>19</v>
      </c>
      <c r="E13" s="273"/>
      <c r="F13" s="697" t="s">
        <v>2291</v>
      </c>
    </row>
    <row r="14" spans="1:6" ht="45" customHeight="1">
      <c r="A14" s="1040"/>
      <c r="B14" s="696" t="s">
        <v>55</v>
      </c>
      <c r="C14" s="273" t="s">
        <v>2292</v>
      </c>
      <c r="D14" s="273" t="s">
        <v>19</v>
      </c>
      <c r="E14" s="273"/>
      <c r="F14" s="697" t="s">
        <v>2293</v>
      </c>
    </row>
    <row r="15" spans="1:6" ht="45" customHeight="1">
      <c r="A15" s="1040"/>
      <c r="B15" s="696" t="s">
        <v>57</v>
      </c>
      <c r="C15" s="273" t="s">
        <v>2431</v>
      </c>
      <c r="D15" s="273" t="s">
        <v>17</v>
      </c>
      <c r="E15" s="273"/>
      <c r="F15" s="697"/>
    </row>
    <row r="16" spans="1:6" ht="78">
      <c r="A16" s="1041" t="s">
        <v>1972</v>
      </c>
      <c r="B16" s="698" t="s">
        <v>112</v>
      </c>
      <c r="C16" s="512" t="s">
        <v>3052</v>
      </c>
      <c r="D16" s="187" t="s">
        <v>17</v>
      </c>
      <c r="E16" s="187" t="s">
        <v>2803</v>
      </c>
      <c r="F16" s="254" t="s">
        <v>3085</v>
      </c>
    </row>
    <row r="17" spans="1:6" ht="78">
      <c r="A17" s="1042"/>
      <c r="B17" s="698" t="s">
        <v>113</v>
      </c>
      <c r="C17" s="512" t="s">
        <v>3053</v>
      </c>
      <c r="D17" s="187" t="s">
        <v>17</v>
      </c>
      <c r="E17" s="187" t="s">
        <v>2803</v>
      </c>
      <c r="F17" s="254" t="s">
        <v>3085</v>
      </c>
    </row>
    <row r="18" spans="1:6" ht="78">
      <c r="A18" s="1042"/>
      <c r="B18" s="698" t="s">
        <v>59</v>
      </c>
      <c r="C18" s="512" t="s">
        <v>3056</v>
      </c>
      <c r="D18" s="187" t="s">
        <v>17</v>
      </c>
      <c r="E18" s="187" t="s">
        <v>2803</v>
      </c>
      <c r="F18" s="254" t="s">
        <v>3085</v>
      </c>
    </row>
    <row r="19" spans="1:6" ht="78">
      <c r="A19" s="1042"/>
      <c r="B19" s="698" t="s">
        <v>58</v>
      </c>
      <c r="C19" s="512" t="s">
        <v>3057</v>
      </c>
      <c r="D19" s="187" t="s">
        <v>17</v>
      </c>
      <c r="E19" s="187" t="s">
        <v>2803</v>
      </c>
      <c r="F19" s="254" t="s">
        <v>3085</v>
      </c>
    </row>
    <row r="20" spans="1:6" ht="45" customHeight="1">
      <c r="A20" s="1042"/>
      <c r="B20" s="698" t="s">
        <v>60</v>
      </c>
      <c r="C20" s="512" t="s">
        <v>3058</v>
      </c>
      <c r="D20" s="187" t="s">
        <v>17</v>
      </c>
      <c r="E20" s="187" t="s">
        <v>2804</v>
      </c>
      <c r="F20" s="254" t="s">
        <v>3086</v>
      </c>
    </row>
    <row r="21" spans="1:6" ht="39">
      <c r="A21" s="1042"/>
      <c r="B21" s="698" t="s">
        <v>1150</v>
      </c>
      <c r="C21" s="187" t="s">
        <v>3059</v>
      </c>
      <c r="D21" s="187" t="s">
        <v>17</v>
      </c>
      <c r="E21" s="187" t="s">
        <v>2805</v>
      </c>
      <c r="F21" s="254" t="s">
        <v>3087</v>
      </c>
    </row>
    <row r="22" spans="1:6" ht="79.5" customHeight="1">
      <c r="A22" s="1042"/>
      <c r="B22" s="698" t="s">
        <v>62</v>
      </c>
      <c r="C22" s="187" t="s">
        <v>2842</v>
      </c>
      <c r="D22" s="187" t="s">
        <v>17</v>
      </c>
      <c r="E22" s="187" t="s">
        <v>2803</v>
      </c>
      <c r="F22" s="254" t="s">
        <v>2873</v>
      </c>
    </row>
    <row r="23" spans="1:6" ht="26">
      <c r="A23" s="1042"/>
      <c r="B23" s="698" t="s">
        <v>63</v>
      </c>
      <c r="C23" s="187" t="s">
        <v>3060</v>
      </c>
      <c r="D23" s="187" t="s">
        <v>54</v>
      </c>
      <c r="E23" s="187" t="s">
        <v>2803</v>
      </c>
      <c r="F23" s="254" t="s">
        <v>3088</v>
      </c>
    </row>
    <row r="24" spans="1:6" ht="39">
      <c r="A24" s="1042"/>
      <c r="B24" s="698" t="s">
        <v>64</v>
      </c>
      <c r="C24" s="187" t="s">
        <v>2843</v>
      </c>
      <c r="D24" s="187" t="s">
        <v>17</v>
      </c>
      <c r="E24" s="187" t="s">
        <v>2803</v>
      </c>
      <c r="F24" s="254" t="s">
        <v>2874</v>
      </c>
    </row>
    <row r="25" spans="1:6" ht="26">
      <c r="A25" s="1042"/>
      <c r="B25" s="698" t="s">
        <v>65</v>
      </c>
      <c r="C25" s="187" t="s">
        <v>3062</v>
      </c>
      <c r="D25" s="187" t="s">
        <v>54</v>
      </c>
      <c r="E25" s="187" t="s">
        <v>2803</v>
      </c>
      <c r="F25" s="254" t="s">
        <v>3089</v>
      </c>
    </row>
    <row r="26" spans="1:6" ht="26">
      <c r="A26" s="1042"/>
      <c r="B26" s="698" t="s">
        <v>1151</v>
      </c>
      <c r="C26" s="187" t="s">
        <v>2808</v>
      </c>
      <c r="D26" s="187" t="s">
        <v>17</v>
      </c>
      <c r="E26" s="187" t="s">
        <v>2806</v>
      </c>
      <c r="F26" s="254" t="s">
        <v>2875</v>
      </c>
    </row>
    <row r="27" spans="1:6" ht="104">
      <c r="A27" s="1042"/>
      <c r="B27" s="698" t="s">
        <v>66</v>
      </c>
      <c r="C27" s="187" t="s">
        <v>3064</v>
      </c>
      <c r="D27" s="187" t="s">
        <v>17</v>
      </c>
      <c r="E27" s="187" t="s">
        <v>2803</v>
      </c>
      <c r="F27" s="254" t="s">
        <v>3090</v>
      </c>
    </row>
    <row r="28" spans="1:6" ht="104">
      <c r="A28" s="1042"/>
      <c r="B28" s="698" t="s">
        <v>67</v>
      </c>
      <c r="C28" s="187" t="s">
        <v>3065</v>
      </c>
      <c r="D28" s="187" t="s">
        <v>17</v>
      </c>
      <c r="E28" s="187" t="s">
        <v>2803</v>
      </c>
      <c r="F28" s="254" t="s">
        <v>3091</v>
      </c>
    </row>
    <row r="29" spans="1:6" ht="45" customHeight="1">
      <c r="A29" s="1043"/>
      <c r="B29" s="698" t="s">
        <v>68</v>
      </c>
      <c r="C29" s="253" t="s">
        <v>2813</v>
      </c>
      <c r="D29" s="187" t="s">
        <v>18</v>
      </c>
      <c r="E29" s="187"/>
      <c r="F29" s="254"/>
    </row>
    <row r="30" spans="1:6" ht="78">
      <c r="A30" s="1044" t="s">
        <v>1973</v>
      </c>
      <c r="B30" s="699" t="s">
        <v>69</v>
      </c>
      <c r="C30" s="199" t="s">
        <v>2844</v>
      </c>
      <c r="D30" s="199" t="s">
        <v>17</v>
      </c>
      <c r="E30" s="199" t="s">
        <v>2803</v>
      </c>
      <c r="F30" s="279" t="s">
        <v>2877</v>
      </c>
    </row>
    <row r="31" spans="1:6" ht="26">
      <c r="A31" s="1045"/>
      <c r="B31" s="699" t="s">
        <v>1284</v>
      </c>
      <c r="C31" s="199" t="s">
        <v>2845</v>
      </c>
      <c r="D31" s="199" t="s">
        <v>17</v>
      </c>
      <c r="E31" s="199" t="s">
        <v>2803</v>
      </c>
      <c r="F31" s="279" t="s">
        <v>2876</v>
      </c>
    </row>
    <row r="32" spans="1:6" ht="39">
      <c r="A32" s="1045"/>
      <c r="B32" s="699" t="s">
        <v>1285</v>
      </c>
      <c r="C32" s="199" t="s">
        <v>2846</v>
      </c>
      <c r="D32" s="199" t="s">
        <v>17</v>
      </c>
      <c r="E32" s="199" t="s">
        <v>2803</v>
      </c>
      <c r="F32" s="279" t="s">
        <v>2878</v>
      </c>
    </row>
    <row r="33" spans="1:6" ht="14.5">
      <c r="A33" s="1045"/>
      <c r="B33" s="699" t="s">
        <v>1286</v>
      </c>
      <c r="C33" s="199" t="s">
        <v>3068</v>
      </c>
      <c r="D33" s="199" t="s">
        <v>17</v>
      </c>
      <c r="E33" s="199" t="s">
        <v>2803</v>
      </c>
      <c r="F33" s="279" t="s">
        <v>3092</v>
      </c>
    </row>
    <row r="34" spans="1:6" ht="33" customHeight="1">
      <c r="A34" s="1045"/>
      <c r="B34" s="699" t="s">
        <v>1287</v>
      </c>
      <c r="C34" s="199" t="s">
        <v>2847</v>
      </c>
      <c r="D34" s="199" t="s">
        <v>54</v>
      </c>
      <c r="E34" s="199" t="s">
        <v>2803</v>
      </c>
      <c r="F34" s="279" t="s">
        <v>2879</v>
      </c>
    </row>
    <row r="35" spans="1:6" ht="36" customHeight="1">
      <c r="A35" s="1045"/>
      <c r="B35" s="699" t="s">
        <v>1288</v>
      </c>
      <c r="C35" s="199" t="s">
        <v>2848</v>
      </c>
      <c r="D35" s="199" t="s">
        <v>54</v>
      </c>
      <c r="E35" s="199" t="s">
        <v>2803</v>
      </c>
      <c r="F35" s="279" t="s">
        <v>2880</v>
      </c>
    </row>
    <row r="36" spans="1:6" ht="33" customHeight="1">
      <c r="A36" s="1045"/>
      <c r="B36" s="699" t="s">
        <v>1289</v>
      </c>
      <c r="C36" s="199" t="s">
        <v>3093</v>
      </c>
      <c r="D36" s="199" t="s">
        <v>54</v>
      </c>
      <c r="E36" s="199"/>
      <c r="F36" s="279" t="s">
        <v>3094</v>
      </c>
    </row>
    <row r="37" spans="1:6" ht="39">
      <c r="A37" s="1045"/>
      <c r="B37" s="699" t="s">
        <v>1290</v>
      </c>
      <c r="C37" s="808" t="s">
        <v>3095</v>
      </c>
      <c r="D37" s="280" t="s">
        <v>17</v>
      </c>
      <c r="E37" s="199" t="s">
        <v>2803</v>
      </c>
      <c r="F37" s="279" t="s">
        <v>3096</v>
      </c>
    </row>
    <row r="38" spans="1:6" ht="52">
      <c r="A38" s="1045"/>
      <c r="B38" s="699" t="s">
        <v>1291</v>
      </c>
      <c r="C38" s="199" t="s">
        <v>2850</v>
      </c>
      <c r="D38" s="199" t="s">
        <v>17</v>
      </c>
      <c r="E38" s="199" t="s">
        <v>2803</v>
      </c>
      <c r="F38" s="279" t="s">
        <v>2881</v>
      </c>
    </row>
    <row r="39" spans="1:6" ht="56" customHeight="1">
      <c r="A39" s="1045"/>
      <c r="B39" s="699" t="s">
        <v>1292</v>
      </c>
      <c r="C39" s="808" t="s">
        <v>2967</v>
      </c>
      <c r="D39" s="199" t="s">
        <v>17</v>
      </c>
      <c r="E39" s="199" t="s">
        <v>2803</v>
      </c>
      <c r="F39" s="809" t="s">
        <v>3097</v>
      </c>
    </row>
    <row r="40" spans="1:6" ht="71.5" customHeight="1">
      <c r="A40" s="1045"/>
      <c r="B40" s="699" t="s">
        <v>1293</v>
      </c>
      <c r="C40" s="282" t="s">
        <v>2968</v>
      </c>
      <c r="D40" s="199" t="s">
        <v>17</v>
      </c>
      <c r="E40" s="199" t="s">
        <v>2803</v>
      </c>
      <c r="F40" s="279" t="s">
        <v>3098</v>
      </c>
    </row>
    <row r="41" spans="1:6" ht="39">
      <c r="A41" s="1045"/>
      <c r="B41" s="699" t="s">
        <v>1959</v>
      </c>
      <c r="C41" s="199" t="s">
        <v>3099</v>
      </c>
      <c r="D41" s="282" t="s">
        <v>2294</v>
      </c>
      <c r="E41" s="199" t="s">
        <v>2803</v>
      </c>
      <c r="F41" s="279" t="s">
        <v>2882</v>
      </c>
    </row>
    <row r="42" spans="1:6" ht="26">
      <c r="A42" s="1046"/>
      <c r="B42" s="699" t="s">
        <v>1960</v>
      </c>
      <c r="C42" s="282" t="s">
        <v>2814</v>
      </c>
      <c r="D42" s="282" t="s">
        <v>18</v>
      </c>
      <c r="E42" s="282"/>
      <c r="F42" s="279"/>
    </row>
    <row r="43" spans="1:6" ht="45" customHeight="1">
      <c r="A43" s="1047" t="s">
        <v>1974</v>
      </c>
      <c r="B43" s="700" t="s">
        <v>2198</v>
      </c>
      <c r="C43" s="284" t="s">
        <v>2852</v>
      </c>
      <c r="D43" s="284" t="s">
        <v>17</v>
      </c>
      <c r="E43" s="256" t="s">
        <v>2803</v>
      </c>
      <c r="F43" s="286" t="s">
        <v>2883</v>
      </c>
    </row>
    <row r="44" spans="1:6" ht="45" customHeight="1">
      <c r="A44" s="1048"/>
      <c r="B44" s="700" t="s">
        <v>2302</v>
      </c>
      <c r="C44" s="284" t="s">
        <v>2853</v>
      </c>
      <c r="D44" s="284" t="s">
        <v>17</v>
      </c>
      <c r="E44" s="256" t="s">
        <v>2803</v>
      </c>
      <c r="F44" s="286" t="s">
        <v>2884</v>
      </c>
    </row>
    <row r="45" spans="1:6" ht="45" customHeight="1">
      <c r="A45" s="1048"/>
      <c r="B45" s="700" t="s">
        <v>2303</v>
      </c>
      <c r="C45" s="284" t="s">
        <v>2854</v>
      </c>
      <c r="D45" s="284" t="s">
        <v>17</v>
      </c>
      <c r="E45" s="256" t="s">
        <v>2803</v>
      </c>
      <c r="F45" s="286" t="s">
        <v>2885</v>
      </c>
    </row>
    <row r="46" spans="1:6" ht="45" customHeight="1">
      <c r="A46" s="1048"/>
      <c r="B46" s="700" t="s">
        <v>2304</v>
      </c>
      <c r="C46" s="284" t="s">
        <v>2855</v>
      </c>
      <c r="D46" s="284" t="s">
        <v>17</v>
      </c>
      <c r="E46" s="256" t="s">
        <v>2803</v>
      </c>
      <c r="F46" s="286" t="s">
        <v>2886</v>
      </c>
    </row>
    <row r="47" spans="1:6" ht="45" customHeight="1">
      <c r="A47" s="1048"/>
      <c r="B47" s="700" t="s">
        <v>2305</v>
      </c>
      <c r="C47" s="284" t="s">
        <v>2856</v>
      </c>
      <c r="D47" s="284" t="s">
        <v>17</v>
      </c>
      <c r="E47" s="256" t="s">
        <v>2803</v>
      </c>
      <c r="F47" s="286" t="s">
        <v>2887</v>
      </c>
    </row>
    <row r="48" spans="1:6" ht="45" customHeight="1">
      <c r="A48" s="1048"/>
      <c r="B48" s="700" t="s">
        <v>2307</v>
      </c>
      <c r="C48" s="284" t="s">
        <v>2857</v>
      </c>
      <c r="D48" s="285" t="s">
        <v>17</v>
      </c>
      <c r="E48" s="256" t="s">
        <v>2803</v>
      </c>
      <c r="F48" s="286" t="s">
        <v>2888</v>
      </c>
    </row>
    <row r="49" spans="1:6" ht="26">
      <c r="A49" s="1048"/>
      <c r="B49" s="700" t="s">
        <v>2308</v>
      </c>
      <c r="C49" s="513" t="s">
        <v>2858</v>
      </c>
      <c r="D49" s="285" t="s">
        <v>54</v>
      </c>
      <c r="E49" s="256" t="s">
        <v>2803</v>
      </c>
      <c r="F49" s="286" t="s">
        <v>2889</v>
      </c>
    </row>
    <row r="50" spans="1:6" ht="45" customHeight="1">
      <c r="A50" s="1048"/>
      <c r="B50" s="700" t="s">
        <v>2309</v>
      </c>
      <c r="C50" s="284" t="s">
        <v>3072</v>
      </c>
      <c r="D50" s="285" t="s">
        <v>54</v>
      </c>
      <c r="E50" s="256" t="s">
        <v>2806</v>
      </c>
      <c r="F50" s="286" t="s">
        <v>2890</v>
      </c>
    </row>
    <row r="51" spans="1:6" ht="45" customHeight="1">
      <c r="A51" s="1048"/>
      <c r="B51" s="700" t="s">
        <v>2310</v>
      </c>
      <c r="C51" s="810" t="s">
        <v>3073</v>
      </c>
      <c r="D51" s="285" t="s">
        <v>17</v>
      </c>
      <c r="E51" s="256" t="s">
        <v>2803</v>
      </c>
      <c r="F51" s="286" t="s">
        <v>2859</v>
      </c>
    </row>
    <row r="52" spans="1:6" ht="45" customHeight="1">
      <c r="A52" s="1049"/>
      <c r="B52" s="700" t="s">
        <v>2311</v>
      </c>
      <c r="C52" s="287" t="s">
        <v>2815</v>
      </c>
      <c r="D52" s="287" t="s">
        <v>18</v>
      </c>
      <c r="E52" s="287"/>
      <c r="F52" s="288"/>
    </row>
    <row r="53" spans="1:6" ht="45" customHeight="1">
      <c r="A53" s="1050" t="s">
        <v>2928</v>
      </c>
      <c r="B53" s="701" t="s">
        <v>2312</v>
      </c>
      <c r="C53" s="515" t="s">
        <v>2860</v>
      </c>
      <c r="D53" s="515" t="s">
        <v>54</v>
      </c>
      <c r="E53" s="515" t="s">
        <v>2803</v>
      </c>
      <c r="F53" s="514" t="s">
        <v>2810</v>
      </c>
    </row>
    <row r="54" spans="1:6" ht="45" customHeight="1">
      <c r="A54" s="1051"/>
      <c r="B54" s="701" t="s">
        <v>2313</v>
      </c>
      <c r="C54" s="515" t="s">
        <v>2861</v>
      </c>
      <c r="D54" s="515" t="s">
        <v>54</v>
      </c>
      <c r="E54" s="515" t="s">
        <v>2803</v>
      </c>
      <c r="F54" s="514" t="s">
        <v>2810</v>
      </c>
    </row>
    <row r="55" spans="1:6" ht="45" customHeight="1">
      <c r="A55" s="1051"/>
      <c r="B55" s="701" t="s">
        <v>2314</v>
      </c>
      <c r="C55" s="515" t="s">
        <v>3100</v>
      </c>
      <c r="D55" s="515" t="s">
        <v>54</v>
      </c>
      <c r="E55" s="515" t="s">
        <v>2803</v>
      </c>
      <c r="F55" s="514" t="s">
        <v>2810</v>
      </c>
    </row>
    <row r="56" spans="1:6" ht="45" customHeight="1">
      <c r="A56" s="1052"/>
      <c r="B56" s="701" t="s">
        <v>2315</v>
      </c>
      <c r="C56" s="515" t="s">
        <v>2809</v>
      </c>
      <c r="D56" s="515" t="s">
        <v>54</v>
      </c>
      <c r="E56" s="515" t="s">
        <v>2803</v>
      </c>
      <c r="F56" s="514" t="s">
        <v>2810</v>
      </c>
    </row>
    <row r="57" spans="1:6" ht="67.5" customHeight="1">
      <c r="A57" s="702" t="s">
        <v>2947</v>
      </c>
      <c r="B57" s="703" t="s">
        <v>2316</v>
      </c>
      <c r="C57" s="704" t="s">
        <v>2811</v>
      </c>
      <c r="D57" s="704" t="s">
        <v>54</v>
      </c>
      <c r="E57" s="704" t="s">
        <v>2803</v>
      </c>
      <c r="F57" s="705" t="s">
        <v>2812</v>
      </c>
    </row>
    <row r="58" spans="1:6" ht="56.25" customHeight="1">
      <c r="A58" s="1036" t="s">
        <v>2969</v>
      </c>
      <c r="B58" s="706" t="s">
        <v>2317</v>
      </c>
      <c r="C58" s="514" t="s">
        <v>3076</v>
      </c>
      <c r="D58" s="514" t="s">
        <v>17</v>
      </c>
      <c r="E58" s="514" t="s">
        <v>2803</v>
      </c>
      <c r="F58" s="707"/>
    </row>
    <row r="59" spans="1:6" ht="52">
      <c r="A59" s="1037"/>
      <c r="B59" s="706" t="s">
        <v>2318</v>
      </c>
      <c r="C59" s="514" t="s">
        <v>3077</v>
      </c>
      <c r="D59" s="514" t="s">
        <v>17</v>
      </c>
      <c r="E59" s="514" t="s">
        <v>2803</v>
      </c>
      <c r="F59" s="707"/>
    </row>
    <row r="60" spans="1:6" ht="45" customHeight="1">
      <c r="A60" s="1037"/>
      <c r="B60" s="706" t="s">
        <v>2322</v>
      </c>
      <c r="C60" s="514" t="s">
        <v>3078</v>
      </c>
      <c r="D60" s="514" t="s">
        <v>17</v>
      </c>
      <c r="E60" s="514" t="s">
        <v>2803</v>
      </c>
      <c r="F60" s="707"/>
    </row>
    <row r="61" spans="1:6" ht="26" customHeight="1">
      <c r="A61" s="1033" t="s">
        <v>3136</v>
      </c>
      <c r="B61" s="836" t="s">
        <v>2323</v>
      </c>
      <c r="C61" s="843" t="s">
        <v>3132</v>
      </c>
      <c r="D61" s="843" t="s">
        <v>17</v>
      </c>
      <c r="E61" s="838"/>
      <c r="F61" s="838"/>
    </row>
    <row r="62" spans="1:6" ht="15.5" customHeight="1">
      <c r="A62" s="1034"/>
      <c r="B62" s="836" t="s">
        <v>2325</v>
      </c>
      <c r="C62" s="843" t="s">
        <v>3133</v>
      </c>
      <c r="D62" s="843" t="s">
        <v>17</v>
      </c>
      <c r="E62" s="838"/>
      <c r="F62" s="838"/>
    </row>
    <row r="63" spans="1:6" ht="15.5" customHeight="1">
      <c r="A63" s="1034"/>
      <c r="B63" s="836" t="s">
        <v>2327</v>
      </c>
      <c r="C63" s="843" t="s">
        <v>3134</v>
      </c>
      <c r="D63" s="843" t="s">
        <v>19</v>
      </c>
      <c r="E63" s="838"/>
      <c r="F63" s="838"/>
    </row>
    <row r="64" spans="1:6" ht="45" customHeight="1">
      <c r="A64" s="1035"/>
      <c r="B64" s="836" t="s">
        <v>2328</v>
      </c>
      <c r="C64" s="843" t="s">
        <v>3135</v>
      </c>
      <c r="D64" s="843" t="s">
        <v>18</v>
      </c>
      <c r="E64" s="838"/>
      <c r="F64" s="838"/>
    </row>
  </sheetData>
  <autoFilter ref="B2:F64" xr:uid="{00000000-0009-0000-0000-000004000000}"/>
  <mergeCells count="8">
    <mergeCell ref="A61:A64"/>
    <mergeCell ref="A58:A60"/>
    <mergeCell ref="B1:F1"/>
    <mergeCell ref="A3:A15"/>
    <mergeCell ref="A16:A29"/>
    <mergeCell ref="A30:A42"/>
    <mergeCell ref="A43:A52"/>
    <mergeCell ref="A53:A56"/>
  </mergeCells>
  <phoneticPr fontId="150" type="noConversion"/>
  <pageMargins left="0.25" right="0.25" top="0" bottom="0" header="0.3" footer="0.3"/>
  <pageSetup scale="66" orientation="portrait" r:id="rId1"/>
  <rowBreaks count="2" manualBreakCount="2">
    <brk id="19" max="6" man="1"/>
    <brk id="42"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8" customWidth="1"/>
    <col min="2" max="2" width="40.1640625" style="296" customWidth="1"/>
    <col min="3" max="3" width="11.58203125" style="289" customWidth="1"/>
    <col min="4" max="4" width="16.58203125" style="289" hidden="1" customWidth="1"/>
    <col min="5" max="5" width="13.1640625" style="289" bestFit="1" customWidth="1"/>
    <col min="6" max="6" width="65.1640625" style="295" customWidth="1"/>
    <col min="7" max="7" width="21.08203125" style="180" customWidth="1"/>
    <col min="8" max="8" width="20.83203125" style="180" customWidth="1"/>
    <col min="9" max="9" width="57.33203125" style="179" bestFit="1" customWidth="1"/>
    <col min="10" max="16384" width="8" style="290"/>
  </cols>
  <sheetData>
    <row r="1" spans="1:9" ht="45" customHeight="1">
      <c r="A1" s="1053"/>
      <c r="B1" s="1053"/>
      <c r="C1" s="1053"/>
      <c r="D1" s="1053"/>
      <c r="E1" s="1053"/>
      <c r="F1" s="1053"/>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2332</v>
      </c>
    </row>
    <row r="3" spans="1:9" ht="36" customHeight="1">
      <c r="A3" s="272" t="s">
        <v>0</v>
      </c>
      <c r="B3" s="243" t="s">
        <v>2334</v>
      </c>
      <c r="C3" s="273" t="s">
        <v>16</v>
      </c>
      <c r="D3" s="273"/>
      <c r="E3" s="273" t="s">
        <v>2280</v>
      </c>
      <c r="F3" s="241" t="s">
        <v>2334</v>
      </c>
      <c r="G3" s="184"/>
      <c r="H3" s="185"/>
      <c r="I3" s="186"/>
    </row>
    <row r="4" spans="1:9" ht="36" customHeight="1">
      <c r="A4" s="272" t="s">
        <v>1</v>
      </c>
      <c r="B4" s="243" t="s">
        <v>2335</v>
      </c>
      <c r="C4" s="273" t="s">
        <v>16</v>
      </c>
      <c r="D4" s="273"/>
      <c r="E4" s="273" t="s">
        <v>2280</v>
      </c>
      <c r="F4" s="241" t="s">
        <v>2418</v>
      </c>
      <c r="G4" s="184"/>
      <c r="H4" s="185"/>
      <c r="I4" s="186"/>
    </row>
    <row r="5" spans="1:9" ht="36" customHeight="1">
      <c r="A5" s="272" t="s">
        <v>2</v>
      </c>
      <c r="B5" s="243" t="s">
        <v>2336</v>
      </c>
      <c r="C5" s="273" t="s">
        <v>16</v>
      </c>
      <c r="D5" s="273"/>
      <c r="E5" s="273" t="s">
        <v>2280</v>
      </c>
      <c r="F5" s="241" t="s">
        <v>2336</v>
      </c>
      <c r="G5" s="184"/>
      <c r="H5" s="185"/>
      <c r="I5" s="186"/>
    </row>
    <row r="6" spans="1:9" ht="36" customHeight="1">
      <c r="A6" s="272" t="s">
        <v>3</v>
      </c>
      <c r="B6" s="243" t="s">
        <v>2337</v>
      </c>
      <c r="C6" s="273" t="s">
        <v>18</v>
      </c>
      <c r="D6" s="273"/>
      <c r="E6" s="273" t="s">
        <v>2280</v>
      </c>
      <c r="F6" s="241" t="s">
        <v>2417</v>
      </c>
      <c r="G6" s="184"/>
      <c r="H6" s="185"/>
      <c r="I6" s="186"/>
    </row>
    <row r="7" spans="1:9" ht="36" customHeight="1">
      <c r="A7" s="272" t="s">
        <v>4</v>
      </c>
      <c r="B7" s="243" t="s">
        <v>2338</v>
      </c>
      <c r="C7" s="273" t="s">
        <v>16</v>
      </c>
      <c r="D7" s="273"/>
      <c r="E7" s="273" t="s">
        <v>2280</v>
      </c>
      <c r="F7" s="241" t="s">
        <v>2338</v>
      </c>
      <c r="G7" s="184"/>
      <c r="H7" s="185"/>
      <c r="I7" s="186"/>
    </row>
    <row r="8" spans="1:9" ht="36" customHeight="1">
      <c r="A8" s="272" t="s">
        <v>1149</v>
      </c>
      <c r="B8" s="243" t="s">
        <v>2339</v>
      </c>
      <c r="C8" s="273" t="s">
        <v>16</v>
      </c>
      <c r="D8" s="273"/>
      <c r="E8" s="273" t="s">
        <v>2280</v>
      </c>
      <c r="F8" s="241" t="s">
        <v>2339</v>
      </c>
      <c r="G8" s="184"/>
      <c r="H8" s="185"/>
      <c r="I8" s="186"/>
    </row>
    <row r="9" spans="1:9" ht="45" customHeight="1">
      <c r="A9" s="272" t="s">
        <v>5</v>
      </c>
      <c r="B9" s="243" t="s">
        <v>2340</v>
      </c>
      <c r="C9" s="273" t="s">
        <v>2410</v>
      </c>
      <c r="D9" s="273"/>
      <c r="E9" s="273" t="s">
        <v>2280</v>
      </c>
      <c r="F9" s="241" t="s">
        <v>2340</v>
      </c>
      <c r="G9" s="184"/>
      <c r="H9" s="185"/>
      <c r="I9" s="186"/>
    </row>
    <row r="10" spans="1:9" ht="45" customHeight="1">
      <c r="A10" s="272" t="s">
        <v>6</v>
      </c>
      <c r="B10" s="243" t="s">
        <v>2341</v>
      </c>
      <c r="C10" s="273" t="s">
        <v>16</v>
      </c>
      <c r="D10" s="273"/>
      <c r="E10" s="273" t="s">
        <v>2280</v>
      </c>
      <c r="F10" s="241" t="s">
        <v>2341</v>
      </c>
      <c r="G10" s="184"/>
      <c r="H10" s="185"/>
      <c r="I10" s="186"/>
    </row>
    <row r="11" spans="1:9" ht="37.5" customHeight="1">
      <c r="A11" s="272" t="s">
        <v>50</v>
      </c>
      <c r="B11" s="243" t="s">
        <v>2383</v>
      </c>
      <c r="C11" s="273" t="s">
        <v>17</v>
      </c>
      <c r="D11" s="273"/>
      <c r="E11" s="273" t="s">
        <v>2280</v>
      </c>
      <c r="F11" s="241" t="s">
        <v>2419</v>
      </c>
      <c r="G11" s="184"/>
      <c r="H11" s="185"/>
      <c r="I11" s="186"/>
    </row>
    <row r="12" spans="1:9" ht="37.5" customHeight="1">
      <c r="A12" s="272" t="s">
        <v>51</v>
      </c>
      <c r="B12" s="243" t="s">
        <v>2382</v>
      </c>
      <c r="C12" s="273" t="s">
        <v>17</v>
      </c>
      <c r="D12" s="273"/>
      <c r="E12" s="273" t="s">
        <v>2280</v>
      </c>
      <c r="F12" s="241" t="s">
        <v>2420</v>
      </c>
      <c r="G12" s="184"/>
      <c r="H12" s="185"/>
      <c r="I12" s="186"/>
    </row>
    <row r="13" spans="1:9" ht="37.5" customHeight="1">
      <c r="A13" s="272" t="s">
        <v>53</v>
      </c>
      <c r="B13" s="243" t="s">
        <v>2342</v>
      </c>
      <c r="C13" s="273" t="s">
        <v>19</v>
      </c>
      <c r="D13" s="273"/>
      <c r="E13" s="273" t="s">
        <v>2280</v>
      </c>
      <c r="F13" s="241" t="s">
        <v>2342</v>
      </c>
      <c r="G13" s="184"/>
      <c r="H13" s="185"/>
      <c r="I13" s="186"/>
    </row>
    <row r="14" spans="1:9" ht="37.5" customHeight="1">
      <c r="A14" s="272" t="s">
        <v>55</v>
      </c>
      <c r="B14" s="243" t="s">
        <v>2343</v>
      </c>
      <c r="C14" s="273" t="s">
        <v>19</v>
      </c>
      <c r="D14" s="273"/>
      <c r="E14" s="273" t="s">
        <v>2280</v>
      </c>
      <c r="F14" s="241" t="s">
        <v>2343</v>
      </c>
      <c r="G14" s="184"/>
      <c r="H14" s="185"/>
      <c r="I14" s="186"/>
    </row>
    <row r="15" spans="1:9" ht="45" customHeight="1">
      <c r="A15" s="272" t="s">
        <v>57</v>
      </c>
      <c r="B15" s="243" t="s">
        <v>2439</v>
      </c>
      <c r="C15" s="273" t="s">
        <v>17</v>
      </c>
      <c r="D15" s="273"/>
      <c r="E15" s="273" t="s">
        <v>2408</v>
      </c>
      <c r="F15" s="241" t="s">
        <v>2439</v>
      </c>
      <c r="G15" s="184"/>
      <c r="H15" s="185"/>
      <c r="I15" s="186"/>
    </row>
    <row r="16" spans="1:9" ht="45" customHeight="1">
      <c r="A16" s="272" t="s">
        <v>112</v>
      </c>
      <c r="B16" s="243" t="s">
        <v>1961</v>
      </c>
      <c r="C16" s="273" t="s">
        <v>17</v>
      </c>
      <c r="D16" s="273"/>
      <c r="E16" s="273" t="s">
        <v>293</v>
      </c>
      <c r="F16" s="241" t="s">
        <v>2344</v>
      </c>
      <c r="G16" s="184"/>
      <c r="H16" s="185"/>
      <c r="I16" s="186"/>
    </row>
    <row r="17" spans="1:9" ht="45" customHeight="1">
      <c r="A17" s="272" t="s">
        <v>113</v>
      </c>
      <c r="B17" s="243" t="s">
        <v>2345</v>
      </c>
      <c r="C17" s="273" t="s">
        <v>17</v>
      </c>
      <c r="D17" s="273"/>
      <c r="E17" s="273" t="s">
        <v>293</v>
      </c>
      <c r="F17" s="241" t="s">
        <v>2346</v>
      </c>
      <c r="G17" s="184"/>
      <c r="H17" s="185"/>
      <c r="I17" s="186"/>
    </row>
    <row r="18" spans="1:9" ht="26">
      <c r="A18" s="272" t="s">
        <v>59</v>
      </c>
      <c r="B18" s="243" t="s">
        <v>2347</v>
      </c>
      <c r="C18" s="273" t="s">
        <v>17</v>
      </c>
      <c r="D18" s="273" t="s">
        <v>2432</v>
      </c>
      <c r="E18" s="273" t="s">
        <v>2280</v>
      </c>
      <c r="F18" s="241" t="s">
        <v>2348</v>
      </c>
      <c r="G18" s="184"/>
      <c r="H18" s="185"/>
      <c r="I18" s="186"/>
    </row>
    <row r="19" spans="1:9" ht="45" customHeight="1">
      <c r="A19" s="272" t="s">
        <v>58</v>
      </c>
      <c r="B19" s="243" t="s">
        <v>2349</v>
      </c>
      <c r="C19" s="273" t="s">
        <v>2294</v>
      </c>
      <c r="D19" s="273"/>
      <c r="E19" s="273" t="s">
        <v>2280</v>
      </c>
      <c r="F19" s="241" t="s">
        <v>2421</v>
      </c>
      <c r="G19" s="184"/>
      <c r="H19" s="185"/>
      <c r="I19" s="186"/>
    </row>
    <row r="20" spans="1:9" ht="36" customHeight="1">
      <c r="A20" s="272" t="s">
        <v>60</v>
      </c>
      <c r="B20" s="243" t="s">
        <v>2350</v>
      </c>
      <c r="C20" s="273" t="s">
        <v>17</v>
      </c>
      <c r="D20" s="273"/>
      <c r="E20" s="273" t="s">
        <v>2280</v>
      </c>
      <c r="F20" s="241" t="s">
        <v>2423</v>
      </c>
      <c r="G20" s="184"/>
      <c r="H20" s="185"/>
      <c r="I20" s="186"/>
    </row>
    <row r="21" spans="1:9" ht="35.25" customHeight="1">
      <c r="A21" s="272" t="s">
        <v>1150</v>
      </c>
      <c r="B21" s="243" t="s">
        <v>2351</v>
      </c>
      <c r="C21" s="273" t="s">
        <v>17</v>
      </c>
      <c r="D21" s="273"/>
      <c r="E21" s="273" t="s">
        <v>2280</v>
      </c>
      <c r="F21" s="241" t="s">
        <v>2422</v>
      </c>
      <c r="G21" s="184"/>
      <c r="H21" s="185"/>
      <c r="I21" s="186"/>
    </row>
    <row r="22" spans="1:9" ht="52.5" customHeight="1">
      <c r="A22" s="274" t="s">
        <v>62</v>
      </c>
      <c r="B22" s="233" t="s">
        <v>2411</v>
      </c>
      <c r="C22" s="187" t="s">
        <v>17</v>
      </c>
      <c r="D22" s="187"/>
      <c r="E22" s="187" t="s">
        <v>2280</v>
      </c>
      <c r="F22" s="231" t="s">
        <v>2424</v>
      </c>
      <c r="G22" s="188" t="s">
        <v>56</v>
      </c>
      <c r="H22" s="189" t="s">
        <v>56</v>
      </c>
      <c r="I22" s="190" t="s">
        <v>2296</v>
      </c>
    </row>
    <row r="23" spans="1:9" ht="45" customHeight="1">
      <c r="A23" s="274" t="s">
        <v>63</v>
      </c>
      <c r="B23" s="233" t="s">
        <v>2388</v>
      </c>
      <c r="C23" s="187" t="s">
        <v>17</v>
      </c>
      <c r="D23" s="187"/>
      <c r="E23" s="187" t="s">
        <v>2280</v>
      </c>
      <c r="F23" s="231" t="s">
        <v>2388</v>
      </c>
      <c r="G23" s="184"/>
      <c r="H23" s="185"/>
      <c r="I23" s="186"/>
    </row>
    <row r="24" spans="1:9" ht="45" customHeight="1">
      <c r="A24" s="274" t="s">
        <v>64</v>
      </c>
      <c r="B24" s="233" t="s">
        <v>2389</v>
      </c>
      <c r="C24" s="187" t="s">
        <v>17</v>
      </c>
      <c r="D24" s="187"/>
      <c r="E24" s="187" t="s">
        <v>2280</v>
      </c>
      <c r="F24" s="234" t="s">
        <v>2390</v>
      </c>
      <c r="G24" s="184"/>
      <c r="H24" s="185"/>
      <c r="I24" s="186"/>
    </row>
    <row r="25" spans="1:9" ht="39">
      <c r="A25" s="274" t="s">
        <v>65</v>
      </c>
      <c r="B25" s="235" t="s">
        <v>2440</v>
      </c>
      <c r="C25" s="191" t="s">
        <v>17</v>
      </c>
      <c r="D25" s="187"/>
      <c r="E25" s="191" t="s">
        <v>2280</v>
      </c>
      <c r="F25" s="232" t="s">
        <v>2412</v>
      </c>
      <c r="G25" s="188" t="s">
        <v>56</v>
      </c>
      <c r="H25" s="189" t="s">
        <v>56</v>
      </c>
      <c r="I25" s="190" t="s">
        <v>2296</v>
      </c>
    </row>
    <row r="26" spans="1:9" ht="54" customHeight="1">
      <c r="A26" s="274" t="s">
        <v>67</v>
      </c>
      <c r="B26" s="233" t="s">
        <v>2413</v>
      </c>
      <c r="C26" s="191" t="s">
        <v>17</v>
      </c>
      <c r="D26" s="187"/>
      <c r="E26" s="191" t="s">
        <v>2280</v>
      </c>
      <c r="F26" s="234" t="s">
        <v>2376</v>
      </c>
      <c r="G26" s="184"/>
      <c r="H26" s="185"/>
      <c r="I26" s="186"/>
    </row>
    <row r="27" spans="1:9" ht="75">
      <c r="A27" s="274" t="s">
        <v>1151</v>
      </c>
      <c r="B27" s="235" t="s">
        <v>2441</v>
      </c>
      <c r="C27" s="191" t="s">
        <v>17</v>
      </c>
      <c r="D27" s="187"/>
      <c r="E27" s="191" t="s">
        <v>2280</v>
      </c>
      <c r="F27" s="235" t="s">
        <v>2441</v>
      </c>
      <c r="G27" s="184"/>
      <c r="H27" s="185"/>
      <c r="I27" s="186"/>
    </row>
    <row r="28" spans="1:9" ht="75">
      <c r="A28" s="274" t="s">
        <v>66</v>
      </c>
      <c r="B28" s="233" t="s">
        <v>2442</v>
      </c>
      <c r="C28" s="191" t="s">
        <v>17</v>
      </c>
      <c r="D28" s="187"/>
      <c r="E28" s="191" t="s">
        <v>2280</v>
      </c>
      <c r="F28" s="233" t="s">
        <v>2442</v>
      </c>
      <c r="G28" s="184"/>
      <c r="H28" s="185"/>
      <c r="I28" s="186"/>
    </row>
    <row r="29" spans="1:9" ht="55.5" customHeight="1">
      <c r="A29" s="274" t="s">
        <v>68</v>
      </c>
      <c r="B29" s="235" t="s">
        <v>2425</v>
      </c>
      <c r="C29" s="191" t="s">
        <v>2433</v>
      </c>
      <c r="D29" s="191" t="s">
        <v>2407</v>
      </c>
      <c r="E29" s="191" t="s">
        <v>2280</v>
      </c>
      <c r="F29" s="232" t="s">
        <v>2377</v>
      </c>
      <c r="G29" s="188" t="s">
        <v>56</v>
      </c>
      <c r="H29" s="188" t="s">
        <v>56</v>
      </c>
      <c r="I29" s="190" t="s">
        <v>2296</v>
      </c>
    </row>
    <row r="30" spans="1:9" ht="51.75" customHeight="1">
      <c r="A30" s="274" t="s">
        <v>69</v>
      </c>
      <c r="B30" s="235" t="s">
        <v>2430</v>
      </c>
      <c r="C30" s="191" t="s">
        <v>2433</v>
      </c>
      <c r="D30" s="191"/>
      <c r="E30" s="191" t="s">
        <v>2280</v>
      </c>
      <c r="F30" s="232" t="s">
        <v>2391</v>
      </c>
      <c r="G30" s="257"/>
      <c r="H30" s="185"/>
      <c r="I30" s="186"/>
    </row>
    <row r="31" spans="1:9" ht="69" customHeight="1">
      <c r="A31" s="274" t="s">
        <v>1284</v>
      </c>
      <c r="B31" s="235" t="s">
        <v>2443</v>
      </c>
      <c r="C31" s="191" t="s">
        <v>2433</v>
      </c>
      <c r="D31" s="191"/>
      <c r="E31" s="191" t="s">
        <v>2280</v>
      </c>
      <c r="F31" s="232" t="s">
        <v>2392</v>
      </c>
      <c r="G31" s="258"/>
      <c r="H31" s="248"/>
      <c r="I31" s="249"/>
    </row>
    <row r="32" spans="1:9" s="293" customFormat="1" ht="62" customHeight="1">
      <c r="A32" s="292" t="s">
        <v>1285</v>
      </c>
      <c r="B32" s="235" t="s">
        <v>2352</v>
      </c>
      <c r="C32" s="191" t="s">
        <v>2384</v>
      </c>
      <c r="D32" s="187" t="s">
        <v>2434</v>
      </c>
      <c r="E32" s="191" t="s">
        <v>2408</v>
      </c>
      <c r="F32" s="234" t="s">
        <v>2353</v>
      </c>
      <c r="G32" s="250" t="s">
        <v>56</v>
      </c>
      <c r="H32" s="251" t="s">
        <v>56</v>
      </c>
      <c r="I32" s="252" t="s">
        <v>2296</v>
      </c>
    </row>
    <row r="33" spans="1:9" s="293" customFormat="1" ht="60.75" customHeight="1">
      <c r="A33" s="292" t="s">
        <v>1286</v>
      </c>
      <c r="B33" s="235" t="s">
        <v>2405</v>
      </c>
      <c r="C33" s="259" t="s">
        <v>17</v>
      </c>
      <c r="D33" s="187" t="s">
        <v>2295</v>
      </c>
      <c r="E33" s="259" t="s">
        <v>293</v>
      </c>
      <c r="F33" s="255" t="s">
        <v>2354</v>
      </c>
      <c r="G33" s="250" t="s">
        <v>2297</v>
      </c>
      <c r="H33" s="251" t="s">
        <v>2297</v>
      </c>
      <c r="I33" s="252" t="s">
        <v>2296</v>
      </c>
    </row>
    <row r="34" spans="1:9" s="293" customFormat="1" ht="61.5" customHeight="1">
      <c r="A34" s="292" t="s">
        <v>1287</v>
      </c>
      <c r="B34" s="235" t="s">
        <v>2444</v>
      </c>
      <c r="C34" s="259" t="s">
        <v>2384</v>
      </c>
      <c r="D34" s="187" t="s">
        <v>2295</v>
      </c>
      <c r="E34" s="259" t="s">
        <v>2280</v>
      </c>
      <c r="F34" s="255" t="s">
        <v>2445</v>
      </c>
      <c r="G34" s="250" t="s">
        <v>2297</v>
      </c>
      <c r="H34" s="251" t="s">
        <v>2298</v>
      </c>
      <c r="I34" s="252" t="s">
        <v>2296</v>
      </c>
    </row>
    <row r="35" spans="1:9" s="293" customFormat="1" ht="61.5" customHeight="1">
      <c r="A35" s="292" t="s">
        <v>1288</v>
      </c>
      <c r="B35" s="235" t="s">
        <v>2446</v>
      </c>
      <c r="C35" s="275" t="s">
        <v>17</v>
      </c>
      <c r="D35" s="276"/>
      <c r="E35" s="277" t="s">
        <v>293</v>
      </c>
      <c r="F35" s="235" t="s">
        <v>2446</v>
      </c>
      <c r="G35" s="192"/>
      <c r="H35" s="193"/>
      <c r="I35" s="204"/>
    </row>
    <row r="36" spans="1:9" s="293" customFormat="1" ht="55.25" customHeight="1">
      <c r="A36" s="292" t="s">
        <v>1289</v>
      </c>
      <c r="B36" s="235" t="s">
        <v>2447</v>
      </c>
      <c r="C36" s="277" t="s">
        <v>17</v>
      </c>
      <c r="D36" s="277"/>
      <c r="E36" s="277" t="s">
        <v>293</v>
      </c>
      <c r="F36" s="255" t="s">
        <v>2448</v>
      </c>
      <c r="G36" s="192"/>
      <c r="H36" s="193"/>
      <c r="I36" s="204"/>
    </row>
    <row r="37" spans="1:9" s="293" customFormat="1" ht="45" customHeight="1">
      <c r="A37" s="292" t="s">
        <v>1290</v>
      </c>
      <c r="B37" s="235" t="s">
        <v>2394</v>
      </c>
      <c r="C37" s="194" t="s">
        <v>17</v>
      </c>
      <c r="D37" s="194"/>
      <c r="E37" s="194" t="s">
        <v>2280</v>
      </c>
      <c r="F37" s="255" t="s">
        <v>2395</v>
      </c>
      <c r="G37" s="184"/>
      <c r="H37" s="185"/>
      <c r="I37" s="186"/>
    </row>
    <row r="38" spans="1:9" s="293" customFormat="1" ht="50">
      <c r="A38" s="292" t="s">
        <v>1291</v>
      </c>
      <c r="B38" s="235" t="s">
        <v>2393</v>
      </c>
      <c r="C38" s="194" t="s">
        <v>17</v>
      </c>
      <c r="D38" s="194"/>
      <c r="E38" s="194" t="s">
        <v>2280</v>
      </c>
      <c r="F38" s="255" t="s">
        <v>2393</v>
      </c>
      <c r="G38" s="184"/>
      <c r="H38" s="185"/>
      <c r="I38" s="186"/>
    </row>
    <row r="39" spans="1:9" s="293" customFormat="1" ht="45" customHeight="1">
      <c r="A39" s="292" t="s">
        <v>1292</v>
      </c>
      <c r="B39" s="235" t="s">
        <v>2398</v>
      </c>
      <c r="C39" s="195" t="s">
        <v>17</v>
      </c>
      <c r="D39" s="195"/>
      <c r="E39" s="194" t="s">
        <v>2280</v>
      </c>
      <c r="F39" s="255" t="s">
        <v>2396</v>
      </c>
      <c r="G39" s="184"/>
      <c r="H39" s="185"/>
      <c r="I39" s="186"/>
    </row>
    <row r="40" spans="1:9" s="293" customFormat="1" ht="62.5" customHeight="1">
      <c r="A40" s="292" t="s">
        <v>1293</v>
      </c>
      <c r="B40" s="235" t="s">
        <v>2399</v>
      </c>
      <c r="C40" s="195" t="s">
        <v>17</v>
      </c>
      <c r="D40" s="195"/>
      <c r="E40" s="194" t="s">
        <v>2280</v>
      </c>
      <c r="F40" s="255" t="s">
        <v>2397</v>
      </c>
      <c r="G40" s="184"/>
      <c r="H40" s="185"/>
      <c r="I40" s="186"/>
    </row>
    <row r="41" spans="1:9" ht="45" customHeight="1">
      <c r="A41" s="292" t="s">
        <v>1959</v>
      </c>
      <c r="B41" s="235" t="s">
        <v>2449</v>
      </c>
      <c r="C41" s="191" t="s">
        <v>17</v>
      </c>
      <c r="D41" s="191"/>
      <c r="E41" s="194" t="s">
        <v>2408</v>
      </c>
      <c r="F41" s="255" t="s">
        <v>2450</v>
      </c>
      <c r="G41" s="184"/>
      <c r="H41" s="185"/>
      <c r="I41" s="186"/>
    </row>
    <row r="42" spans="1:9" ht="45" customHeight="1">
      <c r="A42" s="292" t="s">
        <v>1960</v>
      </c>
      <c r="B42" s="235" t="s">
        <v>2451</v>
      </c>
      <c r="C42" s="253" t="s">
        <v>17</v>
      </c>
      <c r="D42" s="191"/>
      <c r="E42" s="194" t="s">
        <v>2408</v>
      </c>
      <c r="F42" s="255" t="s">
        <v>2452</v>
      </c>
      <c r="G42" s="184"/>
      <c r="H42" s="185"/>
      <c r="I42" s="186"/>
    </row>
    <row r="43" spans="1:9" ht="47.25" customHeight="1">
      <c r="A43" s="292" t="s">
        <v>2198</v>
      </c>
      <c r="B43" s="235" t="s">
        <v>2355</v>
      </c>
      <c r="C43" s="253" t="s">
        <v>18</v>
      </c>
      <c r="D43" s="253"/>
      <c r="E43" s="253" t="s">
        <v>2280</v>
      </c>
      <c r="F43" s="255" t="s">
        <v>2355</v>
      </c>
      <c r="G43" s="184"/>
      <c r="H43" s="185"/>
      <c r="I43" s="186"/>
    </row>
    <row r="44" spans="1:9" ht="87.65" customHeight="1">
      <c r="A44" s="278" t="s">
        <v>2302</v>
      </c>
      <c r="B44" s="236" t="s">
        <v>2426</v>
      </c>
      <c r="C44" s="199" t="s">
        <v>17</v>
      </c>
      <c r="D44" s="199"/>
      <c r="E44" s="199" t="s">
        <v>2280</v>
      </c>
      <c r="F44" s="237" t="s">
        <v>2406</v>
      </c>
      <c r="G44" s="196" t="s">
        <v>2299</v>
      </c>
      <c r="H44" s="197" t="s">
        <v>2300</v>
      </c>
      <c r="I44" s="198" t="s">
        <v>2301</v>
      </c>
    </row>
    <row r="45" spans="1:9" ht="52">
      <c r="A45" s="278" t="s">
        <v>2303</v>
      </c>
      <c r="B45" s="236" t="s">
        <v>2453</v>
      </c>
      <c r="C45" s="199" t="s">
        <v>17</v>
      </c>
      <c r="D45" s="199"/>
      <c r="E45" s="199" t="s">
        <v>2280</v>
      </c>
      <c r="F45" s="237" t="s">
        <v>2427</v>
      </c>
      <c r="G45" s="196" t="s">
        <v>2299</v>
      </c>
      <c r="H45" s="197" t="s">
        <v>2300</v>
      </c>
      <c r="I45" s="198" t="s">
        <v>2301</v>
      </c>
    </row>
    <row r="46" spans="1:9" ht="45" customHeight="1">
      <c r="A46" s="278" t="s">
        <v>2304</v>
      </c>
      <c r="B46" s="236" t="s">
        <v>2454</v>
      </c>
      <c r="C46" s="199" t="s">
        <v>18</v>
      </c>
      <c r="D46" s="199"/>
      <c r="E46" s="199" t="s">
        <v>2280</v>
      </c>
      <c r="F46" s="237" t="s">
        <v>2455</v>
      </c>
      <c r="G46" s="184"/>
      <c r="H46" s="185"/>
      <c r="I46" s="186"/>
    </row>
    <row r="47" spans="1:9" ht="72.75" customHeight="1">
      <c r="A47" s="278" t="s">
        <v>2305</v>
      </c>
      <c r="B47" s="236" t="s">
        <v>2456</v>
      </c>
      <c r="C47" s="199" t="s">
        <v>17</v>
      </c>
      <c r="D47" s="199"/>
      <c r="E47" s="199" t="s">
        <v>2280</v>
      </c>
      <c r="F47" s="237" t="s">
        <v>2457</v>
      </c>
      <c r="G47" s="184"/>
      <c r="H47" s="185"/>
      <c r="I47" s="186"/>
    </row>
    <row r="48" spans="1:9" ht="94.5" customHeight="1">
      <c r="A48" s="278" t="s">
        <v>2307</v>
      </c>
      <c r="B48" s="236" t="s">
        <v>2458</v>
      </c>
      <c r="C48" s="199" t="s">
        <v>17</v>
      </c>
      <c r="D48" s="199"/>
      <c r="E48" s="199" t="s">
        <v>2280</v>
      </c>
      <c r="F48" s="237" t="s">
        <v>2459</v>
      </c>
      <c r="G48" s="184"/>
      <c r="H48" s="185"/>
      <c r="I48" s="186"/>
    </row>
    <row r="49" spans="1:9" ht="54" customHeight="1">
      <c r="A49" s="278" t="s">
        <v>2308</v>
      </c>
      <c r="B49" s="236" t="s">
        <v>2400</v>
      </c>
      <c r="C49" s="199" t="s">
        <v>17</v>
      </c>
      <c r="D49" s="199"/>
      <c r="E49" s="199" t="s">
        <v>2280</v>
      </c>
      <c r="F49" s="237" t="s">
        <v>2401</v>
      </c>
      <c r="G49" s="196" t="s">
        <v>2306</v>
      </c>
      <c r="H49" s="197" t="s">
        <v>61</v>
      </c>
      <c r="I49" s="198" t="s">
        <v>2301</v>
      </c>
    </row>
    <row r="50" spans="1:9" ht="52">
      <c r="A50" s="278" t="s">
        <v>2309</v>
      </c>
      <c r="B50" s="236" t="s">
        <v>2403</v>
      </c>
      <c r="C50" s="280" t="s">
        <v>2433</v>
      </c>
      <c r="D50" s="280"/>
      <c r="E50" s="280" t="s">
        <v>293</v>
      </c>
      <c r="F50" s="237" t="s">
        <v>2402</v>
      </c>
      <c r="G50" s="196" t="s">
        <v>2299</v>
      </c>
      <c r="H50" s="197" t="s">
        <v>61</v>
      </c>
      <c r="I50" s="198" t="s">
        <v>2301</v>
      </c>
    </row>
    <row r="51" spans="1:9" ht="25">
      <c r="A51" s="278" t="s">
        <v>2310</v>
      </c>
      <c r="B51" s="236" t="s">
        <v>2404</v>
      </c>
      <c r="C51" s="199" t="s">
        <v>17</v>
      </c>
      <c r="D51" s="199"/>
      <c r="E51" s="199" t="s">
        <v>293</v>
      </c>
      <c r="F51" s="237" t="s">
        <v>2356</v>
      </c>
      <c r="G51" s="184"/>
      <c r="H51" s="185"/>
      <c r="I51" s="186"/>
    </row>
    <row r="52" spans="1:9" ht="62" customHeight="1">
      <c r="A52" s="278" t="s">
        <v>2311</v>
      </c>
      <c r="B52" s="238" t="s">
        <v>2357</v>
      </c>
      <c r="C52" s="199" t="s">
        <v>2387</v>
      </c>
      <c r="D52" s="281"/>
      <c r="E52" s="281" t="s">
        <v>2280</v>
      </c>
      <c r="F52" s="237" t="s">
        <v>2358</v>
      </c>
      <c r="G52" s="184"/>
      <c r="H52" s="185"/>
      <c r="I52" s="186"/>
    </row>
    <row r="53" spans="1:9" ht="63" customHeight="1">
      <c r="A53" s="278" t="s">
        <v>2312</v>
      </c>
      <c r="B53" s="238" t="s">
        <v>2378</v>
      </c>
      <c r="C53" s="199" t="s">
        <v>2386</v>
      </c>
      <c r="D53" s="282"/>
      <c r="E53" s="282" t="s">
        <v>2280</v>
      </c>
      <c r="F53" s="237" t="s">
        <v>2359</v>
      </c>
      <c r="G53" s="184"/>
      <c r="H53" s="185"/>
      <c r="I53" s="186"/>
    </row>
    <row r="54" spans="1:9" ht="34.5" customHeight="1">
      <c r="A54" s="278" t="s">
        <v>2313</v>
      </c>
      <c r="B54" s="238" t="s">
        <v>2360</v>
      </c>
      <c r="C54" s="282" t="s">
        <v>17</v>
      </c>
      <c r="D54" s="282"/>
      <c r="E54" s="282" t="s">
        <v>2280</v>
      </c>
      <c r="F54" s="237" t="s">
        <v>2361</v>
      </c>
      <c r="G54" s="184"/>
      <c r="H54" s="185"/>
      <c r="I54" s="186"/>
    </row>
    <row r="55" spans="1:9" ht="45" customHeight="1">
      <c r="A55" s="278" t="s">
        <v>2314</v>
      </c>
      <c r="B55" s="238" t="s">
        <v>2362</v>
      </c>
      <c r="C55" s="282" t="s">
        <v>17</v>
      </c>
      <c r="D55" s="282"/>
      <c r="E55" s="282" t="s">
        <v>2280</v>
      </c>
      <c r="F55" s="237" t="s">
        <v>2363</v>
      </c>
      <c r="G55" s="184"/>
      <c r="H55" s="185"/>
      <c r="I55" s="186"/>
    </row>
    <row r="56" spans="1:9" ht="52">
      <c r="A56" s="278" t="s">
        <v>2315</v>
      </c>
      <c r="B56" s="238" t="s">
        <v>2460</v>
      </c>
      <c r="C56" s="282" t="s">
        <v>17</v>
      </c>
      <c r="D56" s="282"/>
      <c r="E56" s="282" t="s">
        <v>2408</v>
      </c>
      <c r="F56" s="237" t="s">
        <v>2461</v>
      </c>
      <c r="G56" s="196" t="s">
        <v>2299</v>
      </c>
      <c r="H56" s="197" t="s">
        <v>61</v>
      </c>
      <c r="I56" s="198" t="s">
        <v>2301</v>
      </c>
    </row>
    <row r="57" spans="1:9" ht="41.25" customHeight="1">
      <c r="A57" s="278" t="s">
        <v>2316</v>
      </c>
      <c r="B57" s="238" t="s">
        <v>2364</v>
      </c>
      <c r="C57" s="282" t="s">
        <v>18</v>
      </c>
      <c r="D57" s="282"/>
      <c r="E57" s="282" t="s">
        <v>2280</v>
      </c>
      <c r="F57" s="237" t="s">
        <v>2365</v>
      </c>
      <c r="G57" s="184"/>
      <c r="H57" s="185"/>
      <c r="I57" s="186"/>
    </row>
    <row r="58" spans="1:9" ht="25">
      <c r="A58" s="283" t="s">
        <v>2317</v>
      </c>
      <c r="B58" s="239" t="s">
        <v>2366</v>
      </c>
      <c r="C58" s="284" t="s">
        <v>17</v>
      </c>
      <c r="D58" s="284"/>
      <c r="E58" s="284" t="s">
        <v>2435</v>
      </c>
      <c r="F58" s="242" t="s">
        <v>2367</v>
      </c>
      <c r="G58" s="184"/>
      <c r="H58" s="185"/>
      <c r="I58" s="186"/>
    </row>
    <row r="59" spans="1:9" ht="25">
      <c r="A59" s="283" t="s">
        <v>2318</v>
      </c>
      <c r="B59" s="239" t="s">
        <v>2428</v>
      </c>
      <c r="C59" s="284" t="s">
        <v>17</v>
      </c>
      <c r="D59" s="284"/>
      <c r="E59" s="284" t="s">
        <v>2435</v>
      </c>
      <c r="F59" s="242" t="s">
        <v>2428</v>
      </c>
      <c r="G59" s="184"/>
      <c r="H59" s="185"/>
      <c r="I59" s="186"/>
    </row>
    <row r="60" spans="1:9" ht="25">
      <c r="A60" s="283" t="s">
        <v>2322</v>
      </c>
      <c r="B60" s="239" t="s">
        <v>2368</v>
      </c>
      <c r="C60" s="285" t="s">
        <v>17</v>
      </c>
      <c r="D60" s="285"/>
      <c r="E60" s="285" t="s">
        <v>293</v>
      </c>
      <c r="F60" s="242" t="s">
        <v>2368</v>
      </c>
      <c r="G60" s="184"/>
      <c r="H60" s="185"/>
      <c r="I60" s="186"/>
    </row>
    <row r="61" spans="1:9" ht="56.5" customHeight="1">
      <c r="A61" s="283" t="s">
        <v>2323</v>
      </c>
      <c r="B61" s="239" t="s">
        <v>2369</v>
      </c>
      <c r="C61" s="285" t="s">
        <v>17</v>
      </c>
      <c r="D61" s="285"/>
      <c r="E61" s="284" t="s">
        <v>2435</v>
      </c>
      <c r="F61" s="242" t="s">
        <v>2370</v>
      </c>
      <c r="G61" s="184"/>
      <c r="H61" s="185"/>
      <c r="I61" s="186"/>
    </row>
    <row r="62" spans="1:9" ht="56.5" customHeight="1">
      <c r="A62" s="283" t="s">
        <v>2325</v>
      </c>
      <c r="B62" s="239" t="s">
        <v>2429</v>
      </c>
      <c r="C62" s="285" t="s">
        <v>17</v>
      </c>
      <c r="D62" s="285"/>
      <c r="E62" s="284" t="s">
        <v>2435</v>
      </c>
      <c r="F62" s="242" t="s">
        <v>2429</v>
      </c>
      <c r="G62" s="184"/>
      <c r="H62" s="185"/>
      <c r="I62" s="186"/>
    </row>
    <row r="63" spans="1:9" ht="56.5" customHeight="1">
      <c r="A63" s="283" t="s">
        <v>2327</v>
      </c>
      <c r="B63" s="240" t="s">
        <v>2379</v>
      </c>
      <c r="C63" s="285" t="s">
        <v>17</v>
      </c>
      <c r="D63" s="285"/>
      <c r="E63" s="285" t="s">
        <v>2280</v>
      </c>
      <c r="F63" s="242" t="s">
        <v>2380</v>
      </c>
      <c r="G63" s="200" t="s">
        <v>2319</v>
      </c>
      <c r="H63" s="201" t="s">
        <v>2320</v>
      </c>
      <c r="I63" s="202" t="s">
        <v>2321</v>
      </c>
    </row>
    <row r="64" spans="1:9" ht="51" customHeight="1">
      <c r="A64" s="283" t="s">
        <v>2328</v>
      </c>
      <c r="B64" s="240" t="s">
        <v>2381</v>
      </c>
      <c r="C64" s="285" t="s">
        <v>17</v>
      </c>
      <c r="D64" s="285"/>
      <c r="E64" s="285" t="s">
        <v>2280</v>
      </c>
      <c r="F64" s="242" t="s">
        <v>2371</v>
      </c>
      <c r="G64" s="200" t="s">
        <v>2319</v>
      </c>
      <c r="H64" s="201" t="s">
        <v>2319</v>
      </c>
      <c r="I64" s="202" t="s">
        <v>2321</v>
      </c>
    </row>
    <row r="65" spans="1:9" ht="44.25" customHeight="1">
      <c r="A65" s="283" t="s">
        <v>2329</v>
      </c>
      <c r="B65" s="240" t="s">
        <v>2372</v>
      </c>
      <c r="C65" s="256" t="s">
        <v>17</v>
      </c>
      <c r="D65" s="256"/>
      <c r="E65" s="285" t="s">
        <v>2280</v>
      </c>
      <c r="F65" s="242" t="s">
        <v>2372</v>
      </c>
      <c r="G65" s="203" t="s">
        <v>2324</v>
      </c>
      <c r="H65" s="201" t="s">
        <v>61</v>
      </c>
      <c r="I65" s="202" t="s">
        <v>2321</v>
      </c>
    </row>
    <row r="66" spans="1:9" ht="64.5" customHeight="1">
      <c r="A66" s="283" t="s">
        <v>2414</v>
      </c>
      <c r="B66" s="240" t="s">
        <v>2373</v>
      </c>
      <c r="C66" s="256" t="s">
        <v>17</v>
      </c>
      <c r="D66" s="256"/>
      <c r="E66" s="285" t="s">
        <v>2280</v>
      </c>
      <c r="F66" s="242" t="s">
        <v>2373</v>
      </c>
      <c r="G66" s="203" t="s">
        <v>2326</v>
      </c>
      <c r="H66" s="201" t="s">
        <v>61</v>
      </c>
      <c r="I66" s="202" t="s">
        <v>2321</v>
      </c>
    </row>
    <row r="67" spans="1:9" ht="45" customHeight="1">
      <c r="A67" s="283" t="s">
        <v>2415</v>
      </c>
      <c r="B67" s="240" t="s">
        <v>2374</v>
      </c>
      <c r="C67" s="256" t="s">
        <v>2385</v>
      </c>
      <c r="D67" s="256"/>
      <c r="E67" s="256" t="s">
        <v>2408</v>
      </c>
      <c r="F67" s="242" t="s">
        <v>2374</v>
      </c>
      <c r="G67" s="184"/>
      <c r="H67" s="185"/>
      <c r="I67" s="186"/>
    </row>
    <row r="68" spans="1:9" ht="50">
      <c r="A68" s="283" t="s">
        <v>2436</v>
      </c>
      <c r="B68" s="240" t="s">
        <v>2462</v>
      </c>
      <c r="C68" s="256" t="s">
        <v>17</v>
      </c>
      <c r="D68" s="256"/>
      <c r="E68" s="256" t="s">
        <v>2408</v>
      </c>
      <c r="F68" s="242" t="s">
        <v>2462</v>
      </c>
      <c r="G68" s="184"/>
      <c r="H68" s="185"/>
      <c r="I68" s="186"/>
    </row>
    <row r="69" spans="1:9" ht="25">
      <c r="A69" s="283" t="s">
        <v>2437</v>
      </c>
      <c r="B69" s="240" t="s">
        <v>2463</v>
      </c>
      <c r="C69" s="287" t="s">
        <v>54</v>
      </c>
      <c r="D69" s="287"/>
      <c r="E69" s="256" t="s">
        <v>293</v>
      </c>
      <c r="F69" s="242" t="s">
        <v>2463</v>
      </c>
      <c r="G69" s="192"/>
      <c r="H69" s="193"/>
      <c r="I69" s="204"/>
    </row>
    <row r="70" spans="1:9" ht="54.75" customHeight="1">
      <c r="A70" s="283" t="s">
        <v>2438</v>
      </c>
      <c r="B70" s="240" t="s">
        <v>2375</v>
      </c>
      <c r="C70" s="287" t="s">
        <v>18</v>
      </c>
      <c r="D70" s="287"/>
      <c r="E70" s="287" t="s">
        <v>2280</v>
      </c>
      <c r="F70" s="242" t="s">
        <v>2375</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60" zoomScaleNormal="60" workbookViewId="0">
      <pane xSplit="3" ySplit="2" topLeftCell="D15" activePane="bottomRight" state="frozen"/>
      <selection pane="topRight" activeCell="D1" sqref="D1"/>
      <selection pane="bottomLeft" activeCell="A3" sqref="A3"/>
      <selection pane="bottomRight" activeCell="N26" sqref="N26"/>
    </sheetView>
  </sheetViews>
  <sheetFormatPr defaultColWidth="9" defaultRowHeight="15.5"/>
  <cols>
    <col min="1" max="1" width="4.1640625" style="57" customWidth="1"/>
    <col min="2" max="2" width="6.83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2" width="9.58203125" style="57" customWidth="1"/>
    <col min="13" max="13" width="14.1640625" style="57" customWidth="1"/>
    <col min="14" max="15" width="17" style="57" customWidth="1"/>
    <col min="16" max="16" width="24.16406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108.5">
      <c r="B1"/>
      <c r="C1"/>
      <c r="D1" s="765" t="s">
        <v>2476</v>
      </c>
      <c r="E1" s="766" t="s">
        <v>2477</v>
      </c>
      <c r="F1" s="767" t="s">
        <v>2478</v>
      </c>
      <c r="G1" s="768" t="s">
        <v>2979</v>
      </c>
      <c r="H1" s="769" t="s">
        <v>2984</v>
      </c>
      <c r="I1" s="769" t="s">
        <v>3157</v>
      </c>
      <c r="J1" s="770" t="s">
        <v>2625</v>
      </c>
      <c r="K1" s="770" t="s">
        <v>2627</v>
      </c>
      <c r="L1" s="771" t="s">
        <v>3163</v>
      </c>
      <c r="M1" s="771" t="s">
        <v>3164</v>
      </c>
      <c r="N1" s="771" t="s">
        <v>3165</v>
      </c>
      <c r="O1" s="771" t="s">
        <v>3166</v>
      </c>
    </row>
    <row r="2" spans="2:35">
      <c r="B2"/>
      <c r="C2" s="757" t="s">
        <v>3035</v>
      </c>
      <c r="D2" s="756">
        <f>HRP_ref!C2</f>
        <v>122054</v>
      </c>
      <c r="E2" s="756">
        <f>HRP_ref!D2</f>
        <v>109290</v>
      </c>
      <c r="F2" s="756">
        <f>HRP_ref!E2</f>
        <v>118221.06182531895</v>
      </c>
      <c r="G2" s="756">
        <f>HRP_ref!F2</f>
        <v>6481</v>
      </c>
      <c r="H2" s="756">
        <f>HRP_ref!G2</f>
        <v>8250</v>
      </c>
      <c r="I2" s="756">
        <f>HRP_ref!H2</f>
        <v>600</v>
      </c>
      <c r="J2" s="756">
        <f>HRP_ref!I2</f>
        <v>118176.10182531895</v>
      </c>
      <c r="K2" s="756">
        <f>HRP_ref!J2</f>
        <v>74968</v>
      </c>
      <c r="L2" s="756">
        <f>HRP_ref!K2</f>
        <v>210</v>
      </c>
      <c r="M2" s="756">
        <f>HRP_ref!L2</f>
        <v>0</v>
      </c>
      <c r="N2" s="756">
        <f>HRP_ref!M2</f>
        <v>8250</v>
      </c>
      <c r="O2" s="756">
        <f>HRP_ref!N2</f>
        <v>600</v>
      </c>
      <c r="T2"/>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384" t="s">
        <v>34</v>
      </c>
      <c r="C4" s="57" t="s">
        <v>34</v>
      </c>
      <c r="K4" s="1054"/>
      <c r="L4" s="1054"/>
      <c r="M4" s="1054"/>
      <c r="S4"/>
    </row>
    <row r="5" spans="2:35">
      <c r="B5"/>
      <c r="C5"/>
      <c r="D5" s="386" t="s">
        <v>2621</v>
      </c>
      <c r="E5"/>
      <c r="F5"/>
      <c r="G5"/>
      <c r="H5"/>
      <c r="I5"/>
      <c r="J5" s="347"/>
      <c r="K5" s="1054"/>
      <c r="L5" s="1054"/>
      <c r="M5" s="1054"/>
      <c r="O5"/>
      <c r="P5"/>
      <c r="Q5"/>
      <c r="R5"/>
      <c r="S5"/>
      <c r="U5" s="448"/>
      <c r="V5" s="448"/>
      <c r="W5" s="448"/>
    </row>
    <row r="6" spans="2:35" ht="62">
      <c r="C6" s="953" t="s">
        <v>1630</v>
      </c>
      <c r="D6" s="954" t="s">
        <v>2476</v>
      </c>
      <c r="E6" s="955" t="s">
        <v>2477</v>
      </c>
      <c r="F6" s="956" t="s">
        <v>2478</v>
      </c>
      <c r="G6" s="961" t="s">
        <v>2979</v>
      </c>
      <c r="H6" s="963" t="s">
        <v>2984</v>
      </c>
      <c r="I6" s="959" t="s">
        <v>2625</v>
      </c>
      <c r="J6" s="959" t="s">
        <v>2627</v>
      </c>
      <c r="K6"/>
      <c r="L6"/>
      <c r="M6"/>
      <c r="O6"/>
      <c r="P6"/>
      <c r="Q6"/>
      <c r="R6"/>
      <c r="S6"/>
      <c r="T6"/>
      <c r="U6" s="448"/>
      <c r="V6" s="448"/>
      <c r="W6" s="448"/>
      <c r="X6"/>
      <c r="AD6" s="384"/>
      <c r="AE6" s="384"/>
      <c r="AF6" s="384"/>
      <c r="AG6" s="384"/>
      <c r="AH6" s="384"/>
      <c r="AI6" s="384"/>
    </row>
    <row r="7" spans="2:35">
      <c r="B7" s="946" t="s">
        <v>293</v>
      </c>
      <c r="C7" s="952"/>
      <c r="D7" s="949"/>
      <c r="E7" s="950"/>
      <c r="F7" s="951"/>
      <c r="G7" s="960"/>
      <c r="H7" s="962"/>
      <c r="I7" s="958"/>
      <c r="J7" s="958"/>
      <c r="K7"/>
      <c r="L7"/>
      <c r="M7"/>
      <c r="O7"/>
      <c r="P7"/>
      <c r="Q7"/>
      <c r="R7"/>
      <c r="S7"/>
      <c r="T7"/>
      <c r="U7" s="448"/>
      <c r="V7" s="448"/>
      <c r="W7" s="448"/>
      <c r="X7"/>
    </row>
    <row r="8" spans="2:35">
      <c r="B8" s="948" t="s">
        <v>3143</v>
      </c>
      <c r="C8" s="952">
        <v>115345</v>
      </c>
      <c r="D8" s="949">
        <v>113925</v>
      </c>
      <c r="E8" s="950">
        <v>97852</v>
      </c>
      <c r="F8" s="951">
        <v>50654</v>
      </c>
      <c r="G8" s="960">
        <v>1272</v>
      </c>
      <c r="H8" s="962">
        <v>7400</v>
      </c>
      <c r="I8" s="958">
        <v>50574.624535315983</v>
      </c>
      <c r="J8" s="958">
        <v>25429</v>
      </c>
      <c r="K8"/>
      <c r="L8"/>
      <c r="M8"/>
      <c r="O8"/>
      <c r="P8"/>
      <c r="Q8"/>
      <c r="R8"/>
      <c r="S8"/>
      <c r="T8"/>
      <c r="U8" s="448"/>
      <c r="V8" s="448"/>
      <c r="W8" s="448"/>
      <c r="X8"/>
      <c r="Y8"/>
      <c r="Z8"/>
      <c r="AA8"/>
      <c r="AB8"/>
      <c r="AC8"/>
    </row>
    <row r="9" spans="2:35">
      <c r="B9" s="948" t="s">
        <v>3144</v>
      </c>
      <c r="C9" s="952">
        <v>119988</v>
      </c>
      <c r="D9" s="949">
        <v>118568</v>
      </c>
      <c r="E9" s="950">
        <v>102561</v>
      </c>
      <c r="F9" s="951">
        <v>116925.77402674592</v>
      </c>
      <c r="G9" s="960">
        <v>1682</v>
      </c>
      <c r="H9" s="962">
        <v>6050</v>
      </c>
      <c r="I9" s="958">
        <v>116925.77402674592</v>
      </c>
      <c r="J9" s="958">
        <v>54899</v>
      </c>
      <c r="K9" s="59"/>
      <c r="M9"/>
      <c r="N9"/>
      <c r="O9"/>
      <c r="P9"/>
      <c r="Q9"/>
      <c r="R9"/>
      <c r="S9"/>
      <c r="T9"/>
      <c r="U9" s="448"/>
      <c r="V9" s="448"/>
      <c r="W9" s="448"/>
      <c r="X9"/>
      <c r="Y9"/>
    </row>
    <row r="10" spans="2:35">
      <c r="B10" s="948" t="s">
        <v>3145</v>
      </c>
      <c r="C10" s="952">
        <v>126946</v>
      </c>
      <c r="D10" s="949">
        <v>121193</v>
      </c>
      <c r="E10" s="950">
        <v>107602</v>
      </c>
      <c r="F10" s="951">
        <v>109608.06182531895</v>
      </c>
      <c r="G10" s="960">
        <v>5480</v>
      </c>
      <c r="H10" s="962">
        <v>5300</v>
      </c>
      <c r="I10" s="958">
        <v>100122.10182531895</v>
      </c>
      <c r="J10" s="958">
        <v>43171</v>
      </c>
      <c r="K10" s="59"/>
      <c r="M10"/>
      <c r="N10"/>
      <c r="O10"/>
      <c r="P10"/>
      <c r="Q10"/>
      <c r="R10"/>
      <c r="S10" s="448"/>
      <c r="T10" s="448"/>
      <c r="U10" s="448"/>
      <c r="V10" s="448"/>
      <c r="W10" s="448"/>
      <c r="X10"/>
      <c r="Y10"/>
    </row>
    <row r="11" spans="2:35">
      <c r="B11" s="948" t="s">
        <v>3146</v>
      </c>
      <c r="C11" s="952">
        <v>126946</v>
      </c>
      <c r="D11" s="949">
        <v>119693</v>
      </c>
      <c r="E11" s="950">
        <v>101138</v>
      </c>
      <c r="F11" s="951">
        <v>104675.24809916578</v>
      </c>
      <c r="G11" s="960">
        <v>1765</v>
      </c>
      <c r="H11" s="962">
        <v>5300</v>
      </c>
      <c r="I11" s="958">
        <v>74740.288099165788</v>
      </c>
      <c r="J11" s="958">
        <v>69572</v>
      </c>
      <c r="R11"/>
      <c r="S11" s="448"/>
      <c r="T11" s="448"/>
      <c r="U11" s="448"/>
      <c r="V11" s="448"/>
      <c r="W11" s="448"/>
    </row>
    <row r="12" spans="2:35">
      <c r="B12" s="946" t="s">
        <v>1621</v>
      </c>
      <c r="C12" s="952">
        <v>489225</v>
      </c>
      <c r="D12" s="949">
        <v>473379</v>
      </c>
      <c r="E12" s="950">
        <v>409153</v>
      </c>
      <c r="F12" s="951">
        <v>381863.08395123068</v>
      </c>
      <c r="G12" s="960">
        <v>10199</v>
      </c>
      <c r="H12" s="962">
        <v>24050</v>
      </c>
      <c r="I12" s="958">
        <v>342362.7884865466</v>
      </c>
      <c r="J12" s="958">
        <v>193071</v>
      </c>
      <c r="M12"/>
      <c r="N12"/>
      <c r="O12"/>
      <c r="P12"/>
      <c r="Q12"/>
      <c r="S12"/>
      <c r="T12"/>
      <c r="U12"/>
      <c r="V12"/>
      <c r="W12"/>
    </row>
    <row r="13" spans="2:35">
      <c r="C13" s="149"/>
      <c r="D13" s="387"/>
      <c r="E13" s="149"/>
      <c r="F13" s="149"/>
      <c r="M13"/>
      <c r="N13"/>
      <c r="O13"/>
      <c r="P13" s="670">
        <v>0.47395118852676554</v>
      </c>
      <c r="Q13" s="813">
        <v>0.52604881147323446</v>
      </c>
      <c r="R13" s="670">
        <v>0.36707281803424513</v>
      </c>
      <c r="S13" s="670">
        <v>0.54496768878701107</v>
      </c>
      <c r="T13" s="670">
        <v>8.795949317874395E-2</v>
      </c>
      <c r="U13"/>
      <c r="W13"/>
      <c r="X13"/>
      <c r="Y13"/>
      <c r="Z13"/>
    </row>
    <row r="14" spans="2:35" ht="16" thickBot="1">
      <c r="C14" s="149"/>
      <c r="D14" s="388"/>
      <c r="E14" s="149"/>
      <c r="F14" s="149"/>
      <c r="Q14" s="57" t="s">
        <v>3173</v>
      </c>
    </row>
    <row r="15" spans="2:35" ht="16" thickBot="1">
      <c r="G15" s="860" t="s">
        <v>1625</v>
      </c>
      <c r="H15" s="861"/>
      <c r="I15" s="861"/>
      <c r="J15" s="861"/>
      <c r="K15" s="861"/>
      <c r="L15" s="861"/>
      <c r="M15" s="861"/>
      <c r="N15" s="861"/>
      <c r="P15" s="813"/>
      <c r="Q15" s="59"/>
      <c r="R15" s="585" t="s">
        <v>1891</v>
      </c>
      <c r="S15" s="586"/>
      <c r="T15" s="1055" t="s">
        <v>1892</v>
      </c>
      <c r="U15" s="1055"/>
      <c r="V15" s="1056"/>
    </row>
    <row r="16" spans="2:35" ht="60" customHeight="1" thickTop="1">
      <c r="C16" s="72" t="s">
        <v>1622</v>
      </c>
      <c r="D16" s="583" t="s">
        <v>1623</v>
      </c>
      <c r="E16" s="583" t="s">
        <v>1624</v>
      </c>
      <c r="F16" s="748" t="s">
        <v>1631</v>
      </c>
      <c r="G16" s="922" t="s">
        <v>1082</v>
      </c>
      <c r="H16" s="923" t="s">
        <v>3168</v>
      </c>
      <c r="I16" s="923" t="s">
        <v>3169</v>
      </c>
      <c r="J16" s="923" t="s">
        <v>3170</v>
      </c>
      <c r="K16" s="924" t="s">
        <v>230</v>
      </c>
      <c r="L16" s="931" t="s">
        <v>3217</v>
      </c>
      <c r="M16" s="931" t="s">
        <v>3179</v>
      </c>
      <c r="N16" s="931" t="s">
        <v>3180</v>
      </c>
      <c r="O16" s="916" t="s">
        <v>2902</v>
      </c>
      <c r="P16" s="751" t="s">
        <v>1981</v>
      </c>
      <c r="Q16" s="73" t="s">
        <v>1982</v>
      </c>
      <c r="R16" s="587" t="s">
        <v>3171</v>
      </c>
      <c r="S16" s="588" t="s">
        <v>3172</v>
      </c>
      <c r="T16" s="588" t="s">
        <v>3174</v>
      </c>
      <c r="U16" s="588" t="s">
        <v>3175</v>
      </c>
      <c r="V16" s="589" t="s">
        <v>3176</v>
      </c>
      <c r="W16" s="73" t="s">
        <v>1627</v>
      </c>
    </row>
    <row r="17" spans="1:60" ht="57.5" customHeight="1">
      <c r="C17" s="781" t="s">
        <v>2959</v>
      </c>
      <c r="D17" s="764" t="s">
        <v>293</v>
      </c>
      <c r="E17" s="764">
        <v>1238941.7131009183</v>
      </c>
      <c r="F17" s="867">
        <v>453333.44540623878</v>
      </c>
      <c r="G17" s="868">
        <f>D2</f>
        <v>122054</v>
      </c>
      <c r="H17" s="875">
        <v>55010</v>
      </c>
      <c r="I17" s="832">
        <v>26056</v>
      </c>
      <c r="J17" s="832">
        <v>7339</v>
      </c>
      <c r="K17" s="832"/>
      <c r="L17" s="832">
        <v>13120</v>
      </c>
      <c r="M17" s="875">
        <v>52102</v>
      </c>
      <c r="N17" s="911">
        <v>120891</v>
      </c>
      <c r="O17" s="917">
        <f t="shared" ref="O17:O24" si="0">SUM(G17:N17)</f>
        <v>396572</v>
      </c>
      <c r="P17" s="871">
        <f t="shared" ref="P17:P24" si="1">O17/F17</f>
        <v>0.87479096020507818</v>
      </c>
      <c r="Q17" s="872">
        <f t="shared" ref="Q17:Q19" si="2">1-P17</f>
        <v>0.12520903979492182</v>
      </c>
      <c r="R17" s="764">
        <f t="shared" ref="R17:R24" si="3">O17*$P$13</f>
        <v>187955.77073643648</v>
      </c>
      <c r="S17" s="764">
        <f t="shared" ref="S17:S24" si="4">O17*$Q$13</f>
        <v>208616.22926356352</v>
      </c>
      <c r="T17" s="764">
        <f t="shared" ref="T17:T24" si="5">O17*$R$13</f>
        <v>145570.80159347667</v>
      </c>
      <c r="U17" s="764">
        <f t="shared" ref="U17:U24" si="6">O17*$S$13</f>
        <v>216118.92627764255</v>
      </c>
      <c r="V17" s="764">
        <f t="shared" ref="V17:V24" si="7">O17*$T$13</f>
        <v>34882.272128880846</v>
      </c>
      <c r="W17" s="764">
        <f t="shared" ref="W17:W24" si="8">F17-O17</f>
        <v>56761.445406238781</v>
      </c>
    </row>
    <row r="18" spans="1:60" ht="62">
      <c r="C18" s="784" t="s">
        <v>2960</v>
      </c>
      <c r="D18" s="762" t="s">
        <v>293</v>
      </c>
      <c r="E18" s="762">
        <v>1238941.7131009183</v>
      </c>
      <c r="F18" s="762">
        <v>277344.1113515597</v>
      </c>
      <c r="G18" s="862">
        <f>E2</f>
        <v>109290</v>
      </c>
      <c r="H18" s="876">
        <v>34917</v>
      </c>
      <c r="I18" s="833">
        <v>4635</v>
      </c>
      <c r="J18" s="833">
        <v>991</v>
      </c>
      <c r="K18" s="833"/>
      <c r="L18" s="833">
        <v>13120</v>
      </c>
      <c r="M18" s="876">
        <v>1616</v>
      </c>
      <c r="N18" s="912">
        <v>68038</v>
      </c>
      <c r="O18" s="917">
        <f>SUM(G18:N18)</f>
        <v>232607</v>
      </c>
      <c r="P18" s="797">
        <f t="shared" si="1"/>
        <v>0.8386945692355039</v>
      </c>
      <c r="Q18" s="763">
        <f t="shared" si="2"/>
        <v>0.1613054307644961</v>
      </c>
      <c r="R18" s="762">
        <f t="shared" si="3"/>
        <v>110244.36410964535</v>
      </c>
      <c r="S18" s="762">
        <f t="shared" si="4"/>
        <v>122362.63589035465</v>
      </c>
      <c r="T18" s="762">
        <f t="shared" si="5"/>
        <v>85383.706984491655</v>
      </c>
      <c r="U18" s="762">
        <f t="shared" si="6"/>
        <v>126763.29918568028</v>
      </c>
      <c r="V18" s="762">
        <f t="shared" si="7"/>
        <v>20459.993829828094</v>
      </c>
      <c r="W18" s="762">
        <f t="shared" si="8"/>
        <v>44737.111351559695</v>
      </c>
    </row>
    <row r="19" spans="1:60" ht="77.5">
      <c r="B19" s="149"/>
      <c r="C19" s="783" t="s">
        <v>2961</v>
      </c>
      <c r="D19" s="760" t="s">
        <v>293</v>
      </c>
      <c r="E19" s="760">
        <v>1238941.7131009183</v>
      </c>
      <c r="F19" s="760">
        <v>511996.55675779848</v>
      </c>
      <c r="G19" s="864">
        <f>F2</f>
        <v>118221.06182531895</v>
      </c>
      <c r="H19" s="877">
        <v>56746</v>
      </c>
      <c r="I19" s="834">
        <v>48877</v>
      </c>
      <c r="J19" s="834">
        <v>8228</v>
      </c>
      <c r="K19" s="834">
        <v>120111</v>
      </c>
      <c r="L19" s="834">
        <v>13120</v>
      </c>
      <c r="M19" s="877">
        <v>43897</v>
      </c>
      <c r="N19" s="913">
        <v>76079</v>
      </c>
      <c r="O19" s="917">
        <f t="shared" si="0"/>
        <v>485279.06182531896</v>
      </c>
      <c r="P19" s="798">
        <f t="shared" si="1"/>
        <v>0.94781704177530568</v>
      </c>
      <c r="Q19" s="761">
        <f t="shared" si="2"/>
        <v>5.218295822469432E-2</v>
      </c>
      <c r="R19" s="760">
        <f t="shared" si="3"/>
        <v>229998.58811926364</v>
      </c>
      <c r="S19" s="760">
        <f t="shared" si="4"/>
        <v>255280.47370605532</v>
      </c>
      <c r="T19" s="760">
        <f t="shared" si="5"/>
        <v>178132.7527572345</v>
      </c>
      <c r="U19" s="760">
        <f t="shared" si="6"/>
        <v>264461.40873967315</v>
      </c>
      <c r="V19" s="760">
        <f t="shared" si="7"/>
        <v>42684.900328411408</v>
      </c>
      <c r="W19" s="760">
        <f t="shared" si="8"/>
        <v>26717.494932479516</v>
      </c>
    </row>
    <row r="20" spans="1:60" s="584" customFormat="1" ht="55.5">
      <c r="B20" s="658"/>
      <c r="C20" s="786" t="s">
        <v>2963</v>
      </c>
      <c r="D20" s="758" t="s">
        <v>293</v>
      </c>
      <c r="E20" s="758">
        <v>138485.43565504593</v>
      </c>
      <c r="F20" s="796">
        <v>57760.085675779846</v>
      </c>
      <c r="G20" s="865">
        <f>G2</f>
        <v>6481</v>
      </c>
      <c r="H20" s="866">
        <v>860</v>
      </c>
      <c r="I20" s="866">
        <v>421</v>
      </c>
      <c r="J20" s="866">
        <v>1916</v>
      </c>
      <c r="K20" s="866"/>
      <c r="L20" s="866"/>
      <c r="M20" s="866">
        <v>7874</v>
      </c>
      <c r="N20" s="914">
        <v>34640</v>
      </c>
      <c r="O20" s="917">
        <f t="shared" si="0"/>
        <v>52192</v>
      </c>
      <c r="P20" s="802">
        <f t="shared" si="1"/>
        <v>0.90359976771788841</v>
      </c>
      <c r="Q20" s="759">
        <f t="shared" ref="Q20" si="9">1-P20</f>
        <v>9.6400232282111586E-2</v>
      </c>
      <c r="R20" s="758">
        <f t="shared" si="3"/>
        <v>24736.460431588948</v>
      </c>
      <c r="S20" s="758">
        <f t="shared" si="4"/>
        <v>27455.539568411052</v>
      </c>
      <c r="T20" s="758">
        <f t="shared" si="5"/>
        <v>19158.264518843323</v>
      </c>
      <c r="U20" s="758">
        <f t="shared" si="6"/>
        <v>28442.953613171681</v>
      </c>
      <c r="V20" s="758">
        <f t="shared" si="7"/>
        <v>4590.7818679850043</v>
      </c>
      <c r="W20" s="758">
        <f t="shared" si="8"/>
        <v>5568.0856757798465</v>
      </c>
      <c r="X20" s="758"/>
      <c r="Y20" s="758"/>
      <c r="Z20" s="758"/>
      <c r="AA20" s="758"/>
      <c r="AB20" s="758"/>
      <c r="AC20" s="758"/>
      <c r="AD20" s="758"/>
    </row>
    <row r="21" spans="1:60" s="584" customFormat="1" ht="55.5">
      <c r="B21" s="658"/>
      <c r="C21" s="785" t="s">
        <v>3147</v>
      </c>
      <c r="D21" s="721" t="s">
        <v>293</v>
      </c>
      <c r="E21" s="728">
        <v>28428.530000000002</v>
      </c>
      <c r="F21" s="749">
        <v>10934.050000000001</v>
      </c>
      <c r="G21" s="925">
        <f>H2</f>
        <v>8250</v>
      </c>
      <c r="H21" s="926"/>
      <c r="I21" s="926"/>
      <c r="J21" s="926"/>
      <c r="K21" s="926"/>
      <c r="L21" s="926"/>
      <c r="M21" s="926"/>
      <c r="N21" s="919"/>
      <c r="O21" s="917">
        <f t="shared" si="0"/>
        <v>8250</v>
      </c>
      <c r="P21" s="800">
        <f t="shared" si="1"/>
        <v>0.75452371262249573</v>
      </c>
      <c r="Q21" s="801">
        <f t="shared" ref="Q21" si="10">1-P21</f>
        <v>0.24547628737750427</v>
      </c>
      <c r="R21" s="729">
        <f t="shared" si="3"/>
        <v>3910.0973053458156</v>
      </c>
      <c r="S21" s="729">
        <f t="shared" si="4"/>
        <v>4339.9026946541844</v>
      </c>
      <c r="T21" s="729">
        <f t="shared" si="5"/>
        <v>3028.3507487825223</v>
      </c>
      <c r="U21" s="729">
        <f t="shared" si="6"/>
        <v>4495.9834324928415</v>
      </c>
      <c r="V21" s="729">
        <f t="shared" si="7"/>
        <v>725.66581872463757</v>
      </c>
      <c r="W21" s="729">
        <f t="shared" si="8"/>
        <v>2684.0500000000011</v>
      </c>
    </row>
    <row r="22" spans="1:60" s="584" customFormat="1" ht="55.5">
      <c r="B22" s="658"/>
      <c r="C22" s="785" t="s">
        <v>3148</v>
      </c>
      <c r="D22" s="721" t="s">
        <v>293</v>
      </c>
      <c r="E22" s="728">
        <v>21868.100000000002</v>
      </c>
      <c r="F22" s="749">
        <v>6560.4299999999994</v>
      </c>
      <c r="G22" s="925">
        <f>I2</f>
        <v>600</v>
      </c>
      <c r="H22" s="926"/>
      <c r="I22" s="926"/>
      <c r="J22" s="926"/>
      <c r="K22" s="926"/>
      <c r="L22" s="926"/>
      <c r="M22" s="926"/>
      <c r="N22" s="919"/>
      <c r="O22" s="917">
        <f t="shared" si="0"/>
        <v>600</v>
      </c>
      <c r="P22" s="800">
        <f t="shared" si="1"/>
        <v>9.1457419711817672E-2</v>
      </c>
      <c r="Q22" s="801">
        <f t="shared" ref="Q22" si="11">1-P22</f>
        <v>0.90854258028818236</v>
      </c>
      <c r="R22" s="729">
        <f t="shared" si="3"/>
        <v>284.37071311605933</v>
      </c>
      <c r="S22" s="729">
        <f t="shared" si="4"/>
        <v>315.62928688394067</v>
      </c>
      <c r="T22" s="729">
        <f t="shared" si="5"/>
        <v>220.24369082054707</v>
      </c>
      <c r="U22" s="729">
        <f t="shared" si="6"/>
        <v>326.98061327220665</v>
      </c>
      <c r="V22" s="729">
        <f t="shared" si="7"/>
        <v>52.775695907246373</v>
      </c>
      <c r="W22" s="729">
        <f t="shared" si="8"/>
        <v>5960.4299999999994</v>
      </c>
    </row>
    <row r="23" spans="1:60" ht="31">
      <c r="B23" s="780"/>
      <c r="C23" s="782" t="s">
        <v>3167</v>
      </c>
      <c r="D23" s="582" t="s">
        <v>293</v>
      </c>
      <c r="E23" s="579">
        <v>1238941.7131009183</v>
      </c>
      <c r="F23" s="750">
        <v>511996.55675779848</v>
      </c>
      <c r="G23" s="927">
        <f>K2</f>
        <v>74968</v>
      </c>
      <c r="H23" s="863">
        <v>10010</v>
      </c>
      <c r="I23" s="863">
        <v>32709</v>
      </c>
      <c r="J23" s="863">
        <v>7247</v>
      </c>
      <c r="K23" s="863"/>
      <c r="L23" s="863">
        <v>13120</v>
      </c>
      <c r="M23" s="863">
        <v>43897</v>
      </c>
      <c r="N23" s="915">
        <v>76079</v>
      </c>
      <c r="O23" s="917">
        <f t="shared" si="0"/>
        <v>258030</v>
      </c>
      <c r="P23" s="752">
        <f t="shared" si="1"/>
        <v>0.50396823297790627</v>
      </c>
      <c r="Q23" s="581">
        <f t="shared" ref="Q23" si="12">1-P23</f>
        <v>0.49603176702209373</v>
      </c>
      <c r="R23" s="580">
        <f t="shared" si="3"/>
        <v>122293.62517556132</v>
      </c>
      <c r="S23" s="580">
        <f t="shared" si="4"/>
        <v>135736.37482443868</v>
      </c>
      <c r="T23" s="580">
        <f t="shared" si="5"/>
        <v>94715.799237376268</v>
      </c>
      <c r="U23" s="580">
        <f t="shared" si="6"/>
        <v>140618.01273771247</v>
      </c>
      <c r="V23" s="580">
        <f t="shared" si="7"/>
        <v>22696.188024911302</v>
      </c>
      <c r="W23" s="580">
        <f t="shared" si="8"/>
        <v>253966.55675779848</v>
      </c>
    </row>
    <row r="24" spans="1:60" ht="31.5" thickBot="1">
      <c r="B24" s="780"/>
      <c r="C24" s="782" t="s">
        <v>2626</v>
      </c>
      <c r="D24" s="582" t="s">
        <v>293</v>
      </c>
      <c r="E24" s="579">
        <v>1238941.7131009183</v>
      </c>
      <c r="F24" s="750">
        <v>511996.55675779848</v>
      </c>
      <c r="G24" s="928">
        <f>J2</f>
        <v>118176.10182531895</v>
      </c>
      <c r="H24" s="920">
        <v>55702</v>
      </c>
      <c r="I24" s="920">
        <v>45598</v>
      </c>
      <c r="J24" s="920">
        <v>7911</v>
      </c>
      <c r="K24" s="920">
        <v>120111</v>
      </c>
      <c r="L24" s="920">
        <v>13120</v>
      </c>
      <c r="M24" s="920">
        <v>43897</v>
      </c>
      <c r="N24" s="921">
        <v>76079</v>
      </c>
      <c r="O24" s="918">
        <f t="shared" si="0"/>
        <v>480594.10182531894</v>
      </c>
      <c r="P24" s="752">
        <f t="shared" si="1"/>
        <v>0.938666667738286</v>
      </c>
      <c r="Q24" s="581">
        <f t="shared" ref="Q24" si="13">1-P24</f>
        <v>6.1333332261714002E-2</v>
      </c>
      <c r="R24" s="580">
        <f t="shared" si="3"/>
        <v>227778.14575906331</v>
      </c>
      <c r="S24" s="580">
        <f t="shared" si="4"/>
        <v>252815.95606625563</v>
      </c>
      <c r="T24" s="580">
        <f t="shared" si="5"/>
        <v>176413.03128765678</v>
      </c>
      <c r="U24" s="580">
        <f t="shared" si="6"/>
        <v>261908.25691641352</v>
      </c>
      <c r="V24" s="580">
        <f t="shared" si="7"/>
        <v>42272.813621248715</v>
      </c>
      <c r="W24" s="580">
        <f t="shared" si="8"/>
        <v>31402.454932479537</v>
      </c>
    </row>
    <row r="25" spans="1:60" ht="16" thickTop="1">
      <c r="C25"/>
      <c r="D25"/>
      <c r="V25"/>
      <c r="W25"/>
      <c r="AP25"/>
      <c r="AQ25"/>
    </row>
    <row r="26" spans="1:60">
      <c r="C26"/>
      <c r="D26"/>
    </row>
    <row r="27" spans="1:60" ht="23.5">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2622</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 customHeight="1">
      <c r="B34" s="813"/>
      <c r="C34" s="723" t="s">
        <v>3148</v>
      </c>
      <c r="D34" s="724">
        <v>6560.4299999999994</v>
      </c>
      <c r="E34" s="727">
        <f>G22+H22</f>
        <v>600</v>
      </c>
      <c r="F34" s="727">
        <f t="shared" ref="F34:F36" si="14">D34-E34</f>
        <v>5960.4299999999994</v>
      </c>
      <c r="G34" s="787">
        <f>D34-E34</f>
        <v>5960.4299999999994</v>
      </c>
      <c r="P34" s="723" t="s">
        <v>3148</v>
      </c>
      <c r="Q34" s="724">
        <f>F22</f>
        <v>6560.4299999999994</v>
      </c>
      <c r="R34" s="727">
        <f>O22</f>
        <v>600</v>
      </c>
      <c r="S34" s="727">
        <f t="shared" ref="S34:S36" si="15">Q34-R34</f>
        <v>5960.4299999999994</v>
      </c>
      <c r="AL34"/>
      <c r="AM34"/>
      <c r="AT34" s="384"/>
      <c r="AU34" s="384"/>
      <c r="AV34" s="384"/>
      <c r="AW34" s="384"/>
      <c r="AX34" s="384"/>
      <c r="AY34" s="384"/>
      <c r="AZ34" s="384"/>
      <c r="BA34" s="384"/>
      <c r="BB34" s="384"/>
      <c r="BC34" s="384"/>
      <c r="BD34" s="384"/>
      <c r="BE34" s="384"/>
      <c r="BF34" s="384"/>
      <c r="BG34" s="384"/>
      <c r="BH34" s="384"/>
    </row>
    <row r="35" spans="2:60" ht="64.5" customHeight="1">
      <c r="C35" s="723" t="s">
        <v>3158</v>
      </c>
      <c r="D35" s="724">
        <v>10934.050000000001</v>
      </c>
      <c r="E35" s="727">
        <f>G21+H21</f>
        <v>8250</v>
      </c>
      <c r="F35" s="727">
        <f t="shared" si="14"/>
        <v>2684.0500000000011</v>
      </c>
      <c r="P35" s="723" t="s">
        <v>3158</v>
      </c>
      <c r="Q35" s="724">
        <f>F21</f>
        <v>10934.050000000001</v>
      </c>
      <c r="R35" s="727">
        <f>O21</f>
        <v>8250</v>
      </c>
      <c r="S35" s="727">
        <f t="shared" si="15"/>
        <v>2684.0500000000011</v>
      </c>
      <c r="T35" s="59">
        <f>Q36-R36</f>
        <v>5568.0856757798465</v>
      </c>
      <c r="AL35"/>
      <c r="AM35"/>
    </row>
    <row r="36" spans="2:60" ht="93">
      <c r="C36" s="722" t="s">
        <v>2963</v>
      </c>
      <c r="D36" s="725">
        <v>28428.530000000002</v>
      </c>
      <c r="E36" s="726">
        <f>G20+H20</f>
        <v>7341</v>
      </c>
      <c r="F36" s="726">
        <f t="shared" si="14"/>
        <v>21087.530000000002</v>
      </c>
      <c r="G36" s="59"/>
      <c r="P36" s="722" t="s">
        <v>2963</v>
      </c>
      <c r="Q36" s="725">
        <f>F20</f>
        <v>57760.085675779846</v>
      </c>
      <c r="R36" s="726">
        <f>O20</f>
        <v>52192</v>
      </c>
      <c r="S36" s="726">
        <f t="shared" si="15"/>
        <v>5568.0856757798465</v>
      </c>
      <c r="AL36"/>
      <c r="AM36"/>
    </row>
    <row r="37" spans="2:60" ht="108.5">
      <c r="C37" s="75" t="s">
        <v>2479</v>
      </c>
      <c r="D37" s="82">
        <v>218681</v>
      </c>
      <c r="E37" s="82">
        <f>G19+H19</f>
        <v>174967.06182531896</v>
      </c>
      <c r="F37" s="82">
        <f>D37-E37</f>
        <v>43713.93817468104</v>
      </c>
      <c r="H37" s="59"/>
      <c r="P37" s="75" t="s">
        <v>2479</v>
      </c>
      <c r="Q37" s="82">
        <f>F19</f>
        <v>511996.55675779848</v>
      </c>
      <c r="R37" s="82">
        <f>O19</f>
        <v>485279.06182531896</v>
      </c>
      <c r="S37" s="82">
        <f>Q37-R37</f>
        <v>26717.494932479516</v>
      </c>
      <c r="X37" s="59">
        <f>SUM(X34:X36)</f>
        <v>0</v>
      </c>
      <c r="AP37" s="59"/>
    </row>
    <row r="38" spans="2:60" ht="77.5">
      <c r="C38" s="74" t="s">
        <v>2480</v>
      </c>
      <c r="D38" s="81">
        <v>218681</v>
      </c>
      <c r="E38" s="81">
        <f>G18+H18</f>
        <v>144207</v>
      </c>
      <c r="F38" s="81">
        <f>D38-E38</f>
        <v>74474</v>
      </c>
      <c r="P38" s="74" t="s">
        <v>2480</v>
      </c>
      <c r="Q38" s="81">
        <f>F18</f>
        <v>277344.1113515597</v>
      </c>
      <c r="R38" s="81">
        <f>O18</f>
        <v>232607</v>
      </c>
      <c r="S38" s="81">
        <f>Q38-R38</f>
        <v>44737.111351559695</v>
      </c>
    </row>
    <row r="39" spans="2:60" ht="77.5">
      <c r="C39" s="78" t="s">
        <v>2481</v>
      </c>
      <c r="D39" s="80">
        <v>218681</v>
      </c>
      <c r="E39" s="80">
        <f>G17+H17</f>
        <v>177064</v>
      </c>
      <c r="F39" s="80">
        <f>D39-E39</f>
        <v>41617</v>
      </c>
      <c r="P39" s="78" t="s">
        <v>2481</v>
      </c>
      <c r="Q39" s="80">
        <f>F17</f>
        <v>453333.44540623878</v>
      </c>
      <c r="R39" s="80">
        <f>O17</f>
        <v>396572</v>
      </c>
      <c r="S39" s="80">
        <f>Q39-R39</f>
        <v>56761.445406238781</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ageMargins left="0.7" right="0.7" top="0.75" bottom="0.75" header="0.3" footer="0.3"/>
  <pageSetup orientation="portrait" r:id="rId2"/>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D76329-BD9D-4A97-82CE-C1710EDD4DDB}">
  <ds:schemaRefs>
    <ds:schemaRef ds:uri="http://schemas.microsoft.com/sharepoint/v3/contenttype/forms"/>
  </ds:schemaRefs>
</ds:datastoreItem>
</file>

<file path=customXml/itemProps3.xml><?xml version="1.0" encoding="utf-8"?>
<ds:datastoreItem xmlns:ds="http://schemas.openxmlformats.org/officeDocument/2006/customXml" ds:itemID="{5C861788-ED93-4B7C-8F10-174B4335B2A6}">
  <ds:schemaRefs>
    <ds:schemaRef ds:uri="http://purl.org/dc/elements/1.1/"/>
    <ds:schemaRef ds:uri="http://schemas.microsoft.com/office/2006/documentManagement/types"/>
    <ds:schemaRef ds:uri="http://purl.org/dc/terms/"/>
    <ds:schemaRef ds:uri="55745663-ec1a-49f5-8757-f8c4d8910d9c"/>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c1e8bc90-1dd2-4fc1-b7db-01d315126b7d"/>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Guide</vt:lpstr>
      <vt:lpstr>partner</vt:lpstr>
      <vt:lpstr>Sheet1</vt:lpstr>
      <vt:lpstr>DATABASE</vt:lpstr>
      <vt:lpstr>Site_DB</vt:lpstr>
      <vt:lpstr>HRP Calculations</vt:lpstr>
      <vt:lpstr>Indicator Summary  Eng</vt:lpstr>
      <vt:lpstr>Indicator Summary  MM</vt:lpstr>
      <vt:lpstr>HRP</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2023-01-27T03:25:54Z</cp:lastPrinted>
  <dcterms:created xsi:type="dcterms:W3CDTF">2016-05-30T15:30:45Z</dcterms:created>
  <dcterms:modified xsi:type="dcterms:W3CDTF">2023-04-11T05:17:51Z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